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4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schneids13/Desktop/Oxford MBA/Academic/Term 1-Michelmas/Leading Across/Individual Assignment/Analysis/"/>
    </mc:Choice>
  </mc:AlternateContent>
  <xr:revisionPtr revIDLastSave="0" documentId="13_ncr:1_{F9747434-DABD-2344-9D40-D6B23EA1F4C1}" xr6:coauthVersionLast="45" xr6:coauthVersionMax="45" xr10:uidLastSave="{00000000-0000-0000-0000-000000000000}"/>
  <bookViews>
    <workbookView xWindow="1200" yWindow="460" windowWidth="32400" windowHeight="20540" activeTab="4" xr2:uid="{B1578453-6ED5-774B-A012-E31654D65727}"/>
  </bookViews>
  <sheets>
    <sheet name="Income Statement" sheetId="2" r:id="rId1"/>
    <sheet name="Balance Sheet" sheetId="5" r:id="rId2"/>
    <sheet name="Input Data" sheetId="3" r:id="rId3"/>
    <sheet name="Workbook" sheetId="4" r:id="rId4"/>
    <sheet name="BA Baseline DCF" sheetId="1" r:id="rId5"/>
  </sheets>
  <externalReferences>
    <externalReference r:id="rId6"/>
  </externalReferences>
  <definedNames>
    <definedName name="CIQWBGuid" localSheetId="4" hidden="1">"DCF_complete.xlsx"</definedName>
    <definedName name="CIQWBGuid" hidden="1">"a611639b-bab1-425e-aaa5-008c326fdfdb"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localSheetId="4" hidden="1">43549.6880671296</definedName>
    <definedName name="IQ_NAMES_REVISION_DATE_" hidden="1">43588.5561574074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MLNK841c85bef3244d5c8fb6b3f84988d79e" localSheetId="4" hidden="1">#REF!</definedName>
    <definedName name="MLNK841c85bef3244d5c8fb6b3f84988d79e" hidden="1">#REF!</definedName>
    <definedName name="MLNKa7775792bf444a4785f8ed5c82461a24" localSheetId="4" hidden="1">#REF!</definedName>
    <definedName name="MLNKa7775792bf444a4785f8ed5c82461a24" hidden="1">#REF!</definedName>
    <definedName name="_xlnm.Print_Titles" localSheetId="1">'Balance Sheet'!$1:$3</definedName>
    <definedName name="_xlnm.Print_Titles" localSheetId="0">'Income Statement'!$1:$3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72" i="1" l="1"/>
  <c r="O16" i="4"/>
  <c r="O15" i="4"/>
  <c r="Q15" i="4"/>
  <c r="C62" i="1"/>
  <c r="D7" i="1"/>
  <c r="F33" i="1"/>
  <c r="G33" i="1"/>
  <c r="H33" i="1"/>
  <c r="I33" i="1"/>
  <c r="E33" i="1"/>
  <c r="L16" i="4"/>
  <c r="BZ3" i="3"/>
  <c r="BZ4" i="3"/>
  <c r="BZ5" i="3"/>
  <c r="BZ6" i="3"/>
  <c r="BZ7" i="3"/>
  <c r="BZ8" i="3"/>
  <c r="BZ9" i="3"/>
  <c r="BZ10" i="3"/>
  <c r="BZ11" i="3"/>
  <c r="BZ12" i="3"/>
  <c r="BZ2" i="3"/>
  <c r="BY3" i="3"/>
  <c r="BY4" i="3"/>
  <c r="BY5" i="3"/>
  <c r="BY6" i="3"/>
  <c r="BY7" i="3"/>
  <c r="BY8" i="3"/>
  <c r="BY9" i="3"/>
  <c r="BY10" i="3"/>
  <c r="BY11" i="3"/>
  <c r="BY12" i="3"/>
  <c r="BY2" i="3"/>
  <c r="D32" i="1"/>
  <c r="F19" i="1"/>
  <c r="G19" i="1" s="1"/>
  <c r="H19" i="1" s="1"/>
  <c r="D25" i="1"/>
  <c r="F22" i="1"/>
  <c r="G22" i="1" s="1"/>
  <c r="H22" i="1" s="1"/>
  <c r="I22" i="1" s="1"/>
  <c r="E22" i="1"/>
  <c r="H16" i="4"/>
  <c r="D22" i="1"/>
  <c r="E19" i="1"/>
  <c r="F17" i="1"/>
  <c r="G17" i="1"/>
  <c r="H17" i="1" s="1"/>
  <c r="E17" i="1"/>
  <c r="D16" i="1"/>
  <c r="D18" i="1"/>
  <c r="D21" i="1" s="1"/>
  <c r="F15" i="1"/>
  <c r="G15" i="1" s="1"/>
  <c r="H15" i="1" s="1"/>
  <c r="E15" i="1"/>
  <c r="D15" i="1"/>
  <c r="D16" i="4"/>
  <c r="D15" i="4"/>
  <c r="D4" i="4"/>
  <c r="D5" i="4"/>
  <c r="D6" i="4"/>
  <c r="D7" i="4"/>
  <c r="D8" i="4"/>
  <c r="D9" i="4"/>
  <c r="D10" i="4"/>
  <c r="D11" i="4"/>
  <c r="D12" i="4"/>
  <c r="D3" i="4"/>
  <c r="D12" i="1"/>
  <c r="E12" i="1"/>
  <c r="E37" i="1" s="1"/>
  <c r="D14" i="1"/>
  <c r="D28" i="1" s="1"/>
  <c r="E28" i="1" s="1"/>
  <c r="Q124" i="1"/>
  <c r="O124" i="1"/>
  <c r="D124" i="1"/>
  <c r="Q123" i="1"/>
  <c r="O123" i="1"/>
  <c r="G123" i="1"/>
  <c r="E123" i="1"/>
  <c r="C123" i="1"/>
  <c r="Q122" i="1"/>
  <c r="O122" i="1"/>
  <c r="E122" i="1"/>
  <c r="C122" i="1"/>
  <c r="L97" i="1"/>
  <c r="L98" i="1" s="1"/>
  <c r="G124" i="1" s="1"/>
  <c r="D97" i="1"/>
  <c r="D98" i="1" s="1"/>
  <c r="L95" i="1"/>
  <c r="D95" i="1"/>
  <c r="L94" i="1"/>
  <c r="D94" i="1"/>
  <c r="Q93" i="1"/>
  <c r="P93" i="1"/>
  <c r="N93" i="1"/>
  <c r="M93" i="1" s="1"/>
  <c r="H93" i="1"/>
  <c r="I93" i="1" s="1"/>
  <c r="F93" i="1"/>
  <c r="E93" i="1"/>
  <c r="B122" i="1" s="1"/>
  <c r="L88" i="1"/>
  <c r="L89" i="1" s="1"/>
  <c r="D88" i="1"/>
  <c r="D89" i="1" s="1"/>
  <c r="L86" i="1"/>
  <c r="D86" i="1"/>
  <c r="D85" i="1" s="1"/>
  <c r="L85" i="1"/>
  <c r="Q84" i="1"/>
  <c r="P84" i="1"/>
  <c r="N84" i="1"/>
  <c r="M84" i="1" s="1"/>
  <c r="G122" i="1" s="1"/>
  <c r="H84" i="1"/>
  <c r="I84" i="1" s="1"/>
  <c r="B123" i="1" s="1"/>
  <c r="F84" i="1"/>
  <c r="E84" i="1"/>
  <c r="I61" i="1"/>
  <c r="D72" i="1" s="1"/>
  <c r="C65" i="1"/>
  <c r="C70" i="1" s="1"/>
  <c r="D70" i="1" s="1"/>
  <c r="C32" i="1"/>
  <c r="D26" i="1" s="1"/>
  <c r="D5" i="1"/>
  <c r="B3" i="1"/>
  <c r="D37" i="1" l="1"/>
  <c r="B35" i="1"/>
  <c r="D8" i="1"/>
  <c r="C38" i="1" s="1"/>
  <c r="P124" i="1"/>
  <c r="D23" i="1"/>
  <c r="D33" i="1"/>
  <c r="D19" i="1"/>
  <c r="D17" i="1"/>
  <c r="P123" i="1"/>
  <c r="D123" i="1"/>
  <c r="P122" i="1"/>
  <c r="D122" i="1"/>
  <c r="F12" i="1"/>
  <c r="G12" i="1" l="1"/>
  <c r="F37" i="1"/>
  <c r="H12" i="1" l="1"/>
  <c r="G37" i="1"/>
  <c r="I12" i="1" l="1"/>
  <c r="H37" i="1"/>
  <c r="E44" i="1" l="1"/>
  <c r="I37" i="1"/>
  <c r="B44" i="1"/>
  <c r="B43" i="1"/>
  <c r="E14" i="1" l="1"/>
  <c r="E18" i="1" s="1"/>
  <c r="E32" i="1" l="1"/>
  <c r="E26" i="1" s="1"/>
  <c r="F14" i="1"/>
  <c r="F18" i="1" s="1"/>
  <c r="F21" i="1" s="1"/>
  <c r="F23" i="1" s="1"/>
  <c r="E16" i="1"/>
  <c r="E21" i="1"/>
  <c r="E23" i="1"/>
  <c r="E25" i="1"/>
  <c r="G14" i="1"/>
  <c r="E27" i="1"/>
  <c r="F16" i="1"/>
  <c r="F25" i="1" s="1"/>
  <c r="F32" i="1"/>
  <c r="F27" i="1" l="1"/>
  <c r="F26" i="1"/>
  <c r="F30" i="1"/>
  <c r="F38" i="1" s="1"/>
  <c r="F39" i="1" s="1"/>
  <c r="G16" i="1"/>
  <c r="G32" i="1"/>
  <c r="H14" i="1"/>
  <c r="G18" i="1"/>
  <c r="G27" i="1"/>
  <c r="E30" i="1"/>
  <c r="E38" i="1" s="1"/>
  <c r="E39" i="1" s="1"/>
  <c r="G21" i="1" l="1"/>
  <c r="G23" i="1"/>
  <c r="H27" i="1"/>
  <c r="H32" i="1"/>
  <c r="I14" i="1"/>
  <c r="H18" i="1"/>
  <c r="H16" i="1"/>
  <c r="G25" i="1"/>
  <c r="H26" i="1"/>
  <c r="G26" i="1"/>
  <c r="H25" i="1" l="1"/>
  <c r="H21" i="1"/>
  <c r="H23" i="1" s="1"/>
  <c r="H30" i="1" s="1"/>
  <c r="H38" i="1" s="1"/>
  <c r="H39" i="1" s="1"/>
  <c r="G30" i="1"/>
  <c r="G38" i="1" s="1"/>
  <c r="G39" i="1" s="1"/>
  <c r="I27" i="1"/>
  <c r="I18" i="1"/>
  <c r="I16" i="1"/>
  <c r="I32" i="1"/>
  <c r="I26" i="1"/>
  <c r="I21" i="1" l="1"/>
  <c r="I23" i="1" s="1"/>
  <c r="I42" i="1"/>
  <c r="I44" i="1" s="1"/>
  <c r="I45" i="1" s="1"/>
  <c r="I25" i="1"/>
  <c r="I30" i="1" l="1"/>
  <c r="I38" i="1" s="1"/>
  <c r="C43" i="1"/>
  <c r="C44" i="1" s="1"/>
  <c r="C51" i="1" l="1"/>
  <c r="C45" i="1"/>
  <c r="I39" i="1"/>
  <c r="C46" i="1" s="1"/>
  <c r="I51" i="1"/>
  <c r="I46" i="1" l="1"/>
  <c r="C47" i="1"/>
  <c r="C69" i="1" s="1"/>
  <c r="C49" i="1" l="1"/>
  <c r="C78" i="1"/>
  <c r="C77" i="1"/>
  <c r="L84" i="1" s="1"/>
  <c r="C76" i="1"/>
  <c r="C71" i="1"/>
  <c r="C73" i="1" s="1"/>
  <c r="D84" i="1" s="1"/>
  <c r="I47" i="1"/>
  <c r="C50" i="1"/>
  <c r="D69" i="1" l="1"/>
  <c r="I49" i="1"/>
  <c r="I50" i="1"/>
  <c r="D77" i="1" l="1"/>
  <c r="L93" i="1" s="1"/>
  <c r="D76" i="1"/>
  <c r="D78" i="1"/>
  <c r="D71" i="1"/>
  <c r="D73" i="1" s="1"/>
  <c r="D93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Matan Feldman</author>
    <author>tc={5E10299A-67A1-FC4B-9720-FD1EF2B09E09}</author>
    <author>tc={0040A186-79A7-D145-B5F6-72B1774B73B7}</author>
    <author>tc={18ECD44A-5814-874F-9A40-D83E1D291953}</author>
    <author>Wall Street Prep</author>
  </authors>
  <commentList>
    <comment ref="H7" authorId="0" shapeId="0" xr:uid="{E6753957-5D49-2C4A-8BF7-B8628872BF6E}">
      <text>
        <r>
          <rPr>
            <b/>
            <sz val="9"/>
            <color indexed="81"/>
            <rFont val="Tahoma"/>
            <family val="2"/>
          </rPr>
          <t>Wall Street Prep:</t>
        </r>
        <r>
          <rPr>
            <sz val="9"/>
            <color indexed="81"/>
            <rFont val="Tahoma"/>
            <family val="2"/>
          </rPr>
          <t xml:space="preserve">
1 = Midyear CF
0 = End of year CF</t>
        </r>
      </text>
    </comment>
    <comment ref="D15" authorId="1" shapeId="0" xr:uid="{5E10299A-67A1-FC4B-9720-FD1EF2B09E09}">
      <text>
        <t>[Threaded comment]
Your version of Excel allows you to read this threaded comment; however, any edits to it will get removed if the file is opened in a newer version of Excel. Learn more: https://go.microsoft.com/fwlink/?linkid=870924
Comment:
    10-year CAGR average</t>
      </text>
    </comment>
    <comment ref="D22" authorId="2" shapeId="0" xr:uid="{0040A186-79A7-D145-B5F6-72B1774B73B7}">
      <text>
        <t>[Threaded comment]
Your version of Excel allows you to read this threaded comment; however, any edits to it will get removed if the file is opened in a newer version of Excel. Learn more: https://go.microsoft.com/fwlink/?linkid=870924
Comment:
    10 Year Average of Tax Rate</t>
      </text>
    </comment>
    <comment ref="B23" authorId="0" shapeId="0" xr:uid="{8BDDC1F9-AEEA-1B42-8756-D355B0DF0250}">
      <text>
        <r>
          <rPr>
            <b/>
            <sz val="9"/>
            <color indexed="81"/>
            <rFont val="Tahoma"/>
            <family val="2"/>
          </rPr>
          <t>Matan Feldman:</t>
        </r>
        <r>
          <rPr>
            <sz val="9"/>
            <color indexed="81"/>
            <rFont val="Tahoma"/>
            <family val="2"/>
          </rPr>
          <t xml:space="preserve">
NOPAT stands for net operating profit after taxes.  It represents a company's operating profits less tax expense on operations.  This means that the tax deductions due to interest expense are ignored in this buildup and are instead captured in the discount rate.</t>
        </r>
      </text>
    </comment>
    <comment ref="E33" authorId="3" shapeId="0" xr:uid="{18ECD44A-5814-874F-9A40-D83E1D291953}">
      <text>
        <t>[Threaded comment]
Your version of Excel allows you to read this threaded comment; however, any edits to it will get removed if the file is opened in a newer version of Excel. Learn more: https://go.microsoft.com/fwlink/?linkid=870924
Comment:
    10 Year Mean of NWC</t>
      </text>
    </comment>
    <comment ref="E38" authorId="0" shapeId="0" xr:uid="{D0A139BF-E023-A348-B8A7-FD40D61DA95C}">
      <text>
        <r>
          <rPr>
            <b/>
            <sz val="9"/>
            <color rgb="FF000000"/>
            <rFont val="Tahoma"/>
            <family val="2"/>
          </rPr>
          <t>Matan Feldman: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Stub year adjusted</t>
        </r>
      </text>
    </comment>
    <comment ref="I51" authorId="4" shapeId="0" xr:uid="{8F4D3340-468C-064C-ACE2-0334F5A75FEC}">
      <text>
        <r>
          <rPr>
            <b/>
            <sz val="9"/>
            <color rgb="FF000000"/>
            <rFont val="Tahoma"/>
            <family val="2"/>
          </rPr>
          <t>Wall Street Prep: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Implied g = [r -FCF(t)/TV]/(1+FCF(t)/TV)
</t>
        </r>
      </text>
    </comment>
    <comment ref="B57" authorId="0" shapeId="0" xr:uid="{74C041FA-506D-0545-9EE6-8E9221AD757E}">
      <text>
        <r>
          <rPr>
            <b/>
            <sz val="9"/>
            <color indexed="81"/>
            <rFont val="Tahoma"/>
            <family val="2"/>
          </rPr>
          <t>Matan Feldman:</t>
        </r>
        <r>
          <rPr>
            <sz val="9"/>
            <color indexed="81"/>
            <rFont val="Tahoma"/>
            <family val="2"/>
          </rPr>
          <t xml:space="preserve">
Include all debt tranches</t>
        </r>
      </text>
    </comment>
    <comment ref="I57" authorId="0" shapeId="0" xr:uid="{6B139690-AAE2-714F-B6D3-FC5F9787E835}">
      <text>
        <r>
          <rPr>
            <b/>
            <sz val="9"/>
            <color indexed="81"/>
            <rFont val="Tahoma"/>
            <family val="2"/>
          </rPr>
          <t>Matan Feldman:</t>
        </r>
        <r>
          <rPr>
            <sz val="9"/>
            <color indexed="81"/>
            <rFont val="Tahoma"/>
            <family val="2"/>
          </rPr>
          <t xml:space="preserve">
Source: Q1 2020 10Q p.19 </t>
        </r>
      </text>
    </comment>
    <comment ref="B62" authorId="0" shapeId="0" xr:uid="{DD6ADC15-DD8D-B44A-86AF-F5118C1C0DDC}">
      <text>
        <r>
          <rPr>
            <b/>
            <sz val="9"/>
            <color rgb="FF000000"/>
            <rFont val="Tahoma"/>
            <family val="2"/>
          </rPr>
          <t>Matan Feldman: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Include cash &amp; equivalents, short term and long term marketable securites and investments</t>
        </r>
      </text>
    </comment>
  </commentList>
</comments>
</file>

<file path=xl/sharedStrings.xml><?xml version="1.0" encoding="utf-8"?>
<sst xmlns="http://schemas.openxmlformats.org/spreadsheetml/2006/main" count="918" uniqueCount="319">
  <si>
    <t>Discounted Cash Flow Valuation</t>
  </si>
  <si>
    <t>Most recent fiscal year end</t>
  </si>
  <si>
    <t>Discount rate (WACC)</t>
  </si>
  <si>
    <t>End of first fiscal year</t>
  </si>
  <si>
    <t>Share price (Public Co)</t>
  </si>
  <si>
    <t>Most recent quarter end date</t>
  </si>
  <si>
    <t>Share price date</t>
  </si>
  <si>
    <t xml:space="preserve">Valuation date </t>
  </si>
  <si>
    <t>Midyear adjustment?</t>
  </si>
  <si>
    <t>Portion of year 1 cash flows in forecast</t>
  </si>
  <si>
    <t>Unlevered Free Cash Flows</t>
  </si>
  <si>
    <t>Actual</t>
  </si>
  <si>
    <t>Forecasts</t>
  </si>
  <si>
    <t>Fiscal year ended</t>
  </si>
  <si>
    <t>Revenue</t>
  </si>
  <si>
    <t>% growth</t>
  </si>
  <si>
    <t>EBITDA</t>
  </si>
  <si>
    <t>% margin</t>
  </si>
  <si>
    <t>EBIT</t>
  </si>
  <si>
    <t>Tax on EBIT</t>
  </si>
  <si>
    <t>Tax rate</t>
  </si>
  <si>
    <t>NOPAT (aka EBIAT)</t>
  </si>
  <si>
    <t>Depreciation &amp; amortization</t>
  </si>
  <si>
    <t>Changes in net working capital</t>
  </si>
  <si>
    <t>Capital expenditures</t>
  </si>
  <si>
    <t>as % of revenue</t>
  </si>
  <si>
    <t>Unlevered free cash flows (UFCF)</t>
  </si>
  <si>
    <t>Val date</t>
  </si>
  <si>
    <t xml:space="preserve">Yr 1 - Stub </t>
  </si>
  <si>
    <t>Year 2</t>
  </si>
  <si>
    <t>Year 3</t>
  </si>
  <si>
    <t>Year 4</t>
  </si>
  <si>
    <t>Year 5</t>
  </si>
  <si>
    <t>Date for discounting cash flows</t>
  </si>
  <si>
    <t>Unlevered free cash flows (UFCF) stub adjusted</t>
  </si>
  <si>
    <t>Present value of of unlevered free cash flows</t>
  </si>
  <si>
    <t>Terminal value - growth in perpetuity approach</t>
  </si>
  <si>
    <t>Terminal value - EBITDA multiple approach</t>
  </si>
  <si>
    <t>Long term growth rate</t>
  </si>
  <si>
    <t>Terminal year EBITDA</t>
  </si>
  <si>
    <t>EBITDA multiple</t>
  </si>
  <si>
    <t>Present value of terminal value</t>
  </si>
  <si>
    <t>Present value of stage 1 cash flows</t>
  </si>
  <si>
    <t>Total enterprise value (TEV)</t>
  </si>
  <si>
    <t>Enterprise value (stage 1 + 2)</t>
  </si>
  <si>
    <t>Terminal value as % of TEV</t>
  </si>
  <si>
    <t>Stage 1 cash flows as % of TEV</t>
  </si>
  <si>
    <t>Implied TV exit EBITDA multiple</t>
  </si>
  <si>
    <t>Implied terminal growth rate</t>
  </si>
  <si>
    <t>Net debt</t>
  </si>
  <si>
    <t>Shares outstanding</t>
  </si>
  <si>
    <t>Source doc</t>
  </si>
  <si>
    <t>Q1 2020 10Q</t>
  </si>
  <si>
    <t>Source date</t>
  </si>
  <si>
    <t>Date</t>
  </si>
  <si>
    <t>Shares</t>
  </si>
  <si>
    <t>Gross debt and equivalents</t>
  </si>
  <si>
    <t>Basic shares</t>
  </si>
  <si>
    <t>Debt</t>
  </si>
  <si>
    <t>Restricted stock / RSUs</t>
  </si>
  <si>
    <t>Convertible debt</t>
  </si>
  <si>
    <t>Options / warrants</t>
  </si>
  <si>
    <t>Preferred stock</t>
  </si>
  <si>
    <t>Noncontrolling (minority) interests</t>
  </si>
  <si>
    <t>Convertible preferred stock</t>
  </si>
  <si>
    <t>Nonoperating assets</t>
  </si>
  <si>
    <t>Net diluted shares outstanding</t>
  </si>
  <si>
    <t xml:space="preserve">Cash </t>
  </si>
  <si>
    <t xml:space="preserve">Equity investments </t>
  </si>
  <si>
    <t>Valuation</t>
  </si>
  <si>
    <t>Perpetuity</t>
  </si>
  <si>
    <t>Enterprise value</t>
  </si>
  <si>
    <t xml:space="preserve">Equity value </t>
  </si>
  <si>
    <t>Equity value per share</t>
  </si>
  <si>
    <t>Year 1 Multiples</t>
  </si>
  <si>
    <t>EV / Revenue</t>
  </si>
  <si>
    <t xml:space="preserve">EV / EBITDA </t>
  </si>
  <si>
    <t>EV / EBIT</t>
  </si>
  <si>
    <t>Outputs</t>
  </si>
  <si>
    <t>Year 1 EBITDA multiple</t>
  </si>
  <si>
    <t>Long term growth rate (g):</t>
  </si>
  <si>
    <t>WACC:</t>
  </si>
  <si>
    <t xml:space="preserve">Data </t>
  </si>
  <si>
    <t>Tables</t>
  </si>
  <si>
    <t>Exit EBITDA Multiple</t>
  </si>
  <si>
    <t>Equity value range</t>
  </si>
  <si>
    <t>Football field</t>
  </si>
  <si>
    <t>Low</t>
  </si>
  <si>
    <t>Diff.</t>
  </si>
  <si>
    <t>High</t>
  </si>
  <si>
    <t>52 Week Market High/Low</t>
  </si>
  <si>
    <t>British Airways Plc (UK) &gt; Financials &gt; Income Statement</t>
  </si>
  <si>
    <t>In Millions of the reported currency, except per share items.</t>
  </si>
  <si>
    <t>Template:</t>
  </si>
  <si>
    <t>Standard</t>
  </si>
  <si>
    <t> </t>
  </si>
  <si>
    <t>Restatement:</t>
  </si>
  <si>
    <t>Latest Filings</t>
  </si>
  <si>
    <t>Period Type:</t>
  </si>
  <si>
    <t>Annual</t>
  </si>
  <si>
    <t>Order:</t>
  </si>
  <si>
    <t>Latest on Right</t>
  </si>
  <si>
    <t>Currency:</t>
  </si>
  <si>
    <t>Reported Currency</t>
  </si>
  <si>
    <t>Conversion:</t>
  </si>
  <si>
    <t>Historical</t>
  </si>
  <si>
    <t>Units:</t>
  </si>
  <si>
    <t>S&amp;P Capital IQ (Default)</t>
  </si>
  <si>
    <t>Decimals:</t>
  </si>
  <si>
    <t>Capital IQ (Default)</t>
  </si>
  <si>
    <t>Source:</t>
  </si>
  <si>
    <t>Capital IQ &amp; Proprietary Data</t>
  </si>
  <si>
    <t>Income Statement</t>
  </si>
  <si>
    <t xml:space="preserve">For the Fiscal Period Ending
</t>
  </si>
  <si>
    <t>12 months
Dec-31-2010</t>
  </si>
  <si>
    <t>Reclassified
12 months
Dec-31-2011</t>
  </si>
  <si>
    <t>Restated
12 months
Dec-31-2012</t>
  </si>
  <si>
    <t>12 months
Dec-31-2013</t>
  </si>
  <si>
    <t>12 months
Dec-31-2014</t>
  </si>
  <si>
    <t>Reclassified
12 months
Dec-31-2015</t>
  </si>
  <si>
    <t>Reclassified
12 months
Dec-31-2016</t>
  </si>
  <si>
    <t>Restated
12 months
Dec-31-2017</t>
  </si>
  <si>
    <t>Reclassified
12 months
Dec-31-2018</t>
  </si>
  <si>
    <t>12 months
Dec-31-2019</t>
  </si>
  <si>
    <t>LTM
12 months
Jun-30-2020</t>
  </si>
  <si>
    <t>Currency</t>
  </si>
  <si>
    <t>GBP</t>
  </si>
  <si>
    <t xml:space="preserve"> </t>
  </si>
  <si>
    <t>Other Revenue</t>
  </si>
  <si>
    <t xml:space="preserve">  Total Revenue</t>
  </si>
  <si>
    <t>Cost Of Goods Sold</t>
  </si>
  <si>
    <t xml:space="preserve">  Gross Profit</t>
  </si>
  <si>
    <t>Selling General &amp; Admin Exp.</t>
  </si>
  <si>
    <t>R &amp; D Exp.</t>
  </si>
  <si>
    <t>-</t>
  </si>
  <si>
    <t>Depreciation &amp; Amort.</t>
  </si>
  <si>
    <t>Other Operating Expense/(Income)</t>
  </si>
  <si>
    <t xml:space="preserve">  Other Operating Exp., Total</t>
  </si>
  <si>
    <t xml:space="preserve">  Operating Income</t>
  </si>
  <si>
    <t>Interest Expense</t>
  </si>
  <si>
    <t>Interest and Invest. Income</t>
  </si>
  <si>
    <t xml:space="preserve">  Net Interest Exp.</t>
  </si>
  <si>
    <t>Income/(Loss) from Affiliates</t>
  </si>
  <si>
    <t>Currency Exchange Gains (Loss)</t>
  </si>
  <si>
    <t>Other Non-Operating Inc. (Exp.)</t>
  </si>
  <si>
    <t xml:space="preserve">  EBT Excl. Unusual Items</t>
  </si>
  <si>
    <t>Restructuring Charges</t>
  </si>
  <si>
    <t>Merger &amp; Related Restruct. Charges</t>
  </si>
  <si>
    <t>Impairment of Goodwill</t>
  </si>
  <si>
    <t>Gain (Loss) On Sale Of Invest.</t>
  </si>
  <si>
    <t>Gain (Loss) On Sale Of Assets</t>
  </si>
  <si>
    <t>Asset Writedown</t>
  </si>
  <si>
    <t>Legal Settlements</t>
  </si>
  <si>
    <t>Other Unusual Items</t>
  </si>
  <si>
    <t xml:space="preserve">  EBT Incl. Unusual Items</t>
  </si>
  <si>
    <t>Income Tax Expense</t>
  </si>
  <si>
    <t xml:space="preserve">  Earnings from Cont. Ops.</t>
  </si>
  <si>
    <t>Earnings of Discontinued Ops.</t>
  </si>
  <si>
    <t>Extraord. Item &amp; Account. Change</t>
  </si>
  <si>
    <t xml:space="preserve">  Net Income to Company</t>
  </si>
  <si>
    <t>Minority Int. in Earnings</t>
  </si>
  <si>
    <t xml:space="preserve">  Net Income</t>
  </si>
  <si>
    <t>Pref. Dividends and Other Adj.</t>
  </si>
  <si>
    <t xml:space="preserve">  NI to Common Incl Extra Items</t>
  </si>
  <si>
    <t xml:space="preserve">  NI to Common Excl. Extra Items</t>
  </si>
  <si>
    <t>Per Share Items</t>
  </si>
  <si>
    <t>Basic EPS</t>
  </si>
  <si>
    <t>NA</t>
  </si>
  <si>
    <t>Basic EPS Excl. Extra Items</t>
  </si>
  <si>
    <t>Weighted Avg. Basic Shares Out.</t>
  </si>
  <si>
    <t>Diluted EPS</t>
  </si>
  <si>
    <t>Diluted EPS Excl. Extra Items</t>
  </si>
  <si>
    <t>Weighted Avg. Diluted Shares Out.</t>
  </si>
  <si>
    <t>Normalized Basic EPS</t>
  </si>
  <si>
    <t>Normalized Diluted EPS</t>
  </si>
  <si>
    <t>Dividends per Share</t>
  </si>
  <si>
    <t>Payout Ratio %</t>
  </si>
  <si>
    <t>NM</t>
  </si>
  <si>
    <t>Shares per Depository Receipt</t>
  </si>
  <si>
    <t>Supplemental Items</t>
  </si>
  <si>
    <t>EBITA</t>
  </si>
  <si>
    <t>EBITDAR</t>
  </si>
  <si>
    <t>As Reported Total Revenue*</t>
  </si>
  <si>
    <t>Effective Tax Rate %</t>
  </si>
  <si>
    <t>Current Domestic Taxes</t>
  </si>
  <si>
    <t>Current Foreign Taxes</t>
  </si>
  <si>
    <t>Total Current Taxes</t>
  </si>
  <si>
    <t>Total Deferred Taxes</t>
  </si>
  <si>
    <t>Normalized Net Income</t>
  </si>
  <si>
    <t>Interest Capitalized</t>
  </si>
  <si>
    <t>Interest on Long Term Debt</t>
  </si>
  <si>
    <t>Non-Cash Pension Expense</t>
  </si>
  <si>
    <t>Filing Date</t>
  </si>
  <si>
    <t>Restatement Type</t>
  </si>
  <si>
    <t>NC</t>
  </si>
  <si>
    <t>RC</t>
  </si>
  <si>
    <t>RS</t>
  </si>
  <si>
    <t>RD</t>
  </si>
  <si>
    <t>O</t>
  </si>
  <si>
    <t>Calculation Type</t>
  </si>
  <si>
    <t>ANNU</t>
  </si>
  <si>
    <t>REP</t>
  </si>
  <si>
    <t>LTM</t>
  </si>
  <si>
    <t>Supplemental Operating Expense Items</t>
  </si>
  <si>
    <t>Selling and Marketing Exp.</t>
  </si>
  <si>
    <t>Net Rental Exp.</t>
  </si>
  <si>
    <t>Imputed Oper. Lease Interest Exp.</t>
  </si>
  <si>
    <t>Imputed Oper. Lease Depreciation</t>
  </si>
  <si>
    <t>Stock-Based Comp., COGS</t>
  </si>
  <si>
    <t xml:space="preserve">  Stock-Based Comp., Total</t>
  </si>
  <si>
    <t>* Occasionally, certain items classified as Revenue by the company will be re-classified as other income if it is deemed to be non-recurring and unrelated to the core business of the firm. This field shows Total Revenue exactly as reported by the firm on its consolidated statement of income.</t>
  </si>
  <si>
    <t>Note: For multiple class companies, per share items are primary class equivalent, and for foreign companies listed as primary ADRs, per share items are ADR-equivalent.</t>
  </si>
  <si>
    <t xml:space="preserve">
               </t>
  </si>
  <si>
    <t>Year</t>
  </si>
  <si>
    <t>Filing Date As Of</t>
  </si>
  <si>
    <t>Dec-31-2010</t>
  </si>
  <si>
    <t>Dec-31-2011</t>
  </si>
  <si>
    <t>Dec-31-2012</t>
  </si>
  <si>
    <t>Dec-31-2013</t>
  </si>
  <si>
    <t>Dec-31-2014</t>
  </si>
  <si>
    <t>Dec-31-2015</t>
  </si>
  <si>
    <t>Dec-31-2016</t>
  </si>
  <si>
    <t>Dec-31-2017</t>
  </si>
  <si>
    <t>Dec-31-2018</t>
  </si>
  <si>
    <t>Dec-31-2019</t>
  </si>
  <si>
    <t>Jun-30-2020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</si>
  <si>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</si>
  <si>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</si>
  <si>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</si>
  <si>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</si>
  <si>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</si>
  <si>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</si>
  <si>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</si>
  <si>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</si>
  <si>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</si>
  <si>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</si>
  <si>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</si>
  <si>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Revenue Growth Rate %</t>
  </si>
  <si>
    <t>Average 10-Year Revenue Growth Rate (CAGR)</t>
  </si>
  <si>
    <t>Average 10-Year Revenue Growth Rate (Mean)</t>
  </si>
  <si>
    <t>Average Tax Rate (Mean)</t>
  </si>
  <si>
    <t>British Airways Plc (UK) &gt; Financials &gt; Balance Sheet</t>
  </si>
  <si>
    <t>Balance Sheet</t>
  </si>
  <si>
    <t xml:space="preserve">Balance Sheet as of:
</t>
  </si>
  <si>
    <t>Restated
Dec-31-2012</t>
  </si>
  <si>
    <t>Restated
Dec-31-2017</t>
  </si>
  <si>
    <t>Restated
Dec-31-2018</t>
  </si>
  <si>
    <t>ASSETS</t>
  </si>
  <si>
    <t>Cash And Equivalents</t>
  </si>
  <si>
    <t>Short Term Investments</t>
  </si>
  <si>
    <t xml:space="preserve">  Total Cash &amp; ST Investments</t>
  </si>
  <si>
    <t>Accounts Receivable</t>
  </si>
  <si>
    <t>Other Receivables</t>
  </si>
  <si>
    <t>Notes Receivable</t>
  </si>
  <si>
    <t xml:space="preserve">  Total Receivables</t>
  </si>
  <si>
    <t>Inventory</t>
  </si>
  <si>
    <t>Prepaid Exp.</t>
  </si>
  <si>
    <t>Other Current Assets</t>
  </si>
  <si>
    <t xml:space="preserve">  Total Current Assets</t>
  </si>
  <si>
    <t>Gross Property, Plant &amp; Equipment</t>
  </si>
  <si>
    <t>Accumulated Depreciation</t>
  </si>
  <si>
    <t xml:space="preserve">  Net Property, Plant &amp; Equipment</t>
  </si>
  <si>
    <t>Long-term Investments</t>
  </si>
  <si>
    <t>Goodwill</t>
  </si>
  <si>
    <t>Other Intangibles</t>
  </si>
  <si>
    <t>Loans Receivable Long-Term</t>
  </si>
  <si>
    <t>Other Long-Term Assets</t>
  </si>
  <si>
    <t>Total Assets</t>
  </si>
  <si>
    <t>LIABILITIES</t>
  </si>
  <si>
    <t>Accounts Payable</t>
  </si>
  <si>
    <t>Accrued Exp.</t>
  </si>
  <si>
    <t>Short-term Borrowings</t>
  </si>
  <si>
    <t>Curr. Port. of LT Debt</t>
  </si>
  <si>
    <t>Curr. Port. of Leases</t>
  </si>
  <si>
    <t>Curr. Income Taxes Payable</t>
  </si>
  <si>
    <t>Unearned Revenue, Current</t>
  </si>
  <si>
    <t>Other Current Liabilities</t>
  </si>
  <si>
    <t xml:space="preserve">  Total Current Liabilities</t>
  </si>
  <si>
    <t>Long-Term Debt</t>
  </si>
  <si>
    <t>Long-Term Leases</t>
  </si>
  <si>
    <t>Unearned Revenue, Non-Current</t>
  </si>
  <si>
    <t>Pension &amp; Other Post-Retire. Benefits</t>
  </si>
  <si>
    <t>Def. Tax Liability, Non-Curr.</t>
  </si>
  <si>
    <t>Other Non-Current Liabilities</t>
  </si>
  <si>
    <t>Total Liabilities</t>
  </si>
  <si>
    <t>Common Stock</t>
  </si>
  <si>
    <t>Additional Paid In Capital</t>
  </si>
  <si>
    <t>Retained Earnings</t>
  </si>
  <si>
    <t>Treasury Stock</t>
  </si>
  <si>
    <t>Comprehensive Inc. and Other</t>
  </si>
  <si>
    <t xml:space="preserve">  Total Common Equity</t>
  </si>
  <si>
    <t>Minority Interest</t>
  </si>
  <si>
    <t>Total Equity</t>
  </si>
  <si>
    <t>Total Liabilities And Equity</t>
  </si>
  <si>
    <t>Total Shares Out. on Filing Date</t>
  </si>
  <si>
    <t>Total Shares Out. on Balance Sheet Date</t>
  </si>
  <si>
    <t>Book Value/Share</t>
  </si>
  <si>
    <t>Tangible Book Value</t>
  </si>
  <si>
    <t>Tangible Book Value/Share</t>
  </si>
  <si>
    <t>Total Debt</t>
  </si>
  <si>
    <t>Net Debt</t>
  </si>
  <si>
    <t>Debt Equiv. of Unfunded Proj. Benefit Obligation</t>
  </si>
  <si>
    <t>Debt Equivalent Oper. Leases</t>
  </si>
  <si>
    <t>Total Minority Interest</t>
  </si>
  <si>
    <t>Equity Method Investments</t>
  </si>
  <si>
    <t>Inventory Method</t>
  </si>
  <si>
    <t>Avg Cost</t>
  </si>
  <si>
    <t>Raw Materials Inventory</t>
  </si>
  <si>
    <t>Machinery</t>
  </si>
  <si>
    <t>Full Time Employees</t>
  </si>
  <si>
    <t>Accum. Allowance for Doubtful Accts</t>
  </si>
  <si>
    <t>Note: For multiple class companies, total share counts are primary class equivalent, and for foreign companies listed as primary ADRs, total share counts are ADR-equivalent.</t>
  </si>
  <si>
    <t>Net working capital (Current Assets - Current liabilities)</t>
  </si>
  <si>
    <t>Net Working Capital</t>
  </si>
  <si>
    <t>NWC as % of Revenue</t>
  </si>
  <si>
    <t>Average NWC  (Mean)</t>
  </si>
  <si>
    <t>Shares Outstanding</t>
  </si>
  <si>
    <t>Net Income (mil GBP, 2019)</t>
  </si>
  <si>
    <t>EPS (2019)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</si>
</sst>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9">
    <numFmt numFmtId="7" formatCode="&quot;$&quot;#,##0.00_);\(&quot;$&quot;#,##0.00\)"/>
    <numFmt numFmtId="43" formatCode="_(* #,##0.00_);_(* \(#,##0.00\);_(* &quot;-&quot;??_);_(@_)"/>
    <numFmt numFmtId="164" formatCode="0.0%_);\(0.0%\);@_)"/>
    <numFmt numFmtId="165" formatCode="#,##0_);\(#,##0\);@_)"/>
    <numFmt numFmtId="166" formatCode="_(#,##0.0%_);\(#,##0.0%\);_(&quot;–&quot;_)_%;_(@_)_%"/>
    <numFmt numFmtId="167" formatCode="m/d/yy;@"/>
    <numFmt numFmtId="168" formatCode="0000\A"/>
    <numFmt numFmtId="169" formatCode="0000\P"/>
    <numFmt numFmtId="170" formatCode="0.0\x_);\(0.0\x\);@_)"/>
    <numFmt numFmtId="171" formatCode="0.000%_);\(0.000%\);@_)"/>
    <numFmt numFmtId="172" formatCode="#,##0.000_);\(#,##0.000\);@_)"/>
    <numFmt numFmtId="173" formatCode="#,##0.000_);\(#,##0.000\)"/>
    <numFmt numFmtId="174" formatCode="#,##0.000"/>
    <numFmt numFmtId="175" formatCode="_([$$]#,##0_)_%;\([$$]#,##0\)_%;_(&quot;–&quot;_)_%;_(@_)_%"/>
    <numFmt numFmtId="176" formatCode="&quot;$&quot;#,##0.00_);\(&quot;$&quot;#,##0.00\);@_)"/>
    <numFmt numFmtId="177" formatCode="_(0.0_)_'_x;_(\(0.0\)_';_(&quot;–&quot;_)_%;_(@_)_%"/>
    <numFmt numFmtId="178" formatCode="_(0.0\x_)_';_(\(0.0\x\)_';_(&quot;–&quot;_)_%;_(@_)_%"/>
    <numFmt numFmtId="179" formatCode="0.0%"/>
    <numFmt numFmtId="180" formatCode="#,##0.00_);\(#,##0.00\);\-_);@_)"/>
    <numFmt numFmtId="181" formatCode="#,##0.0_);\(#,##0.0\);\-_);@_)"/>
    <numFmt numFmtId="182" formatCode="_(#,##0.00%_);\(#,##0.00%\);_(&quot;–&quot;_)_%;_(@_)_%"/>
    <numFmt numFmtId="183" formatCode="_(* #,##0.0_);_(* \(#,##0.0\)_)\ ;_(* 0_)"/>
    <numFmt numFmtId="184" formatCode="_(* #,##0.0#_);_(* \(#,##0.0#\)_)\ ;_(* 0_)"/>
    <numFmt numFmtId="185" formatCode="_(#,##0.0%_);_(\(#,##0.0%\)_);_(#,##0.0%_)"/>
    <numFmt numFmtId="186" formatCode="_(* #,##0.0##_);_(* \(#,##0.0##\)_)\ ;_(* 0_)"/>
    <numFmt numFmtId="187" formatCode="mmm\-dd\-yyyy"/>
    <numFmt numFmtId="195" formatCode="_(* #,##0_);_(* \(#,##0\)_)\ ;_(* 0_)"/>
    <numFmt numFmtId="196" formatCode="_-[$£-809]* #,##0.00_-;\-[$£-809]* #,##0.00_-;_-[$£-809]* &quot;-&quot;??_-;_-@_-"/>
    <numFmt numFmtId="198" formatCode="_(* #,##0_);_(* \(#,##0\);_(* &quot;-&quot;??_);_(@_)"/>
  </numFmts>
  <fonts count="46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9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rgb="FF0000FF"/>
      <name val="Calibri"/>
      <family val="2"/>
      <scheme val="minor"/>
    </font>
    <font>
      <sz val="11"/>
      <color rgb="FF008000"/>
      <name val="Calibri"/>
      <family val="2"/>
      <scheme val="minor"/>
    </font>
    <font>
      <u val="singleAccounting"/>
      <sz val="11"/>
      <color theme="1"/>
      <name val="Calibri"/>
      <family val="2"/>
      <scheme val="minor"/>
    </font>
    <font>
      <u val="singleAccounting"/>
      <sz val="11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u/>
      <sz val="11"/>
      <color rgb="FF0070C0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  <font>
      <b/>
      <u val="singleAccounting"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name val="Arial"/>
    </font>
    <font>
      <b/>
      <sz val="13"/>
      <color indexed="8"/>
      <name val="Verdana"/>
    </font>
    <font>
      <sz val="8"/>
      <name val="Arial"/>
    </font>
    <font>
      <i/>
      <sz val="8"/>
      <name val="Arial"/>
    </font>
    <font>
      <b/>
      <sz val="8"/>
      <name val="Arial"/>
    </font>
    <font>
      <sz val="8"/>
      <color indexed="8"/>
      <name val="Arial"/>
    </font>
    <font>
      <b/>
      <sz val="8"/>
      <color indexed="9"/>
      <name val="Verdana"/>
    </font>
    <font>
      <sz val="1"/>
      <color indexed="9"/>
      <name val="Symbol"/>
    </font>
    <font>
      <b/>
      <sz val="8"/>
      <color indexed="8"/>
      <name val="Arial"/>
    </font>
    <font>
      <b/>
      <i/>
      <sz val="8"/>
      <color indexed="8"/>
      <name val="Arial"/>
    </font>
    <font>
      <b/>
      <u val="double"/>
      <sz val="8"/>
      <color indexed="8"/>
      <name val="Arial"/>
    </font>
    <font>
      <b/>
      <sz val="8"/>
      <name val="Arial"/>
      <family val="2"/>
    </font>
    <font>
      <b/>
      <sz val="8"/>
      <color indexed="8"/>
      <name val="Arial"/>
      <family val="2"/>
    </font>
    <font>
      <b/>
      <sz val="8"/>
      <color rgb="FF000000"/>
      <name val="Arial"/>
      <family val="2"/>
    </font>
    <font>
      <sz val="10"/>
      <name val="Arial"/>
      <family val="2"/>
    </font>
    <font>
      <b/>
      <sz val="13"/>
      <color indexed="8"/>
      <name val="Verdana"/>
      <family val="2"/>
    </font>
    <font>
      <sz val="8"/>
      <name val="Arial"/>
      <family val="2"/>
    </font>
    <font>
      <i/>
      <sz val="8"/>
      <name val="Arial"/>
      <family val="2"/>
    </font>
    <font>
      <sz val="8"/>
      <color indexed="8"/>
      <name val="Arial"/>
      <family val="2"/>
    </font>
    <font>
      <b/>
      <sz val="8"/>
      <color indexed="9"/>
      <name val="Verdana"/>
      <family val="2"/>
    </font>
    <font>
      <sz val="1"/>
      <color indexed="9"/>
      <name val="Symbol"/>
      <charset val="2"/>
    </font>
    <font>
      <b/>
      <i/>
      <sz val="8"/>
      <color indexed="8"/>
      <name val="Arial"/>
      <family val="2"/>
    </font>
    <font>
      <b/>
      <u val="double"/>
      <sz val="8"/>
      <color indexed="8"/>
      <name val="Arial"/>
      <family val="2"/>
    </font>
    <font>
      <b/>
      <u/>
      <sz val="8"/>
      <color indexed="8"/>
      <name val="Arial"/>
      <family val="2"/>
    </font>
    <font>
      <sz val="10"/>
      <color rgb="FF000000"/>
      <name val="Tahoma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rgb="FFD2F2FF"/>
        <bgColor rgb="FF000000"/>
      </patternFill>
    </fill>
    <fill>
      <patternFill patternType="solid">
        <fgColor rgb="FFCCFFFF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rgb="FFFFC000"/>
        <bgColor indexed="64"/>
      </patternFill>
    </fill>
  </fills>
  <borders count="23">
    <border>
      <left/>
      <right/>
      <top/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/>
      <bottom/>
      <diagonal/>
    </border>
    <border>
      <left/>
      <right/>
      <top style="hair">
        <color rgb="FF000000"/>
      </top>
      <bottom/>
      <diagonal/>
    </border>
    <border>
      <left style="hair">
        <color rgb="FF000000"/>
      </left>
      <right/>
      <top/>
      <bottom/>
      <diagonal/>
    </border>
    <border>
      <left style="hair">
        <color rgb="FF000000"/>
      </left>
      <right style="hair">
        <color rgb="FF000000"/>
      </right>
      <top/>
      <bottom style="hair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hair">
        <color rgb="FF000000"/>
      </left>
      <right/>
      <top/>
      <bottom style="thin">
        <color rgb="FF000000"/>
      </bottom>
      <diagonal/>
    </border>
    <border>
      <left/>
      <right/>
      <top style="thin">
        <color indexed="8"/>
      </top>
      <bottom/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19" fillId="0" borderId="0"/>
    <xf numFmtId="0" fontId="26" fillId="0" borderId="0" applyAlignment="0"/>
    <xf numFmtId="0" fontId="33" fillId="0" borderId="0"/>
    <xf numFmtId="0" fontId="39" fillId="0" borderId="0" applyAlignment="0"/>
  </cellStyleXfs>
  <cellXfs count="201">
    <xf numFmtId="0" fontId="0" fillId="0" borderId="0" xfId="0"/>
    <xf numFmtId="0" fontId="2" fillId="0" borderId="1" xfId="0" applyFont="1" applyBorder="1"/>
    <xf numFmtId="0" fontId="0" fillId="0" borderId="1" xfId="0" applyBorder="1"/>
    <xf numFmtId="0" fontId="3" fillId="0" borderId="2" xfId="0" applyFont="1" applyBorder="1"/>
    <xf numFmtId="14" fontId="4" fillId="0" borderId="0" xfId="0" applyNumberFormat="1" applyFont="1"/>
    <xf numFmtId="164" fontId="4" fillId="0" borderId="0" xfId="0" applyNumberFormat="1" applyFont="1"/>
    <xf numFmtId="14" fontId="5" fillId="0" borderId="0" xfId="0" applyNumberFormat="1" applyFont="1"/>
    <xf numFmtId="14" fontId="4" fillId="0" borderId="0" xfId="0" applyNumberFormat="1" applyFont="1" applyAlignment="1">
      <alignment horizontal="right"/>
    </xf>
    <xf numFmtId="0" fontId="6" fillId="0" borderId="0" xfId="3" applyBorder="1"/>
    <xf numFmtId="165" fontId="7" fillId="0" borderId="3" xfId="0" applyNumberFormat="1" applyFont="1" applyBorder="1" applyAlignment="1">
      <alignment horizontal="center"/>
    </xf>
    <xf numFmtId="166" fontId="5" fillId="0" borderId="0" xfId="0" applyNumberFormat="1" applyFont="1"/>
    <xf numFmtId="7" fontId="8" fillId="0" borderId="0" xfId="0" applyNumberFormat="1" applyFont="1" applyAlignment="1">
      <alignment horizontal="right"/>
    </xf>
    <xf numFmtId="0" fontId="2" fillId="0" borderId="4" xfId="0" applyFont="1" applyBorder="1"/>
    <xf numFmtId="0" fontId="0" fillId="0" borderId="4" xfId="0" applyBorder="1"/>
    <xf numFmtId="7" fontId="8" fillId="0" borderId="4" xfId="0" applyNumberFormat="1" applyFont="1" applyBorder="1" applyAlignment="1">
      <alignment horizontal="right"/>
    </xf>
    <xf numFmtId="0" fontId="9" fillId="0" borderId="0" xfId="0" applyFont="1" applyAlignment="1">
      <alignment horizontal="centerContinuous"/>
    </xf>
    <xf numFmtId="0" fontId="10" fillId="0" borderId="5" xfId="0" applyFont="1" applyBorder="1" applyAlignment="1">
      <alignment horizontal="centerContinuous"/>
    </xf>
    <xf numFmtId="0" fontId="11" fillId="0" borderId="0" xfId="0" applyFont="1"/>
    <xf numFmtId="14" fontId="0" fillId="0" borderId="0" xfId="0" applyNumberFormat="1" applyAlignment="1">
      <alignment horizontal="center"/>
    </xf>
    <xf numFmtId="167" fontId="0" fillId="0" borderId="6" xfId="0" applyNumberFormat="1" applyBorder="1" applyAlignment="1">
      <alignment horizontal="center"/>
    </xf>
    <xf numFmtId="167" fontId="0" fillId="0" borderId="7" xfId="0" applyNumberFormat="1" applyBorder="1" applyAlignment="1">
      <alignment horizontal="center"/>
    </xf>
    <xf numFmtId="168" fontId="2" fillId="0" borderId="6" xfId="0" applyNumberFormat="1" applyFont="1" applyBorder="1"/>
    <xf numFmtId="169" fontId="2" fillId="0" borderId="0" xfId="0" applyNumberFormat="1" applyFont="1"/>
    <xf numFmtId="165" fontId="5" fillId="0" borderId="0" xfId="0" applyNumberFormat="1" applyFont="1"/>
    <xf numFmtId="165" fontId="4" fillId="0" borderId="6" xfId="0" applyNumberFormat="1" applyFont="1" applyBorder="1"/>
    <xf numFmtId="0" fontId="0" fillId="0" borderId="0" xfId="0" applyAlignment="1">
      <alignment horizontal="left" indent="1"/>
    </xf>
    <xf numFmtId="166" fontId="4" fillId="0" borderId="0" xfId="0" applyNumberFormat="1" applyFont="1"/>
    <xf numFmtId="165" fontId="5" fillId="0" borderId="6" xfId="0" applyNumberFormat="1" applyFont="1" applyBorder="1"/>
    <xf numFmtId="166" fontId="5" fillId="0" borderId="6" xfId="0" applyNumberFormat="1" applyFont="1" applyBorder="1"/>
    <xf numFmtId="165" fontId="8" fillId="0" borderId="6" xfId="0" applyNumberFormat="1" applyFont="1" applyBorder="1"/>
    <xf numFmtId="165" fontId="8" fillId="0" borderId="0" xfId="0" applyNumberFormat="1" applyFont="1"/>
    <xf numFmtId="164" fontId="4" fillId="0" borderId="8" xfId="0" applyNumberFormat="1" applyFont="1" applyBorder="1"/>
    <xf numFmtId="0" fontId="2" fillId="0" borderId="0" xfId="0" applyFont="1"/>
    <xf numFmtId="165" fontId="12" fillId="0" borderId="8" xfId="0" applyNumberFormat="1" applyFont="1" applyBorder="1"/>
    <xf numFmtId="165" fontId="12" fillId="0" borderId="0" xfId="0" applyNumberFormat="1" applyFont="1"/>
    <xf numFmtId="166" fontId="0" fillId="0" borderId="0" xfId="0" applyNumberFormat="1"/>
    <xf numFmtId="165" fontId="5" fillId="0" borderId="8" xfId="0" applyNumberFormat="1" applyFont="1" applyBorder="1"/>
    <xf numFmtId="165" fontId="0" fillId="0" borderId="0" xfId="0" applyNumberFormat="1"/>
    <xf numFmtId="37" fontId="5" fillId="0" borderId="0" xfId="0" applyNumberFormat="1" applyFont="1"/>
    <xf numFmtId="166" fontId="5" fillId="0" borderId="9" xfId="0" applyNumberFormat="1" applyFont="1" applyBorder="1"/>
    <xf numFmtId="165" fontId="4" fillId="0" borderId="0" xfId="0" applyNumberFormat="1" applyFont="1"/>
    <xf numFmtId="37" fontId="4" fillId="0" borderId="0" xfId="0" applyNumberFormat="1" applyFont="1"/>
    <xf numFmtId="165" fontId="8" fillId="0" borderId="4" xfId="0" applyNumberFormat="1" applyFont="1" applyBorder="1"/>
    <xf numFmtId="165" fontId="10" fillId="0" borderId="4" xfId="0" applyNumberFormat="1" applyFont="1" applyBorder="1" applyAlignment="1">
      <alignment horizontal="center"/>
    </xf>
    <xf numFmtId="165" fontId="10" fillId="0" borderId="0" xfId="0" applyNumberFormat="1" applyFont="1"/>
    <xf numFmtId="0" fontId="13" fillId="0" borderId="0" xfId="0" applyFont="1" applyAlignment="1">
      <alignment horizontal="center"/>
    </xf>
    <xf numFmtId="14" fontId="0" fillId="0" borderId="0" xfId="0" applyNumberFormat="1"/>
    <xf numFmtId="166" fontId="0" fillId="0" borderId="0" xfId="0" applyNumberFormat="1" applyAlignment="1">
      <alignment horizontal="center"/>
    </xf>
    <xf numFmtId="165" fontId="5" fillId="0" borderId="4" xfId="0" applyNumberFormat="1" applyFont="1" applyBorder="1"/>
    <xf numFmtId="0" fontId="12" fillId="0" borderId="0" xfId="0" applyFont="1"/>
    <xf numFmtId="169" fontId="0" fillId="0" borderId="0" xfId="0" applyNumberFormat="1"/>
    <xf numFmtId="170" fontId="4" fillId="0" borderId="0" xfId="0" applyNumberFormat="1" applyFont="1"/>
    <xf numFmtId="165" fontId="2" fillId="0" borderId="0" xfId="0" applyNumberFormat="1" applyFont="1"/>
    <xf numFmtId="0" fontId="4" fillId="0" borderId="0" xfId="0" applyFont="1"/>
    <xf numFmtId="0" fontId="11" fillId="0" borderId="0" xfId="0" applyFont="1" applyAlignment="1">
      <alignment horizontal="left"/>
    </xf>
    <xf numFmtId="166" fontId="11" fillId="0" borderId="0" xfId="0" applyNumberFormat="1" applyFont="1"/>
    <xf numFmtId="171" fontId="11" fillId="0" borderId="0" xfId="0" applyNumberFormat="1" applyFont="1"/>
    <xf numFmtId="170" fontId="11" fillId="0" borderId="0" xfId="0" applyNumberFormat="1" applyFont="1"/>
    <xf numFmtId="164" fontId="0" fillId="0" borderId="0" xfId="0" quotePrefix="1" applyNumberFormat="1"/>
    <xf numFmtId="37" fontId="0" fillId="0" borderId="0" xfId="0" applyNumberFormat="1"/>
    <xf numFmtId="0" fontId="0" fillId="0" borderId="0" xfId="0" applyAlignment="1">
      <alignment horizontal="left"/>
    </xf>
    <xf numFmtId="0" fontId="14" fillId="0" borderId="0" xfId="0" applyFont="1"/>
    <xf numFmtId="0" fontId="14" fillId="0" borderId="0" xfId="0" applyFont="1" applyAlignment="1">
      <alignment horizontal="right"/>
    </xf>
    <xf numFmtId="0" fontId="14" fillId="0" borderId="0" xfId="0" applyFont="1" applyAlignment="1">
      <alignment horizontal="left" vertical="center"/>
    </xf>
    <xf numFmtId="172" fontId="4" fillId="0" borderId="0" xfId="0" applyNumberFormat="1" applyFont="1"/>
    <xf numFmtId="173" fontId="4" fillId="0" borderId="0" xfId="0" applyNumberFormat="1" applyFont="1"/>
    <xf numFmtId="173" fontId="4" fillId="0" borderId="0" xfId="0" applyNumberFormat="1" applyFont="1" applyAlignment="1">
      <alignment horizontal="right"/>
    </xf>
    <xf numFmtId="0" fontId="5" fillId="0" borderId="0" xfId="0" applyFont="1" applyAlignment="1">
      <alignment horizontal="left" indent="1"/>
    </xf>
    <xf numFmtId="0" fontId="2" fillId="0" borderId="0" xfId="0" applyFont="1" applyAlignment="1">
      <alignment horizontal="left"/>
    </xf>
    <xf numFmtId="174" fontId="2" fillId="0" borderId="0" xfId="0" applyNumberFormat="1" applyFont="1"/>
    <xf numFmtId="175" fontId="4" fillId="0" borderId="0" xfId="0" applyNumberFormat="1" applyFont="1"/>
    <xf numFmtId="0" fontId="0" fillId="0" borderId="0" xfId="0" applyAlignment="1">
      <alignment horizontal="left" vertical="center" indent="1"/>
    </xf>
    <xf numFmtId="173" fontId="0" fillId="0" borderId="0" xfId="0" applyNumberFormat="1"/>
    <xf numFmtId="172" fontId="15" fillId="0" borderId="0" xfId="0" applyNumberFormat="1" applyFont="1"/>
    <xf numFmtId="0" fontId="2" fillId="0" borderId="0" xfId="0" applyFont="1" applyAlignment="1">
      <alignment vertical="center"/>
    </xf>
    <xf numFmtId="37" fontId="2" fillId="0" borderId="0" xfId="0" applyNumberFormat="1" applyFont="1"/>
    <xf numFmtId="0" fontId="9" fillId="0" borderId="0" xfId="0" applyFont="1" applyAlignment="1">
      <alignment horizontal="right"/>
    </xf>
    <xf numFmtId="165" fontId="0" fillId="0" borderId="0" xfId="0" applyNumberFormat="1" applyAlignment="1">
      <alignment horizontal="right"/>
    </xf>
    <xf numFmtId="37" fontId="11" fillId="0" borderId="4" xfId="0" applyNumberFormat="1" applyFont="1" applyBorder="1" applyAlignment="1">
      <alignment horizontal="right"/>
    </xf>
    <xf numFmtId="37" fontId="0" fillId="0" borderId="0" xfId="0" applyNumberFormat="1" applyAlignment="1">
      <alignment horizontal="right"/>
    </xf>
    <xf numFmtId="176" fontId="2" fillId="0" borderId="0" xfId="0" applyNumberFormat="1" applyFont="1" applyAlignment="1">
      <alignment horizontal="right"/>
    </xf>
    <xf numFmtId="177" fontId="0" fillId="0" borderId="0" xfId="0" applyNumberFormat="1" applyAlignment="1">
      <alignment horizontal="right"/>
    </xf>
    <xf numFmtId="178" fontId="0" fillId="0" borderId="0" xfId="0" applyNumberFormat="1" applyAlignment="1">
      <alignment horizontal="right"/>
    </xf>
    <xf numFmtId="9" fontId="0" fillId="0" borderId="0" xfId="0" applyNumberFormat="1"/>
    <xf numFmtId="166" fontId="0" fillId="0" borderId="0" xfId="0" applyNumberFormat="1" applyAlignment="1">
      <alignment horizontal="right"/>
    </xf>
    <xf numFmtId="0" fontId="5" fillId="2" borderId="0" xfId="0" applyFont="1" applyFill="1"/>
    <xf numFmtId="0" fontId="16" fillId="0" borderId="0" xfId="0" applyFont="1" applyAlignment="1">
      <alignment horizontal="centerContinuous"/>
    </xf>
    <xf numFmtId="0" fontId="9" fillId="0" borderId="8" xfId="0" applyFont="1" applyBorder="1" applyAlignment="1">
      <alignment horizontal="centerContinuous"/>
    </xf>
    <xf numFmtId="0" fontId="0" fillId="0" borderId="0" xfId="0" applyAlignment="1">
      <alignment horizontal="centerContinuous"/>
    </xf>
    <xf numFmtId="0" fontId="0" fillId="0" borderId="8" xfId="0" applyBorder="1" applyAlignment="1">
      <alignment horizontal="centerContinuous"/>
    </xf>
    <xf numFmtId="0" fontId="0" fillId="0" borderId="0" xfId="0" applyAlignment="1">
      <alignment horizontal="right"/>
    </xf>
    <xf numFmtId="39" fontId="0" fillId="0" borderId="10" xfId="0" applyNumberFormat="1" applyBorder="1" applyAlignment="1">
      <alignment horizontal="right"/>
    </xf>
    <xf numFmtId="179" fontId="5" fillId="3" borderId="11" xfId="0" applyNumberFormat="1" applyFont="1" applyFill="1" applyBorder="1"/>
    <xf numFmtId="179" fontId="5" fillId="3" borderId="12" xfId="0" applyNumberFormat="1" applyFont="1" applyFill="1" applyBorder="1"/>
    <xf numFmtId="179" fontId="4" fillId="3" borderId="12" xfId="0" applyNumberFormat="1" applyFont="1" applyFill="1" applyBorder="1"/>
    <xf numFmtId="179" fontId="5" fillId="3" borderId="8" xfId="0" applyNumberFormat="1" applyFont="1" applyFill="1" applyBorder="1"/>
    <xf numFmtId="170" fontId="0" fillId="0" borderId="13" xfId="0" applyNumberFormat="1" applyBorder="1" applyAlignment="1">
      <alignment horizontal="right"/>
    </xf>
    <xf numFmtId="179" fontId="5" fillId="3" borderId="14" xfId="0" applyNumberFormat="1" applyFont="1" applyFill="1" applyBorder="1" applyAlignment="1">
      <alignment horizontal="right"/>
    </xf>
    <xf numFmtId="180" fontId="0" fillId="0" borderId="0" xfId="0" applyNumberFormat="1"/>
    <xf numFmtId="180" fontId="0" fillId="0" borderId="8" xfId="0" applyNumberFormat="1" applyBorder="1"/>
    <xf numFmtId="170" fontId="0" fillId="0" borderId="0" xfId="0" applyNumberFormat="1" applyAlignment="1">
      <alignment horizontal="right"/>
    </xf>
    <xf numFmtId="179" fontId="4" fillId="3" borderId="14" xfId="0" applyNumberFormat="1" applyFont="1" applyFill="1" applyBorder="1" applyAlignment="1">
      <alignment horizontal="right"/>
    </xf>
    <xf numFmtId="0" fontId="12" fillId="2" borderId="0" xfId="0" applyFont="1" applyFill="1" applyAlignment="1">
      <alignment horizontal="center"/>
    </xf>
    <xf numFmtId="179" fontId="5" fillId="3" borderId="15" xfId="0" applyNumberFormat="1" applyFont="1" applyFill="1" applyBorder="1" applyAlignment="1">
      <alignment horizontal="right"/>
    </xf>
    <xf numFmtId="181" fontId="0" fillId="0" borderId="0" xfId="0" applyNumberFormat="1"/>
    <xf numFmtId="181" fontId="0" fillId="0" borderId="8" xfId="0" applyNumberFormat="1" applyBorder="1"/>
    <xf numFmtId="176" fontId="0" fillId="0" borderId="13" xfId="0" applyNumberFormat="1" applyBorder="1"/>
    <xf numFmtId="170" fontId="5" fillId="3" borderId="12" xfId="0" applyNumberFormat="1" applyFont="1" applyFill="1" applyBorder="1"/>
    <xf numFmtId="170" fontId="4" fillId="3" borderId="12" xfId="0" applyNumberFormat="1" applyFont="1" applyFill="1" applyBorder="1"/>
    <xf numFmtId="170" fontId="5" fillId="3" borderId="8" xfId="0" applyNumberFormat="1" applyFont="1" applyFill="1" applyBorder="1"/>
    <xf numFmtId="0" fontId="0" fillId="0" borderId="8" xfId="0" applyBorder="1"/>
    <xf numFmtId="0" fontId="2" fillId="4" borderId="0" xfId="0" applyFont="1" applyFill="1"/>
    <xf numFmtId="0" fontId="2" fillId="4" borderId="8" xfId="0" applyFont="1" applyFill="1" applyBorder="1"/>
    <xf numFmtId="182" fontId="0" fillId="0" borderId="0" xfId="0" applyNumberFormat="1"/>
    <xf numFmtId="0" fontId="0" fillId="0" borderId="11" xfId="0" applyBorder="1"/>
    <xf numFmtId="0" fontId="0" fillId="0" borderId="12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2" xfId="0" applyBorder="1"/>
    <xf numFmtId="0" fontId="0" fillId="0" borderId="17" xfId="0" applyBorder="1"/>
    <xf numFmtId="0" fontId="0" fillId="0" borderId="18" xfId="0" quotePrefix="1" applyBorder="1"/>
    <xf numFmtId="39" fontId="0" fillId="0" borderId="0" xfId="0" applyNumberFormat="1"/>
    <xf numFmtId="39" fontId="0" fillId="0" borderId="19" xfId="0" applyNumberFormat="1" applyBorder="1"/>
    <xf numFmtId="39" fontId="5" fillId="0" borderId="0" xfId="0" applyNumberFormat="1" applyFont="1"/>
    <xf numFmtId="39" fontId="5" fillId="0" borderId="19" xfId="0" applyNumberFormat="1" applyFont="1" applyBorder="1"/>
    <xf numFmtId="0" fontId="0" fillId="0" borderId="18" xfId="0" applyBorder="1"/>
    <xf numFmtId="0" fontId="0" fillId="0" borderId="20" xfId="0" applyBorder="1"/>
    <xf numFmtId="39" fontId="0" fillId="0" borderId="10" xfId="0" applyNumberFormat="1" applyBorder="1"/>
    <xf numFmtId="39" fontId="0" fillId="0" borderId="13" xfId="0" applyNumberFormat="1" applyBorder="1"/>
    <xf numFmtId="0" fontId="0" fillId="0" borderId="10" xfId="0" applyBorder="1"/>
    <xf numFmtId="0" fontId="0" fillId="0" borderId="21" xfId="0" applyBorder="1"/>
    <xf numFmtId="39" fontId="5" fillId="0" borderId="10" xfId="0" applyNumberFormat="1" applyFont="1" applyBorder="1"/>
    <xf numFmtId="39" fontId="5" fillId="0" borderId="13" xfId="0" applyNumberFormat="1" applyFont="1" applyBorder="1"/>
    <xf numFmtId="0" fontId="20" fillId="0" borderId="0" xfId="4" applyFont="1"/>
    <xf numFmtId="0" fontId="21" fillId="0" borderId="0" xfId="4" applyFont="1"/>
    <xf numFmtId="0" fontId="22" fillId="0" borderId="0" xfId="4" applyFont="1" applyAlignment="1">
      <alignment wrapText="1"/>
    </xf>
    <xf numFmtId="0" fontId="23" fillId="0" borderId="0" xfId="4" applyFont="1"/>
    <xf numFmtId="0" fontId="24" fillId="0" borderId="0" xfId="4" applyFont="1" applyAlignment="1">
      <alignment horizontal="left" vertical="top"/>
    </xf>
    <xf numFmtId="49" fontId="21" fillId="0" borderId="0" xfId="4" applyNumberFormat="1" applyFont="1"/>
    <xf numFmtId="0" fontId="24" fillId="0" borderId="0" xfId="4" applyFont="1" applyAlignment="1">
      <alignment horizontal="left" vertical="center"/>
    </xf>
    <xf numFmtId="0" fontId="25" fillId="5" borderId="0" xfId="4" applyFont="1" applyFill="1"/>
    <xf numFmtId="0" fontId="26" fillId="0" borderId="0" xfId="5" applyAlignment="1"/>
    <xf numFmtId="0" fontId="27" fillId="6" borderId="0" xfId="4" applyFont="1" applyFill="1" applyAlignment="1">
      <alignment wrapText="1"/>
    </xf>
    <xf numFmtId="0" fontId="27" fillId="6" borderId="0" xfId="4" applyFont="1" applyFill="1" applyAlignment="1">
      <alignment horizontal="right" wrapText="1"/>
    </xf>
    <xf numFmtId="0" fontId="28" fillId="6" borderId="0" xfId="4" applyFont="1" applyFill="1" applyAlignment="1">
      <alignment wrapText="1"/>
    </xf>
    <xf numFmtId="0" fontId="28" fillId="6" borderId="0" xfId="4" applyFont="1" applyFill="1" applyAlignment="1">
      <alignment horizontal="right" wrapText="1"/>
    </xf>
    <xf numFmtId="0" fontId="27" fillId="0" borderId="0" xfId="4" applyFont="1" applyAlignment="1">
      <alignment horizontal="left" vertical="top"/>
    </xf>
    <xf numFmtId="183" fontId="24" fillId="0" borderId="0" xfId="4" applyNumberFormat="1" applyFont="1" applyAlignment="1">
      <alignment horizontal="right" vertical="top" wrapText="1"/>
    </xf>
    <xf numFmtId="183" fontId="27" fillId="0" borderId="22" xfId="4" applyNumberFormat="1" applyFont="1" applyBorder="1" applyAlignment="1">
      <alignment horizontal="right" vertical="top" wrapText="1"/>
    </xf>
    <xf numFmtId="183" fontId="27" fillId="0" borderId="0" xfId="4" applyNumberFormat="1" applyFont="1" applyAlignment="1">
      <alignment horizontal="right" vertical="top" wrapText="1"/>
    </xf>
    <xf numFmtId="183" fontId="29" fillId="0" borderId="22" xfId="4" applyNumberFormat="1" applyFont="1" applyBorder="1" applyAlignment="1">
      <alignment horizontal="right" vertical="top" wrapText="1"/>
    </xf>
    <xf numFmtId="184" fontId="24" fillId="0" borderId="0" xfId="4" applyNumberFormat="1" applyFont="1" applyAlignment="1">
      <alignment horizontal="right" vertical="top" wrapText="1"/>
    </xf>
    <xf numFmtId="49" fontId="24" fillId="0" borderId="0" xfId="4" applyNumberFormat="1" applyFont="1" applyAlignment="1">
      <alignment horizontal="right" vertical="top" wrapText="1"/>
    </xf>
    <xf numFmtId="185" fontId="24" fillId="0" borderId="0" xfId="4" applyNumberFormat="1" applyFont="1" applyAlignment="1">
      <alignment horizontal="right" vertical="top" wrapText="1"/>
    </xf>
    <xf numFmtId="186" fontId="24" fillId="0" borderId="0" xfId="4" applyNumberFormat="1" applyFont="1" applyAlignment="1">
      <alignment horizontal="right" vertical="top" wrapText="1"/>
    </xf>
    <xf numFmtId="187" fontId="24" fillId="0" borderId="0" xfId="4" applyNumberFormat="1" applyFont="1" applyAlignment="1">
      <alignment horizontal="right" vertical="top" wrapText="1"/>
    </xf>
    <xf numFmtId="0" fontId="21" fillId="0" borderId="0" xfId="4" applyFont="1" applyAlignment="1">
      <alignment vertical="top"/>
    </xf>
    <xf numFmtId="0" fontId="21" fillId="0" borderId="0" xfId="4" applyFont="1" applyAlignment="1">
      <alignment vertical="top" wrapText="1"/>
    </xf>
    <xf numFmtId="0" fontId="24" fillId="0" borderId="0" xfId="4" applyFont="1" applyAlignment="1">
      <alignment horizontal="center" vertical="center"/>
    </xf>
    <xf numFmtId="0" fontId="31" fillId="0" borderId="0" xfId="4" applyFont="1" applyFill="1" applyAlignment="1">
      <alignment horizontal="right" wrapText="1"/>
    </xf>
    <xf numFmtId="0" fontId="0" fillId="0" borderId="0" xfId="0" applyFill="1"/>
    <xf numFmtId="1" fontId="0" fillId="0" borderId="0" xfId="0" applyNumberFormat="1"/>
    <xf numFmtId="0" fontId="5" fillId="0" borderId="0" xfId="0" applyFont="1"/>
    <xf numFmtId="0" fontId="32" fillId="0" borderId="0" xfId="0" applyFont="1" applyAlignment="1">
      <alignment horizontal="right" wrapText="1"/>
    </xf>
    <xf numFmtId="1" fontId="5" fillId="0" borderId="0" xfId="0" applyNumberFormat="1" applyFont="1"/>
    <xf numFmtId="10" fontId="5" fillId="0" borderId="0" xfId="2" applyNumberFormat="1" applyFont="1"/>
    <xf numFmtId="0" fontId="0" fillId="7" borderId="0" xfId="0" applyFill="1"/>
    <xf numFmtId="9" fontId="0" fillId="0" borderId="0" xfId="2" applyFont="1"/>
    <xf numFmtId="179" fontId="0" fillId="0" borderId="0" xfId="2" applyNumberFormat="1" applyFont="1"/>
    <xf numFmtId="10" fontId="0" fillId="0" borderId="0" xfId="0" applyNumberFormat="1"/>
    <xf numFmtId="10" fontId="0" fillId="0" borderId="0" xfId="2" applyNumberFormat="1" applyFont="1"/>
    <xf numFmtId="10" fontId="0" fillId="0" borderId="6" xfId="0" applyNumberFormat="1" applyBorder="1"/>
    <xf numFmtId="0" fontId="34" fillId="0" borderId="0" xfId="6" applyFont="1"/>
    <xf numFmtId="0" fontId="35" fillId="0" borderId="0" xfId="6" applyFont="1"/>
    <xf numFmtId="0" fontId="36" fillId="0" borderId="0" xfId="6" applyFont="1" applyAlignment="1">
      <alignment wrapText="1"/>
    </xf>
    <xf numFmtId="0" fontId="30" fillId="0" borderId="0" xfId="6" applyFont="1"/>
    <xf numFmtId="0" fontId="37" fillId="0" borderId="0" xfId="6" applyFont="1" applyAlignment="1">
      <alignment horizontal="left" vertical="top"/>
    </xf>
    <xf numFmtId="49" fontId="35" fillId="0" borderId="0" xfId="6" applyNumberFormat="1" applyFont="1"/>
    <xf numFmtId="0" fontId="37" fillId="0" borderId="0" xfId="6" applyFont="1" applyAlignment="1">
      <alignment horizontal="left" vertical="center"/>
    </xf>
    <xf numFmtId="0" fontId="38" fillId="5" borderId="0" xfId="6" applyFont="1" applyFill="1"/>
    <xf numFmtId="0" fontId="39" fillId="0" borderId="0" xfId="7" applyAlignment="1"/>
    <xf numFmtId="0" fontId="31" fillId="6" borderId="0" xfId="6" applyFont="1" applyFill="1" applyAlignment="1">
      <alignment wrapText="1"/>
    </xf>
    <xf numFmtId="187" fontId="31" fillId="6" borderId="0" xfId="6" applyNumberFormat="1" applyFont="1" applyFill="1" applyAlignment="1">
      <alignment horizontal="right" wrapText="1"/>
    </xf>
    <xf numFmtId="0" fontId="31" fillId="6" borderId="0" xfId="6" applyFont="1" applyFill="1" applyAlignment="1">
      <alignment horizontal="right" wrapText="1"/>
    </xf>
    <xf numFmtId="0" fontId="40" fillId="6" borderId="0" xfId="6" applyFont="1" applyFill="1" applyAlignment="1">
      <alignment wrapText="1"/>
    </xf>
    <xf numFmtId="0" fontId="40" fillId="6" borderId="0" xfId="6" applyFont="1" applyFill="1" applyAlignment="1">
      <alignment horizontal="right" wrapText="1"/>
    </xf>
    <xf numFmtId="0" fontId="31" fillId="0" borderId="0" xfId="6" applyFont="1" applyAlignment="1">
      <alignment horizontal="left" vertical="top"/>
    </xf>
    <xf numFmtId="183" fontId="37" fillId="0" borderId="0" xfId="6" applyNumberFormat="1" applyFont="1" applyAlignment="1">
      <alignment horizontal="right" vertical="top" wrapText="1"/>
    </xf>
    <xf numFmtId="183" fontId="31" fillId="0" borderId="22" xfId="6" applyNumberFormat="1" applyFont="1" applyBorder="1" applyAlignment="1">
      <alignment horizontal="right" vertical="top" wrapText="1"/>
    </xf>
    <xf numFmtId="183" fontId="41" fillId="0" borderId="22" xfId="6" applyNumberFormat="1" applyFont="1" applyBorder="1" applyAlignment="1">
      <alignment horizontal="right" vertical="top" wrapText="1"/>
    </xf>
    <xf numFmtId="183" fontId="42" fillId="0" borderId="0" xfId="6" applyNumberFormat="1" applyFont="1" applyAlignment="1">
      <alignment horizontal="right" vertical="top" wrapText="1"/>
    </xf>
    <xf numFmtId="183" fontId="41" fillId="0" borderId="0" xfId="6" applyNumberFormat="1" applyFont="1" applyAlignment="1">
      <alignment horizontal="right" vertical="top" wrapText="1"/>
    </xf>
    <xf numFmtId="184" fontId="37" fillId="0" borderId="0" xfId="6" applyNumberFormat="1" applyFont="1" applyAlignment="1">
      <alignment horizontal="right" vertical="top" wrapText="1"/>
    </xf>
    <xf numFmtId="49" fontId="37" fillId="0" borderId="0" xfId="6" applyNumberFormat="1" applyFont="1" applyAlignment="1">
      <alignment horizontal="right" vertical="top" wrapText="1"/>
    </xf>
    <xf numFmtId="195" fontId="37" fillId="0" borderId="0" xfId="6" applyNumberFormat="1" applyFont="1" applyAlignment="1">
      <alignment horizontal="right" vertical="top" wrapText="1"/>
    </xf>
    <xf numFmtId="187" fontId="37" fillId="0" borderId="0" xfId="6" applyNumberFormat="1" applyFont="1" applyAlignment="1">
      <alignment horizontal="right" vertical="top" wrapText="1"/>
    </xf>
    <xf numFmtId="0" fontId="35" fillId="0" borderId="0" xfId="6" applyFont="1" applyAlignment="1">
      <alignment vertical="top" wrapText="1"/>
    </xf>
    <xf numFmtId="0" fontId="37" fillId="0" borderId="0" xfId="6" applyFont="1" applyAlignment="1">
      <alignment horizontal="center" vertical="center"/>
    </xf>
    <xf numFmtId="179" fontId="0" fillId="0" borderId="0" xfId="0" applyNumberFormat="1"/>
    <xf numFmtId="196" fontId="2" fillId="0" borderId="0" xfId="0" applyNumberFormat="1" applyFont="1" applyAlignment="1">
      <alignment horizontal="right"/>
    </xf>
    <xf numFmtId="196" fontId="0" fillId="0" borderId="0" xfId="0" applyNumberFormat="1"/>
    <xf numFmtId="198" fontId="0" fillId="0" borderId="0" xfId="1" applyNumberFormat="1" applyFont="1"/>
  </cellXfs>
  <cellStyles count="8">
    <cellStyle name="Comma" xfId="1" builtinId="3"/>
    <cellStyle name="Hyperlink" xfId="3" builtinId="8"/>
    <cellStyle name="Invisible" xfId="5" xr:uid="{E929AA97-E918-4544-B863-F11010BFA518}"/>
    <cellStyle name="Invisible 2" xfId="7" xr:uid="{F1D35307-0919-5744-BBEA-CE49A38F4593}"/>
    <cellStyle name="Normal" xfId="0" builtinId="0"/>
    <cellStyle name="Normal 2" xfId="4" xr:uid="{D39F6918-14A1-014E-AD59-EFB18829CA1D}"/>
    <cellStyle name="Normal 3" xfId="6" xr:uid="{E57B1C87-E38B-B748-889F-24FEA91A2423}"/>
    <cellStyle name="Percent" xfId="2" builtinId="5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BA Revenue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Workbook!$C$1</c:f>
              <c:strCache>
                <c:ptCount val="1"/>
                <c:pt idx="0">
                  <c:v>Revenue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Workbook!$A$2:$A$11</c:f>
              <c:numCache>
                <c:formatCode>General</c:formatCode>
                <c:ptCount val="10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</c:numCache>
            </c:numRef>
          </c:cat>
          <c:val>
            <c:numRef>
              <c:f>Workbook!$C$2:$C$11</c:f>
              <c:numCache>
                <c:formatCode>0</c:formatCode>
                <c:ptCount val="10"/>
                <c:pt idx="0">
                  <c:v>8483</c:v>
                </c:pt>
                <c:pt idx="1">
                  <c:v>9460</c:v>
                </c:pt>
                <c:pt idx="2">
                  <c:v>10236</c:v>
                </c:pt>
                <c:pt idx="3">
                  <c:v>10818</c:v>
                </c:pt>
                <c:pt idx="4">
                  <c:v>11050</c:v>
                </c:pt>
                <c:pt idx="5">
                  <c:v>10826</c:v>
                </c:pt>
                <c:pt idx="6">
                  <c:v>10885</c:v>
                </c:pt>
                <c:pt idx="7">
                  <c:v>11738</c:v>
                </c:pt>
                <c:pt idx="8">
                  <c:v>12333</c:v>
                </c:pt>
                <c:pt idx="9">
                  <c:v>12610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697-A849-8A93-19160AF9BF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41611807"/>
        <c:axId val="1941778863"/>
      </c:lineChart>
      <c:lineChart>
        <c:grouping val="standard"/>
        <c:varyColors val="0"/>
        <c:ser>
          <c:idx val="1"/>
          <c:order val="1"/>
          <c:tx>
            <c:strRef>
              <c:f>Workbook!$D$1</c:f>
              <c:strCache>
                <c:ptCount val="1"/>
                <c:pt idx="0">
                  <c:v>Revenue Growth Rate %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Workbook!$A$2:$A$11</c:f>
              <c:numCache>
                <c:formatCode>General</c:formatCode>
                <c:ptCount val="10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</c:numCache>
            </c:numRef>
          </c:cat>
          <c:val>
            <c:numRef>
              <c:f>Workbook!$D$2:$D$11</c:f>
              <c:numCache>
                <c:formatCode>0.00%</c:formatCode>
                <c:ptCount val="10"/>
                <c:pt idx="1">
                  <c:v>0.11517151950960747</c:v>
                </c:pt>
                <c:pt idx="2">
                  <c:v>8.2029598308668072E-2</c:v>
                </c:pt>
                <c:pt idx="3">
                  <c:v>5.6858147713950702E-2</c:v>
                </c:pt>
                <c:pt idx="4">
                  <c:v>2.14457385838418E-2</c:v>
                </c:pt>
                <c:pt idx="5">
                  <c:v>-2.0271493212669633E-2</c:v>
                </c:pt>
                <c:pt idx="6">
                  <c:v>5.4498429706262286E-3</c:v>
                </c:pt>
                <c:pt idx="7">
                  <c:v>7.8364722094625527E-2</c:v>
                </c:pt>
                <c:pt idx="8">
                  <c:v>5.0690066450843396E-2</c:v>
                </c:pt>
                <c:pt idx="9">
                  <c:v>2.246006648828347E-2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697-A849-8A93-19160AF9BF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53647424"/>
        <c:axId val="281432959"/>
      </c:lineChart>
      <c:catAx>
        <c:axId val="1941611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1778863"/>
        <c:crosses val="autoZero"/>
        <c:auto val="1"/>
        <c:lblAlgn val="ctr"/>
        <c:lblOffset val="100"/>
        <c:noMultiLvlLbl val="0"/>
      </c:catAx>
      <c:valAx>
        <c:axId val="19417788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1611807"/>
        <c:crosses val="autoZero"/>
        <c:crossBetween val="between"/>
      </c:valAx>
      <c:valAx>
        <c:axId val="281432959"/>
        <c:scaling>
          <c:orientation val="minMax"/>
        </c:scaling>
        <c:delete val="0"/>
        <c:axPos val="r"/>
        <c:numFmt formatCode="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3647424"/>
        <c:crosses val="max"/>
        <c:crossBetween val="between"/>
      </c:valAx>
      <c:catAx>
        <c:axId val="55364742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81432959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Workbook!$F$2:$F$11</c:f>
              <c:numCache>
                <c:formatCode>0.0%</c:formatCode>
                <c:ptCount val="10"/>
                <c:pt idx="0">
                  <c:v>-8.8297727198606582E-2</c:v>
                </c:pt>
                <c:pt idx="1">
                  <c:v>-9.6088794926004223E-2</c:v>
                </c:pt>
                <c:pt idx="2">
                  <c:v>-0.17213755373192655</c:v>
                </c:pt>
                <c:pt idx="3">
                  <c:v>-0.15733037530042521</c:v>
                </c:pt>
                <c:pt idx="4">
                  <c:v>-0.17321266968325791</c:v>
                </c:pt>
                <c:pt idx="5">
                  <c:v>-0.21208202475521892</c:v>
                </c:pt>
                <c:pt idx="6">
                  <c:v>-0.11603123564538355</c:v>
                </c:pt>
                <c:pt idx="7">
                  <c:v>-8.2637587323223724E-2</c:v>
                </c:pt>
                <c:pt idx="8">
                  <c:v>-0.12576015567988325</c:v>
                </c:pt>
                <c:pt idx="9">
                  <c:v>-0.13243457573354481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58E-5848-85E8-C7DD6F802A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50939327"/>
        <c:axId val="1946668927"/>
      </c:lineChart>
      <c:catAx>
        <c:axId val="195093932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6668927"/>
        <c:crosses val="autoZero"/>
        <c:auto val="1"/>
        <c:lblAlgn val="ctr"/>
        <c:lblOffset val="100"/>
        <c:noMultiLvlLbl val="0"/>
      </c:catAx>
      <c:valAx>
        <c:axId val="19466689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09393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/>
            </a:pPr>
            <a:r>
              <a:rPr lang="en-US" sz="1100"/>
              <a:t>DCF Equity Valuation Range </a:t>
            </a:r>
          </a:p>
        </c:rich>
      </c:tx>
      <c:layout>
        <c:manualLayout>
          <c:xMode val="edge"/>
          <c:yMode val="edge"/>
          <c:x val="0.31291626892699836"/>
          <c:y val="0"/>
        </c:manualLayout>
      </c:layout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spPr>
            <a:noFill/>
          </c:spPr>
          <c:invertIfNegative val="0"/>
          <c:dLbls>
            <c:spPr>
              <a:noFill/>
              <a:ln>
                <a:noFill/>
              </a:ln>
              <a:effectLst/>
            </c:sp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'BA Baseline DCF'!$B$122:$B$124</c:f>
              <c:strCache>
                <c:ptCount val="3"/>
                <c:pt idx="0">
                  <c:v>DCF Value at 11.5x-13.5x Exit EBITDA Range at 9.0% WACC</c:v>
                </c:pt>
                <c:pt idx="1">
                  <c:v>DCF Value at 2.0%-4.0% Perpetuity Range at 9.0% WACC</c:v>
                </c:pt>
                <c:pt idx="2">
                  <c:v>52 Week Market High/Low</c:v>
                </c:pt>
              </c:strCache>
            </c:strRef>
          </c:cat>
          <c:val>
            <c:numRef>
              <c:f>'BA Baseline DCF'!$C$122:$C$124</c:f>
              <c:numCache>
                <c:formatCode>#,##0.00_);\(#,##0.00\)</c:formatCode>
                <c:ptCount val="3"/>
                <c:pt idx="0">
                  <c:v>8.6357612364691754</c:v>
                </c:pt>
                <c:pt idx="1">
                  <c:v>6.8875336907235667</c:v>
                </c:pt>
                <c:pt idx="2">
                  <c:v>169.5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2D-2848-914D-E5E810110724}"/>
            </c:ext>
          </c:extLst>
        </c:ser>
        <c:ser>
          <c:idx val="1"/>
          <c:order val="1"/>
          <c:invertIfNegative val="0"/>
          <c:cat>
            <c:strRef>
              <c:f>'BA Baseline DCF'!$B$122:$B$124</c:f>
              <c:strCache>
                <c:ptCount val="3"/>
                <c:pt idx="0">
                  <c:v>DCF Value at 11.5x-13.5x Exit EBITDA Range at 9.0% WACC</c:v>
                </c:pt>
                <c:pt idx="1">
                  <c:v>DCF Value at 2.0%-4.0% Perpetuity Range at 9.0% WACC</c:v>
                </c:pt>
                <c:pt idx="2">
                  <c:v>52 Week Market High/Low</c:v>
                </c:pt>
              </c:strCache>
            </c:strRef>
          </c:cat>
          <c:val>
            <c:numRef>
              <c:f>'BA Baseline DCF'!$D$122:$D$124</c:f>
              <c:numCache>
                <c:formatCode>#,##0.00_);\(#,##0.00\)</c:formatCode>
                <c:ptCount val="3"/>
                <c:pt idx="0">
                  <c:v>1.513210230521679</c:v>
                </c:pt>
                <c:pt idx="1">
                  <c:v>2.9719518019340825</c:v>
                </c:pt>
                <c:pt idx="2">
                  <c:v>158.35000000000002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A2D-2848-914D-E5E810110724}"/>
            </c:ext>
          </c:extLst>
        </c:ser>
        <c:ser>
          <c:idx val="2"/>
          <c:order val="2"/>
          <c:spPr>
            <a:noFill/>
          </c:spPr>
          <c:invertIfNegative val="0"/>
          <c:dLbls>
            <c:spPr>
              <a:noFill/>
              <a:ln>
                <a:noFill/>
              </a:ln>
              <a:effectLst/>
            </c:sp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'BA Baseline DCF'!$B$122:$B$124</c:f>
              <c:strCache>
                <c:ptCount val="3"/>
                <c:pt idx="0">
                  <c:v>DCF Value at 11.5x-13.5x Exit EBITDA Range at 9.0% WACC</c:v>
                </c:pt>
                <c:pt idx="1">
                  <c:v>DCF Value at 2.0%-4.0% Perpetuity Range at 9.0% WACC</c:v>
                </c:pt>
                <c:pt idx="2">
                  <c:v>52 Week Market High/Low</c:v>
                </c:pt>
              </c:strCache>
            </c:strRef>
          </c:cat>
          <c:val>
            <c:numRef>
              <c:f>'BA Baseline DCF'!$E$122:$E$124</c:f>
              <c:numCache>
                <c:formatCode>#,##0.00_);\(#,##0.00\)</c:formatCode>
                <c:ptCount val="3"/>
                <c:pt idx="0">
                  <c:v>10.148971466990854</c:v>
                </c:pt>
                <c:pt idx="1">
                  <c:v>9.8594854926576492</c:v>
                </c:pt>
                <c:pt idx="2">
                  <c:v>327.85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A2D-2848-914D-E5E8101107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9639680"/>
        <c:axId val="99641216"/>
      </c:barChart>
      <c:catAx>
        <c:axId val="9963968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99641216"/>
        <c:crosses val="autoZero"/>
        <c:auto val="1"/>
        <c:lblAlgn val="ctr"/>
        <c:lblOffset val="100"/>
        <c:noMultiLvlLbl val="0"/>
      </c:catAx>
      <c:valAx>
        <c:axId val="99641216"/>
        <c:scaling>
          <c:orientation val="minMax"/>
          <c:max val="400"/>
          <c:min val="100"/>
        </c:scaling>
        <c:delete val="0"/>
        <c:axPos val="l"/>
        <c:numFmt formatCode="#,##0.00_);\(#,##0.00\)" sourceLinked="1"/>
        <c:majorTickMark val="out"/>
        <c:minorTickMark val="none"/>
        <c:tickLblPos val="nextTo"/>
        <c:crossAx val="99639680"/>
        <c:crosses val="autoZero"/>
        <c:crossBetween val="between"/>
      </c:valAx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/>
            </a:pPr>
            <a:r>
              <a:rPr lang="en-US" sz="1100"/>
              <a:t>LTM EBITDA Multiple Range</a:t>
            </a:r>
          </a:p>
        </c:rich>
      </c:tx>
      <c:layout>
        <c:manualLayout>
          <c:xMode val="edge"/>
          <c:yMode val="edge"/>
          <c:x val="0.31291626892699836"/>
          <c:y val="0"/>
        </c:manualLayout>
      </c:layout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spPr>
            <a:noFill/>
          </c:spPr>
          <c:invertIfNegative val="0"/>
          <c:dLbls>
            <c:numFmt formatCode="#,##0.0\x;\-#,##0.0\x" sourceLinked="0"/>
            <c:spPr>
              <a:noFill/>
              <a:ln>
                <a:noFill/>
              </a:ln>
              <a:effectLst/>
            </c:sp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'BA Baseline DCF'!$G$122:$G$124</c:f>
              <c:strCache>
                <c:ptCount val="3"/>
                <c:pt idx="0">
                  <c:v>LTM EBITDA Purchase Multiple at 2.0%-4.0% Perpetuity Growth at 9.0% WACC</c:v>
                </c:pt>
                <c:pt idx="1">
                  <c:v>LTM EBITDA Purchase Multiple at 9.5x-10.8x Exit EBITDA Multiple at 9.0% WACC</c:v>
                </c:pt>
                <c:pt idx="2">
                  <c:v>LTM EBITDA Purchase Multiple at 8.0%-10.0% WACC at 12.5x Exit EBITDA</c:v>
                </c:pt>
              </c:strCache>
            </c:strRef>
          </c:cat>
          <c:val>
            <c:numRef>
              <c:f>'BA Baseline DCF'!$O$122:$O$124</c:f>
              <c:numCache>
                <c:formatCode>#,##0.00_);\(#,##0.00\)</c:formatCode>
                <c:ptCount val="3"/>
                <c:pt idx="0">
                  <c:v>7.9827360906110938</c:v>
                </c:pt>
                <c:pt idx="1">
                  <c:v>9.4947419260029626</c:v>
                </c:pt>
                <c:pt idx="2">
                  <c:v>9.8135595301168213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912-164F-9D0B-F725487C55D0}"/>
            </c:ext>
          </c:extLst>
        </c:ser>
        <c:ser>
          <c:idx val="1"/>
          <c:order val="1"/>
          <c:spPr>
            <a:solidFill>
              <a:schemeClr val="tx2"/>
            </a:solidFill>
          </c:spPr>
          <c:invertIfNegative val="0"/>
          <c:cat>
            <c:strRef>
              <c:f>'BA Baseline DCF'!$G$122:$G$124</c:f>
              <c:strCache>
                <c:ptCount val="3"/>
                <c:pt idx="0">
                  <c:v>LTM EBITDA Purchase Multiple at 2.0%-4.0% Perpetuity Growth at 9.0% WACC</c:v>
                </c:pt>
                <c:pt idx="1">
                  <c:v>LTM EBITDA Purchase Multiple at 9.5x-10.8x Exit EBITDA Multiple at 9.0% WACC</c:v>
                </c:pt>
                <c:pt idx="2">
                  <c:v>LTM EBITDA Purchase Multiple at 8.0%-10.0% WACC at 12.5x Exit EBITDA</c:v>
                </c:pt>
              </c:strCache>
            </c:strRef>
          </c:cat>
          <c:val>
            <c:numRef>
              <c:f>'BA Baseline DCF'!$P$122:$P$124</c:f>
              <c:numCache>
                <c:formatCode>#,##0.00_);\(#,##0.00\)</c:formatCode>
                <c:ptCount val="3"/>
                <c:pt idx="0">
                  <c:v>2.5703796270474699</c:v>
                </c:pt>
                <c:pt idx="1">
                  <c:v>1.3087442217069309</c:v>
                </c:pt>
                <c:pt idx="2">
                  <c:v>0.68642194197861173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912-164F-9D0B-F725487C55D0}"/>
            </c:ext>
          </c:extLst>
        </c:ser>
        <c:ser>
          <c:idx val="2"/>
          <c:order val="2"/>
          <c:spPr>
            <a:noFill/>
          </c:spPr>
          <c:invertIfNegative val="0"/>
          <c:dLbls>
            <c:numFmt formatCode="#,##0.0\x;\-#,##0.0\x" sourceLinked="0"/>
            <c:spPr>
              <a:noFill/>
              <a:ln>
                <a:noFill/>
              </a:ln>
              <a:effectLst/>
            </c:sp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'BA Baseline DCF'!$G$122:$G$124</c:f>
              <c:strCache>
                <c:ptCount val="3"/>
                <c:pt idx="0">
                  <c:v>LTM EBITDA Purchase Multiple at 2.0%-4.0% Perpetuity Growth at 9.0% WACC</c:v>
                </c:pt>
                <c:pt idx="1">
                  <c:v>LTM EBITDA Purchase Multiple at 9.5x-10.8x Exit EBITDA Multiple at 9.0% WACC</c:v>
                </c:pt>
                <c:pt idx="2">
                  <c:v>LTM EBITDA Purchase Multiple at 8.0%-10.0% WACC at 12.5x Exit EBITDA</c:v>
                </c:pt>
              </c:strCache>
            </c:strRef>
          </c:cat>
          <c:val>
            <c:numRef>
              <c:f>'BA Baseline DCF'!$Q$122:$Q$124</c:f>
              <c:numCache>
                <c:formatCode>#,##0.00_);\(#,##0.00\)</c:formatCode>
                <c:ptCount val="3"/>
                <c:pt idx="0">
                  <c:v>10.553115717658564</c:v>
                </c:pt>
                <c:pt idx="1">
                  <c:v>10.803486147709894</c:v>
                </c:pt>
                <c:pt idx="2">
                  <c:v>10.499981472095433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912-164F-9D0B-F725487C55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9639680"/>
        <c:axId val="99641216"/>
      </c:barChart>
      <c:catAx>
        <c:axId val="9963968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99641216"/>
        <c:crosses val="autoZero"/>
        <c:auto val="1"/>
        <c:lblAlgn val="ctr"/>
        <c:lblOffset val="100"/>
        <c:noMultiLvlLbl val="0"/>
      </c:catAx>
      <c:valAx>
        <c:axId val="99641216"/>
        <c:scaling>
          <c:orientation val="minMax"/>
          <c:max val="20"/>
          <c:min val="10"/>
        </c:scaling>
        <c:delete val="0"/>
        <c:axPos val="l"/>
        <c:numFmt formatCode="#,##0.0\x;\-#,##0.0\x" sourceLinked="0"/>
        <c:majorTickMark val="out"/>
        <c:minorTickMark val="none"/>
        <c:tickLblPos val="nextTo"/>
        <c:crossAx val="99639680"/>
        <c:crosses val="autoZero"/>
        <c:crossBetween val="between"/>
      </c:valAx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1041400</xdr:colOff>
      <xdr:row>2</xdr:row>
      <xdr:rowOff>101600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4ABBA70F-B9AC-A046-8F44-F9EA023B3C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14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1041400</xdr:colOff>
      <xdr:row>2</xdr:row>
      <xdr:rowOff>101600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915853DE-AD97-C540-B00B-A2CA00DA40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14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81642</xdr:colOff>
      <xdr:row>19</xdr:row>
      <xdr:rowOff>125186</xdr:rowOff>
    </xdr:from>
    <xdr:to>
      <xdr:col>8</xdr:col>
      <xdr:colOff>526142</xdr:colOff>
      <xdr:row>34</xdr:row>
      <xdr:rowOff>10886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AFF13ED-D02D-4346-AF64-88B108ABE0C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208643</xdr:colOff>
      <xdr:row>19</xdr:row>
      <xdr:rowOff>107043</xdr:rowOff>
    </xdr:from>
    <xdr:to>
      <xdr:col>14</xdr:col>
      <xdr:colOff>653143</xdr:colOff>
      <xdr:row>33</xdr:row>
      <xdr:rowOff>183243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7E7566D-02D9-EF4F-B464-5CB0309A505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53578</xdr:colOff>
      <xdr:row>100</xdr:row>
      <xdr:rowOff>149424</xdr:rowOff>
    </xdr:from>
    <xdr:to>
      <xdr:col>4</xdr:col>
      <xdr:colOff>654844</xdr:colOff>
      <xdr:row>119</xdr:row>
      <xdr:rowOff>53578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AF329FA-1A41-C74B-9E8B-594EC5BDACF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47228</xdr:colOff>
      <xdr:row>100</xdr:row>
      <xdr:rowOff>149424</xdr:rowOff>
    </xdr:from>
    <xdr:to>
      <xdr:col>15</xdr:col>
      <xdr:colOff>657225</xdr:colOff>
      <xdr:row>119</xdr:row>
      <xdr:rowOff>47228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9E7FBCF-2999-1C45-B4A3-BBADA0D3972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schneids13/Desktop/Oxford%20MBA/Academic/Wall%20Street%20Prep/DCF%20Modeling%20Course/DCF-Modeling-Course-DL-Kit/DCF%20Mode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inancials "/>
      <sheetName val="Simple DCF Empty"/>
      <sheetName val="Simple DCF Done"/>
      <sheetName val="WACC Empty"/>
      <sheetName val="WACC Done"/>
      <sheetName val="Shares Empty"/>
      <sheetName val="Shares"/>
      <sheetName val="DCF 1-Pager"/>
      <sheetName val="2019 FSM Update Complete"/>
      <sheetName val="Integrated DCF Empty"/>
      <sheetName val="Integrated DCF"/>
    </sheetNames>
    <sheetDataSet>
      <sheetData sheetId="0">
        <row r="3">
          <cell r="B3" t="str">
            <v xml:space="preserve">$ and shares in millions, except per share data </v>
          </cell>
        </row>
      </sheetData>
      <sheetData sheetId="1"/>
      <sheetData sheetId="2">
        <row r="122">
          <cell r="B122" t="str">
            <v>DCF Value at 11.5x-13.5x Exit EBITDA Range at 9.0% WACC</v>
          </cell>
          <cell r="C122">
            <v>255.11212614708694</v>
          </cell>
          <cell r="D122">
            <v>30.754754148733241</v>
          </cell>
          <cell r="E122">
            <v>285.86688029582018</v>
          </cell>
          <cell r="G122" t="str">
            <v>LTM EBITDA Purchase Multiple at 2.0%-4.0% Perpetuity Growth at 9.0% WACC</v>
          </cell>
          <cell r="O122">
            <v>12.158600506522676</v>
          </cell>
          <cell r="P122">
            <v>3.8793603063571584</v>
          </cell>
          <cell r="Q122">
            <v>16.037960812879835</v>
          </cell>
        </row>
        <row r="123">
          <cell r="B123" t="str">
            <v>DCF Value at 2.0%-4.0% Perpetuity Range at 9.0% WACC</v>
          </cell>
          <cell r="C123">
            <v>243.66113413110557</v>
          </cell>
          <cell r="D123">
            <v>70.695623658731876</v>
          </cell>
          <cell r="E123">
            <v>314.35675778983745</v>
          </cell>
          <cell r="G123" t="str">
            <v>LTM EBITDA Purchase Multiple at 12.8x-14.5x Exit EBITDA Multiple at 9.0% WACC</v>
          </cell>
          <cell r="O123">
            <v>12.786963644100345</v>
          </cell>
          <cell r="P123">
            <v>1.6876401437846678</v>
          </cell>
          <cell r="Q123">
            <v>14.474603787885012</v>
          </cell>
        </row>
        <row r="124">
          <cell r="B124" t="str">
            <v>52 Week Market High/Low</v>
          </cell>
          <cell r="C124">
            <v>169.5</v>
          </cell>
          <cell r="D124">
            <v>158.35000000000002</v>
          </cell>
          <cell r="E124">
            <v>327.85</v>
          </cell>
          <cell r="G124" t="str">
            <v>LTM EBITDA Purchase Multiple at 8.0%-10.0% WACC at 12.5x Exit EBITDA</v>
          </cell>
          <cell r="O124">
            <v>13.122776360825991</v>
          </cell>
          <cell r="P124">
            <v>1.0418732444405041</v>
          </cell>
          <cell r="Q124">
            <v>14.164649605266495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Jake Schneider" id="{159EDEB5-64A9-5F47-87DD-5E6E7018C55B}" userId="6f80b508ea527ceb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15" dT="2020-11-02T14:52:02.37" personId="{159EDEB5-64A9-5F47-87DD-5E6E7018C55B}" id="{5E10299A-67A1-FC4B-9720-FD1EF2B09E09}">
    <text>10-year CAGR average</text>
  </threadedComment>
  <threadedComment ref="D22" dT="2020-11-02T15:05:42.62" personId="{159EDEB5-64A9-5F47-87DD-5E6E7018C55B}" id="{0040A186-79A7-D145-B5F6-72B1774B73B7}">
    <text>10 Year Average of Tax Rate</text>
  </threadedComment>
  <threadedComment ref="E33" dT="2020-11-02T15:05:22.21" personId="{159EDEB5-64A9-5F47-87DD-5E6E7018C55B}" id="{18ECD44A-5814-874F-9A40-D83E1D291953}">
    <text>10 Year Mean of NWC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4ED02-759D-EA40-85D5-4499665B423C}">
  <sheetPr>
    <outlinePr summaryBelow="0" summaryRight="0"/>
    <pageSetUpPr autoPageBreaks="0"/>
  </sheetPr>
  <dimension ref="A5:IU116"/>
  <sheetViews>
    <sheetView topLeftCell="A50" workbookViewId="0">
      <selection activeCell="B18" sqref="B18:L112"/>
    </sheetView>
  </sheetViews>
  <sheetFormatPr baseColWidth="10" defaultRowHeight="11"/>
  <cols>
    <col min="1" max="1" width="45.83203125" style="133" customWidth="1"/>
    <col min="2" max="12" width="14.83203125" style="133" customWidth="1"/>
    <col min="13" max="256" width="8.83203125" style="133" customWidth="1"/>
    <col min="257" max="257" width="45.83203125" style="133" customWidth="1"/>
    <col min="258" max="268" width="14.83203125" style="133" customWidth="1"/>
    <col min="269" max="512" width="8.83203125" style="133" customWidth="1"/>
    <col min="513" max="513" width="45.83203125" style="133" customWidth="1"/>
    <col min="514" max="524" width="14.83203125" style="133" customWidth="1"/>
    <col min="525" max="768" width="8.83203125" style="133" customWidth="1"/>
    <col min="769" max="769" width="45.83203125" style="133" customWidth="1"/>
    <col min="770" max="780" width="14.83203125" style="133" customWidth="1"/>
    <col min="781" max="1024" width="8.83203125" style="133" customWidth="1"/>
    <col min="1025" max="1025" width="45.83203125" style="133" customWidth="1"/>
    <col min="1026" max="1036" width="14.83203125" style="133" customWidth="1"/>
    <col min="1037" max="1280" width="8.83203125" style="133" customWidth="1"/>
    <col min="1281" max="1281" width="45.83203125" style="133" customWidth="1"/>
    <col min="1282" max="1292" width="14.83203125" style="133" customWidth="1"/>
    <col min="1293" max="1536" width="8.83203125" style="133" customWidth="1"/>
    <col min="1537" max="1537" width="45.83203125" style="133" customWidth="1"/>
    <col min="1538" max="1548" width="14.83203125" style="133" customWidth="1"/>
    <col min="1549" max="1792" width="8.83203125" style="133" customWidth="1"/>
    <col min="1793" max="1793" width="45.83203125" style="133" customWidth="1"/>
    <col min="1794" max="1804" width="14.83203125" style="133" customWidth="1"/>
    <col min="1805" max="2048" width="8.83203125" style="133" customWidth="1"/>
    <col min="2049" max="2049" width="45.83203125" style="133" customWidth="1"/>
    <col min="2050" max="2060" width="14.83203125" style="133" customWidth="1"/>
    <col min="2061" max="2304" width="8.83203125" style="133" customWidth="1"/>
    <col min="2305" max="2305" width="45.83203125" style="133" customWidth="1"/>
    <col min="2306" max="2316" width="14.83203125" style="133" customWidth="1"/>
    <col min="2317" max="2560" width="8.83203125" style="133" customWidth="1"/>
    <col min="2561" max="2561" width="45.83203125" style="133" customWidth="1"/>
    <col min="2562" max="2572" width="14.83203125" style="133" customWidth="1"/>
    <col min="2573" max="2816" width="8.83203125" style="133" customWidth="1"/>
    <col min="2817" max="2817" width="45.83203125" style="133" customWidth="1"/>
    <col min="2818" max="2828" width="14.83203125" style="133" customWidth="1"/>
    <col min="2829" max="3072" width="8.83203125" style="133" customWidth="1"/>
    <col min="3073" max="3073" width="45.83203125" style="133" customWidth="1"/>
    <col min="3074" max="3084" width="14.83203125" style="133" customWidth="1"/>
    <col min="3085" max="3328" width="8.83203125" style="133" customWidth="1"/>
    <col min="3329" max="3329" width="45.83203125" style="133" customWidth="1"/>
    <col min="3330" max="3340" width="14.83203125" style="133" customWidth="1"/>
    <col min="3341" max="3584" width="8.83203125" style="133" customWidth="1"/>
    <col min="3585" max="3585" width="45.83203125" style="133" customWidth="1"/>
    <col min="3586" max="3596" width="14.83203125" style="133" customWidth="1"/>
    <col min="3597" max="3840" width="8.83203125" style="133" customWidth="1"/>
    <col min="3841" max="3841" width="45.83203125" style="133" customWidth="1"/>
    <col min="3842" max="3852" width="14.83203125" style="133" customWidth="1"/>
    <col min="3853" max="4096" width="8.83203125" style="133" customWidth="1"/>
    <col min="4097" max="4097" width="45.83203125" style="133" customWidth="1"/>
    <col min="4098" max="4108" width="14.83203125" style="133" customWidth="1"/>
    <col min="4109" max="4352" width="8.83203125" style="133" customWidth="1"/>
    <col min="4353" max="4353" width="45.83203125" style="133" customWidth="1"/>
    <col min="4354" max="4364" width="14.83203125" style="133" customWidth="1"/>
    <col min="4365" max="4608" width="8.83203125" style="133" customWidth="1"/>
    <col min="4609" max="4609" width="45.83203125" style="133" customWidth="1"/>
    <col min="4610" max="4620" width="14.83203125" style="133" customWidth="1"/>
    <col min="4621" max="4864" width="8.83203125" style="133" customWidth="1"/>
    <col min="4865" max="4865" width="45.83203125" style="133" customWidth="1"/>
    <col min="4866" max="4876" width="14.83203125" style="133" customWidth="1"/>
    <col min="4877" max="5120" width="8.83203125" style="133" customWidth="1"/>
    <col min="5121" max="5121" width="45.83203125" style="133" customWidth="1"/>
    <col min="5122" max="5132" width="14.83203125" style="133" customWidth="1"/>
    <col min="5133" max="5376" width="8.83203125" style="133" customWidth="1"/>
    <col min="5377" max="5377" width="45.83203125" style="133" customWidth="1"/>
    <col min="5378" max="5388" width="14.83203125" style="133" customWidth="1"/>
    <col min="5389" max="5632" width="8.83203125" style="133" customWidth="1"/>
    <col min="5633" max="5633" width="45.83203125" style="133" customWidth="1"/>
    <col min="5634" max="5644" width="14.83203125" style="133" customWidth="1"/>
    <col min="5645" max="5888" width="8.83203125" style="133" customWidth="1"/>
    <col min="5889" max="5889" width="45.83203125" style="133" customWidth="1"/>
    <col min="5890" max="5900" width="14.83203125" style="133" customWidth="1"/>
    <col min="5901" max="6144" width="8.83203125" style="133" customWidth="1"/>
    <col min="6145" max="6145" width="45.83203125" style="133" customWidth="1"/>
    <col min="6146" max="6156" width="14.83203125" style="133" customWidth="1"/>
    <col min="6157" max="6400" width="8.83203125" style="133" customWidth="1"/>
    <col min="6401" max="6401" width="45.83203125" style="133" customWidth="1"/>
    <col min="6402" max="6412" width="14.83203125" style="133" customWidth="1"/>
    <col min="6413" max="6656" width="8.83203125" style="133" customWidth="1"/>
    <col min="6657" max="6657" width="45.83203125" style="133" customWidth="1"/>
    <col min="6658" max="6668" width="14.83203125" style="133" customWidth="1"/>
    <col min="6669" max="6912" width="8.83203125" style="133" customWidth="1"/>
    <col min="6913" max="6913" width="45.83203125" style="133" customWidth="1"/>
    <col min="6914" max="6924" width="14.83203125" style="133" customWidth="1"/>
    <col min="6925" max="7168" width="8.83203125" style="133" customWidth="1"/>
    <col min="7169" max="7169" width="45.83203125" style="133" customWidth="1"/>
    <col min="7170" max="7180" width="14.83203125" style="133" customWidth="1"/>
    <col min="7181" max="7424" width="8.83203125" style="133" customWidth="1"/>
    <col min="7425" max="7425" width="45.83203125" style="133" customWidth="1"/>
    <col min="7426" max="7436" width="14.83203125" style="133" customWidth="1"/>
    <col min="7437" max="7680" width="8.83203125" style="133" customWidth="1"/>
    <col min="7681" max="7681" width="45.83203125" style="133" customWidth="1"/>
    <col min="7682" max="7692" width="14.83203125" style="133" customWidth="1"/>
    <col min="7693" max="7936" width="8.83203125" style="133" customWidth="1"/>
    <col min="7937" max="7937" width="45.83203125" style="133" customWidth="1"/>
    <col min="7938" max="7948" width="14.83203125" style="133" customWidth="1"/>
    <col min="7949" max="8192" width="8.83203125" style="133" customWidth="1"/>
    <col min="8193" max="8193" width="45.83203125" style="133" customWidth="1"/>
    <col min="8194" max="8204" width="14.83203125" style="133" customWidth="1"/>
    <col min="8205" max="8448" width="8.83203125" style="133" customWidth="1"/>
    <col min="8449" max="8449" width="45.83203125" style="133" customWidth="1"/>
    <col min="8450" max="8460" width="14.83203125" style="133" customWidth="1"/>
    <col min="8461" max="8704" width="8.83203125" style="133" customWidth="1"/>
    <col min="8705" max="8705" width="45.83203125" style="133" customWidth="1"/>
    <col min="8706" max="8716" width="14.83203125" style="133" customWidth="1"/>
    <col min="8717" max="8960" width="8.83203125" style="133" customWidth="1"/>
    <col min="8961" max="8961" width="45.83203125" style="133" customWidth="1"/>
    <col min="8962" max="8972" width="14.83203125" style="133" customWidth="1"/>
    <col min="8973" max="9216" width="8.83203125" style="133" customWidth="1"/>
    <col min="9217" max="9217" width="45.83203125" style="133" customWidth="1"/>
    <col min="9218" max="9228" width="14.83203125" style="133" customWidth="1"/>
    <col min="9229" max="9472" width="8.83203125" style="133" customWidth="1"/>
    <col min="9473" max="9473" width="45.83203125" style="133" customWidth="1"/>
    <col min="9474" max="9484" width="14.83203125" style="133" customWidth="1"/>
    <col min="9485" max="9728" width="8.83203125" style="133" customWidth="1"/>
    <col min="9729" max="9729" width="45.83203125" style="133" customWidth="1"/>
    <col min="9730" max="9740" width="14.83203125" style="133" customWidth="1"/>
    <col min="9741" max="9984" width="8.83203125" style="133" customWidth="1"/>
    <col min="9985" max="9985" width="45.83203125" style="133" customWidth="1"/>
    <col min="9986" max="9996" width="14.83203125" style="133" customWidth="1"/>
    <col min="9997" max="10240" width="8.83203125" style="133" customWidth="1"/>
    <col min="10241" max="10241" width="45.83203125" style="133" customWidth="1"/>
    <col min="10242" max="10252" width="14.83203125" style="133" customWidth="1"/>
    <col min="10253" max="10496" width="8.83203125" style="133" customWidth="1"/>
    <col min="10497" max="10497" width="45.83203125" style="133" customWidth="1"/>
    <col min="10498" max="10508" width="14.83203125" style="133" customWidth="1"/>
    <col min="10509" max="10752" width="8.83203125" style="133" customWidth="1"/>
    <col min="10753" max="10753" width="45.83203125" style="133" customWidth="1"/>
    <col min="10754" max="10764" width="14.83203125" style="133" customWidth="1"/>
    <col min="10765" max="11008" width="8.83203125" style="133" customWidth="1"/>
    <col min="11009" max="11009" width="45.83203125" style="133" customWidth="1"/>
    <col min="11010" max="11020" width="14.83203125" style="133" customWidth="1"/>
    <col min="11021" max="11264" width="8.83203125" style="133" customWidth="1"/>
    <col min="11265" max="11265" width="45.83203125" style="133" customWidth="1"/>
    <col min="11266" max="11276" width="14.83203125" style="133" customWidth="1"/>
    <col min="11277" max="11520" width="8.83203125" style="133" customWidth="1"/>
    <col min="11521" max="11521" width="45.83203125" style="133" customWidth="1"/>
    <col min="11522" max="11532" width="14.83203125" style="133" customWidth="1"/>
    <col min="11533" max="11776" width="8.83203125" style="133" customWidth="1"/>
    <col min="11777" max="11777" width="45.83203125" style="133" customWidth="1"/>
    <col min="11778" max="11788" width="14.83203125" style="133" customWidth="1"/>
    <col min="11789" max="12032" width="8.83203125" style="133" customWidth="1"/>
    <col min="12033" max="12033" width="45.83203125" style="133" customWidth="1"/>
    <col min="12034" max="12044" width="14.83203125" style="133" customWidth="1"/>
    <col min="12045" max="12288" width="8.83203125" style="133" customWidth="1"/>
    <col min="12289" max="12289" width="45.83203125" style="133" customWidth="1"/>
    <col min="12290" max="12300" width="14.83203125" style="133" customWidth="1"/>
    <col min="12301" max="12544" width="8.83203125" style="133" customWidth="1"/>
    <col min="12545" max="12545" width="45.83203125" style="133" customWidth="1"/>
    <col min="12546" max="12556" width="14.83203125" style="133" customWidth="1"/>
    <col min="12557" max="12800" width="8.83203125" style="133" customWidth="1"/>
    <col min="12801" max="12801" width="45.83203125" style="133" customWidth="1"/>
    <col min="12802" max="12812" width="14.83203125" style="133" customWidth="1"/>
    <col min="12813" max="13056" width="8.83203125" style="133" customWidth="1"/>
    <col min="13057" max="13057" width="45.83203125" style="133" customWidth="1"/>
    <col min="13058" max="13068" width="14.83203125" style="133" customWidth="1"/>
    <col min="13069" max="13312" width="8.83203125" style="133" customWidth="1"/>
    <col min="13313" max="13313" width="45.83203125" style="133" customWidth="1"/>
    <col min="13314" max="13324" width="14.83203125" style="133" customWidth="1"/>
    <col min="13325" max="13568" width="8.83203125" style="133" customWidth="1"/>
    <col min="13569" max="13569" width="45.83203125" style="133" customWidth="1"/>
    <col min="13570" max="13580" width="14.83203125" style="133" customWidth="1"/>
    <col min="13581" max="13824" width="8.83203125" style="133" customWidth="1"/>
    <col min="13825" max="13825" width="45.83203125" style="133" customWidth="1"/>
    <col min="13826" max="13836" width="14.83203125" style="133" customWidth="1"/>
    <col min="13837" max="14080" width="8.83203125" style="133" customWidth="1"/>
    <col min="14081" max="14081" width="45.83203125" style="133" customWidth="1"/>
    <col min="14082" max="14092" width="14.83203125" style="133" customWidth="1"/>
    <col min="14093" max="14336" width="8.83203125" style="133" customWidth="1"/>
    <col min="14337" max="14337" width="45.83203125" style="133" customWidth="1"/>
    <col min="14338" max="14348" width="14.83203125" style="133" customWidth="1"/>
    <col min="14349" max="14592" width="8.83203125" style="133" customWidth="1"/>
    <col min="14593" max="14593" width="45.83203125" style="133" customWidth="1"/>
    <col min="14594" max="14604" width="14.83203125" style="133" customWidth="1"/>
    <col min="14605" max="14848" width="8.83203125" style="133" customWidth="1"/>
    <col min="14849" max="14849" width="45.83203125" style="133" customWidth="1"/>
    <col min="14850" max="14860" width="14.83203125" style="133" customWidth="1"/>
    <col min="14861" max="15104" width="8.83203125" style="133" customWidth="1"/>
    <col min="15105" max="15105" width="45.83203125" style="133" customWidth="1"/>
    <col min="15106" max="15116" width="14.83203125" style="133" customWidth="1"/>
    <col min="15117" max="15360" width="8.83203125" style="133" customWidth="1"/>
    <col min="15361" max="15361" width="45.83203125" style="133" customWidth="1"/>
    <col min="15362" max="15372" width="14.83203125" style="133" customWidth="1"/>
    <col min="15373" max="15616" width="8.83203125" style="133" customWidth="1"/>
    <col min="15617" max="15617" width="45.83203125" style="133" customWidth="1"/>
    <col min="15618" max="15628" width="14.83203125" style="133" customWidth="1"/>
    <col min="15629" max="15872" width="8.83203125" style="133" customWidth="1"/>
    <col min="15873" max="15873" width="45.83203125" style="133" customWidth="1"/>
    <col min="15874" max="15884" width="14.83203125" style="133" customWidth="1"/>
    <col min="15885" max="16128" width="8.83203125" style="133" customWidth="1"/>
    <col min="16129" max="16129" width="45.83203125" style="133" customWidth="1"/>
    <col min="16130" max="16140" width="14.83203125" style="133" customWidth="1"/>
    <col min="16141" max="16384" width="8.83203125" style="133" customWidth="1"/>
  </cols>
  <sheetData>
    <row r="5" spans="1:255" ht="17">
      <c r="A5" s="132" t="s">
        <v>91</v>
      </c>
    </row>
    <row r="7" spans="1:255" ht="12">
      <c r="A7" s="134" t="s">
        <v>92</v>
      </c>
      <c r="B7" s="135" t="s">
        <v>93</v>
      </c>
      <c r="C7" s="133" t="s">
        <v>94</v>
      </c>
      <c r="D7" s="136" t="s">
        <v>95</v>
      </c>
      <c r="E7" s="135" t="s">
        <v>96</v>
      </c>
      <c r="F7" s="133" t="s">
        <v>97</v>
      </c>
    </row>
    <row r="8" spans="1:255">
      <c r="A8" s="136"/>
      <c r="B8" s="135" t="s">
        <v>98</v>
      </c>
      <c r="C8" s="133" t="s">
        <v>99</v>
      </c>
      <c r="D8" s="136" t="s">
        <v>95</v>
      </c>
      <c r="E8" s="135" t="s">
        <v>100</v>
      </c>
      <c r="F8" s="133" t="s">
        <v>101</v>
      </c>
    </row>
    <row r="9" spans="1:255">
      <c r="A9" s="136"/>
      <c r="B9" s="135" t="s">
        <v>102</v>
      </c>
      <c r="C9" s="133" t="s">
        <v>103</v>
      </c>
      <c r="D9" s="136" t="s">
        <v>95</v>
      </c>
      <c r="E9" s="135" t="s">
        <v>104</v>
      </c>
      <c r="F9" s="133" t="s">
        <v>105</v>
      </c>
    </row>
    <row r="10" spans="1:255">
      <c r="A10" s="136"/>
      <c r="B10" s="135" t="s">
        <v>106</v>
      </c>
      <c r="C10" s="133" t="s">
        <v>107</v>
      </c>
      <c r="D10" s="136" t="s">
        <v>95</v>
      </c>
      <c r="E10" s="135" t="s">
        <v>108</v>
      </c>
      <c r="F10" s="137" t="s">
        <v>109</v>
      </c>
    </row>
    <row r="11" spans="1:255">
      <c r="A11" s="136"/>
      <c r="B11" s="135" t="s">
        <v>110</v>
      </c>
      <c r="C11" s="133" t="s">
        <v>111</v>
      </c>
      <c r="D11" s="136" t="s">
        <v>95</v>
      </c>
      <c r="E11" s="138"/>
      <c r="F11" s="138"/>
    </row>
    <row r="14" spans="1:255">
      <c r="A14" s="139" t="s">
        <v>112</v>
      </c>
      <c r="B14" s="139"/>
      <c r="C14" s="139"/>
      <c r="D14" s="139"/>
      <c r="E14" s="139"/>
      <c r="F14" s="139"/>
      <c r="G14" s="139"/>
      <c r="H14" s="139"/>
      <c r="I14" s="139"/>
      <c r="J14" s="139"/>
      <c r="K14" s="139"/>
      <c r="L14" s="139"/>
      <c r="M14" s="140"/>
      <c r="N14" s="140"/>
      <c r="O14" s="140"/>
      <c r="P14" s="140"/>
      <c r="Q14" s="140"/>
      <c r="R14" s="140"/>
      <c r="S14" s="140"/>
      <c r="T14" s="140"/>
      <c r="U14" s="140"/>
      <c r="V14" s="140"/>
      <c r="W14" s="140"/>
      <c r="X14" s="140"/>
      <c r="Y14" s="140"/>
      <c r="Z14" s="140"/>
      <c r="AA14" s="140"/>
      <c r="AB14" s="140"/>
      <c r="AC14" s="140"/>
      <c r="AD14" s="140"/>
      <c r="AE14" s="140"/>
      <c r="AF14" s="140"/>
      <c r="AG14" s="140"/>
      <c r="AH14" s="140"/>
      <c r="AI14" s="140"/>
      <c r="AJ14" s="140"/>
      <c r="AK14" s="140"/>
      <c r="AL14" s="140"/>
      <c r="AM14" s="140"/>
      <c r="AN14" s="140"/>
      <c r="AO14" s="140"/>
      <c r="AP14" s="140"/>
      <c r="AQ14" s="140"/>
      <c r="AR14" s="140"/>
      <c r="AS14" s="140"/>
      <c r="AT14" s="140"/>
      <c r="AU14" s="140"/>
      <c r="AV14" s="140"/>
      <c r="AW14" s="140"/>
      <c r="AX14" s="140"/>
      <c r="AY14" s="140"/>
      <c r="AZ14" s="140"/>
      <c r="BA14" s="140"/>
      <c r="BB14" s="140"/>
      <c r="BC14" s="140"/>
      <c r="BD14" s="140"/>
      <c r="BE14" s="140"/>
      <c r="BF14" s="140"/>
      <c r="BG14" s="140"/>
      <c r="BH14" s="140"/>
      <c r="BI14" s="140"/>
      <c r="BJ14" s="140"/>
      <c r="BK14" s="140"/>
      <c r="BL14" s="140"/>
      <c r="BM14" s="140"/>
      <c r="BN14" s="140"/>
      <c r="BO14" s="140"/>
      <c r="BP14" s="140"/>
      <c r="BQ14" s="140"/>
      <c r="BR14" s="140"/>
      <c r="BS14" s="140"/>
      <c r="BT14" s="140"/>
      <c r="BU14" s="140"/>
      <c r="BV14" s="140"/>
      <c r="BW14" s="140"/>
      <c r="BX14" s="140"/>
      <c r="BY14" s="140"/>
      <c r="BZ14" s="140"/>
      <c r="CA14" s="140"/>
      <c r="CB14" s="140"/>
      <c r="CC14" s="140"/>
      <c r="CD14" s="140"/>
      <c r="CE14" s="140"/>
      <c r="CF14" s="140"/>
      <c r="CG14" s="140"/>
      <c r="CH14" s="140"/>
      <c r="CI14" s="140"/>
      <c r="CJ14" s="140"/>
      <c r="CK14" s="140"/>
      <c r="CL14" s="140"/>
      <c r="CM14" s="140"/>
      <c r="CN14" s="140"/>
      <c r="CO14" s="140"/>
      <c r="CP14" s="140"/>
      <c r="CQ14" s="140"/>
      <c r="CR14" s="140"/>
      <c r="CS14" s="140"/>
      <c r="CT14" s="140"/>
      <c r="CU14" s="140"/>
      <c r="CV14" s="140"/>
      <c r="CW14" s="140"/>
      <c r="CX14" s="140"/>
      <c r="CY14" s="140"/>
      <c r="CZ14" s="140"/>
      <c r="DA14" s="140"/>
      <c r="DB14" s="140"/>
      <c r="DC14" s="140"/>
      <c r="DD14" s="140"/>
      <c r="DE14" s="140"/>
      <c r="DF14" s="140"/>
      <c r="DG14" s="140"/>
      <c r="DH14" s="140"/>
      <c r="DI14" s="140"/>
      <c r="DJ14" s="140"/>
      <c r="DK14" s="140"/>
      <c r="DL14" s="140"/>
      <c r="DM14" s="140"/>
      <c r="DN14" s="140"/>
      <c r="DO14" s="140"/>
      <c r="DP14" s="140"/>
      <c r="DQ14" s="140"/>
      <c r="DR14" s="140"/>
      <c r="DS14" s="140"/>
      <c r="DT14" s="140"/>
      <c r="DU14" s="140"/>
      <c r="DV14" s="140"/>
      <c r="DW14" s="140"/>
      <c r="DX14" s="140"/>
      <c r="DY14" s="140"/>
      <c r="DZ14" s="140"/>
      <c r="EA14" s="140"/>
      <c r="EB14" s="140"/>
      <c r="EC14" s="140"/>
      <c r="ED14" s="140"/>
      <c r="EE14" s="140"/>
      <c r="EF14" s="140"/>
      <c r="EG14" s="140"/>
      <c r="EH14" s="140"/>
      <c r="EI14" s="140"/>
      <c r="EJ14" s="140"/>
      <c r="EK14" s="140"/>
      <c r="EL14" s="140"/>
      <c r="EM14" s="140"/>
      <c r="EN14" s="140"/>
      <c r="EO14" s="140"/>
      <c r="EP14" s="140"/>
      <c r="EQ14" s="140"/>
      <c r="ER14" s="140"/>
      <c r="ES14" s="140"/>
      <c r="ET14" s="140"/>
      <c r="EU14" s="140"/>
      <c r="EV14" s="140"/>
      <c r="EW14" s="140"/>
      <c r="EX14" s="140"/>
      <c r="EY14" s="140"/>
      <c r="EZ14" s="140"/>
      <c r="FA14" s="140"/>
      <c r="FB14" s="140"/>
      <c r="FC14" s="140"/>
      <c r="FD14" s="140"/>
      <c r="FE14" s="140"/>
      <c r="FF14" s="140"/>
      <c r="FG14" s="140"/>
      <c r="FH14" s="140"/>
      <c r="FI14" s="140"/>
      <c r="FJ14" s="140"/>
      <c r="FK14" s="140"/>
      <c r="FL14" s="140"/>
      <c r="FM14" s="140"/>
      <c r="FN14" s="140"/>
      <c r="FO14" s="140"/>
      <c r="FP14" s="140"/>
      <c r="FQ14" s="140"/>
      <c r="FR14" s="140"/>
      <c r="FS14" s="140"/>
      <c r="FT14" s="140"/>
      <c r="FU14" s="140"/>
      <c r="FV14" s="140"/>
      <c r="FW14" s="140"/>
      <c r="FX14" s="140"/>
      <c r="FY14" s="140"/>
      <c r="FZ14" s="140"/>
      <c r="GA14" s="140"/>
      <c r="GB14" s="140"/>
      <c r="GC14" s="140"/>
      <c r="GD14" s="140"/>
      <c r="GE14" s="140"/>
      <c r="GF14" s="140"/>
      <c r="GG14" s="140"/>
      <c r="GH14" s="140"/>
      <c r="GI14" s="140"/>
      <c r="GJ14" s="140"/>
      <c r="GK14" s="140"/>
      <c r="GL14" s="140"/>
      <c r="GM14" s="140"/>
      <c r="GN14" s="140"/>
      <c r="GO14" s="140"/>
      <c r="GP14" s="140"/>
      <c r="GQ14" s="140"/>
      <c r="GR14" s="140"/>
      <c r="GS14" s="140"/>
      <c r="GT14" s="140"/>
      <c r="GU14" s="140"/>
      <c r="GV14" s="140"/>
      <c r="GW14" s="140"/>
      <c r="GX14" s="140"/>
      <c r="GY14" s="140"/>
      <c r="GZ14" s="140"/>
      <c r="HA14" s="140"/>
      <c r="HB14" s="140"/>
      <c r="HC14" s="140"/>
      <c r="HD14" s="140"/>
      <c r="HE14" s="140"/>
      <c r="HF14" s="140"/>
      <c r="HG14" s="140"/>
      <c r="HH14" s="140"/>
      <c r="HI14" s="140"/>
      <c r="HJ14" s="140"/>
      <c r="HK14" s="140"/>
      <c r="HL14" s="140"/>
      <c r="HM14" s="140"/>
      <c r="HN14" s="140"/>
      <c r="HO14" s="140"/>
      <c r="HP14" s="140"/>
      <c r="HQ14" s="140"/>
      <c r="HR14" s="140"/>
      <c r="HS14" s="140"/>
      <c r="HT14" s="140"/>
      <c r="HU14" s="140"/>
      <c r="HV14" s="140"/>
      <c r="HW14" s="140"/>
      <c r="HX14" s="140"/>
      <c r="HY14" s="140"/>
      <c r="HZ14" s="140"/>
      <c r="IA14" s="140"/>
      <c r="IB14" s="140"/>
      <c r="IC14" s="140"/>
      <c r="ID14" s="140"/>
      <c r="IE14" s="140"/>
      <c r="IF14" s="140"/>
      <c r="IG14" s="140"/>
      <c r="IH14" s="140"/>
      <c r="II14" s="140"/>
      <c r="IJ14" s="140"/>
      <c r="IK14" s="140"/>
      <c r="IL14" s="140"/>
      <c r="IM14" s="140"/>
      <c r="IN14" s="140"/>
      <c r="IO14" s="140"/>
      <c r="IP14" s="140"/>
      <c r="IQ14" s="140"/>
      <c r="IR14" s="140"/>
      <c r="IS14" s="140"/>
      <c r="IT14" s="140"/>
      <c r="IU14" s="140"/>
    </row>
    <row r="15" spans="1:255" ht="36">
      <c r="A15" s="141" t="s">
        <v>113</v>
      </c>
      <c r="B15" s="142" t="s">
        <v>114</v>
      </c>
      <c r="C15" s="142" t="s">
        <v>115</v>
      </c>
      <c r="D15" s="142" t="s">
        <v>116</v>
      </c>
      <c r="E15" s="142" t="s">
        <v>117</v>
      </c>
      <c r="F15" s="142" t="s">
        <v>118</v>
      </c>
      <c r="G15" s="142" t="s">
        <v>119</v>
      </c>
      <c r="H15" s="142" t="s">
        <v>120</v>
      </c>
      <c r="I15" s="142" t="s">
        <v>121</v>
      </c>
      <c r="J15" s="142" t="s">
        <v>122</v>
      </c>
      <c r="K15" s="142" t="s">
        <v>123</v>
      </c>
      <c r="L15" s="142" t="s">
        <v>124</v>
      </c>
    </row>
    <row r="16" spans="1:255" ht="12">
      <c r="A16" s="143" t="s">
        <v>125</v>
      </c>
      <c r="B16" s="144" t="s">
        <v>126</v>
      </c>
      <c r="C16" s="144" t="s">
        <v>126</v>
      </c>
      <c r="D16" s="144" t="s">
        <v>126</v>
      </c>
      <c r="E16" s="144" t="s">
        <v>126</v>
      </c>
      <c r="F16" s="144" t="s">
        <v>126</v>
      </c>
      <c r="G16" s="144" t="s">
        <v>126</v>
      </c>
      <c r="H16" s="144" t="s">
        <v>126</v>
      </c>
      <c r="I16" s="144" t="s">
        <v>126</v>
      </c>
      <c r="J16" s="144" t="s">
        <v>126</v>
      </c>
      <c r="K16" s="144" t="s">
        <v>126</v>
      </c>
      <c r="L16" s="144" t="s">
        <v>126</v>
      </c>
    </row>
    <row r="17" spans="1:12">
      <c r="A17" s="145" t="s">
        <v>127</v>
      </c>
      <c r="B17" s="136"/>
      <c r="C17" s="136"/>
      <c r="D17" s="136"/>
      <c r="E17" s="136"/>
      <c r="F17" s="136"/>
      <c r="G17" s="136"/>
      <c r="H17" s="136"/>
      <c r="I17" s="136"/>
      <c r="J17" s="136"/>
      <c r="K17" s="136"/>
      <c r="L17" s="136"/>
    </row>
    <row r="18" spans="1:12">
      <c r="A18" s="136" t="s">
        <v>14</v>
      </c>
      <c r="B18" s="146">
        <v>8482.664546</v>
      </c>
      <c r="C18" s="146">
        <v>9460</v>
      </c>
      <c r="D18" s="146">
        <v>10236</v>
      </c>
      <c r="E18" s="146">
        <v>10818</v>
      </c>
      <c r="F18" s="146">
        <v>11050</v>
      </c>
      <c r="G18" s="146">
        <v>10826</v>
      </c>
      <c r="H18" s="146">
        <v>10885</v>
      </c>
      <c r="I18" s="146">
        <v>11738</v>
      </c>
      <c r="J18" s="146">
        <v>12333</v>
      </c>
      <c r="K18" s="146">
        <v>12610</v>
      </c>
      <c r="L18" s="146">
        <v>9087</v>
      </c>
    </row>
    <row r="19" spans="1:12">
      <c r="A19" s="136" t="s">
        <v>128</v>
      </c>
      <c r="B19" s="146">
        <v>427.99989299999999</v>
      </c>
      <c r="C19" s="146">
        <v>527</v>
      </c>
      <c r="D19" s="146">
        <v>591</v>
      </c>
      <c r="E19" s="146">
        <v>603</v>
      </c>
      <c r="F19" s="146">
        <v>669</v>
      </c>
      <c r="G19" s="146">
        <v>507</v>
      </c>
      <c r="H19" s="146">
        <v>513</v>
      </c>
      <c r="I19" s="146">
        <v>533</v>
      </c>
      <c r="J19" s="146">
        <v>632</v>
      </c>
      <c r="K19" s="146">
        <v>680</v>
      </c>
      <c r="L19" s="146">
        <v>518</v>
      </c>
    </row>
    <row r="20" spans="1:12">
      <c r="A20" s="145" t="s">
        <v>129</v>
      </c>
      <c r="B20" s="147">
        <v>8910.6644390000001</v>
      </c>
      <c r="C20" s="147">
        <v>9987</v>
      </c>
      <c r="D20" s="147">
        <v>10827</v>
      </c>
      <c r="E20" s="147">
        <v>11421</v>
      </c>
      <c r="F20" s="147">
        <v>11719</v>
      </c>
      <c r="G20" s="147">
        <v>11333</v>
      </c>
      <c r="H20" s="147">
        <v>11398</v>
      </c>
      <c r="I20" s="147">
        <v>12271</v>
      </c>
      <c r="J20" s="147">
        <v>12965</v>
      </c>
      <c r="K20" s="147">
        <v>13290</v>
      </c>
      <c r="L20" s="147">
        <v>9605</v>
      </c>
    </row>
    <row r="21" spans="1:12">
      <c r="A21" s="136"/>
      <c r="B21" s="136"/>
      <c r="C21" s="136"/>
      <c r="D21" s="136"/>
      <c r="E21" s="136"/>
      <c r="F21" s="136"/>
      <c r="G21" s="136"/>
      <c r="H21" s="136"/>
      <c r="I21" s="136"/>
      <c r="J21" s="136"/>
      <c r="K21" s="136"/>
      <c r="L21" s="136"/>
    </row>
    <row r="22" spans="1:12">
      <c r="A22" s="136" t="s">
        <v>130</v>
      </c>
      <c r="B22" s="146">
        <v>7439.9981399999997</v>
      </c>
      <c r="C22" s="146">
        <v>8162</v>
      </c>
      <c r="D22" s="146">
        <v>9367</v>
      </c>
      <c r="E22" s="146">
        <v>9621</v>
      </c>
      <c r="F22" s="146">
        <v>9391</v>
      </c>
      <c r="G22" s="146">
        <v>8829</v>
      </c>
      <c r="H22" s="146">
        <v>8629</v>
      </c>
      <c r="I22" s="146">
        <v>9301</v>
      </c>
      <c r="J22" s="146">
        <v>9650</v>
      </c>
      <c r="K22" s="146">
        <v>9733</v>
      </c>
      <c r="L22" s="146">
        <v>7915</v>
      </c>
    </row>
    <row r="23" spans="1:12">
      <c r="A23" s="145" t="s">
        <v>131</v>
      </c>
      <c r="B23" s="147">
        <v>1470.666299</v>
      </c>
      <c r="C23" s="147">
        <v>1825</v>
      </c>
      <c r="D23" s="147">
        <v>1460</v>
      </c>
      <c r="E23" s="147">
        <v>1800</v>
      </c>
      <c r="F23" s="147">
        <v>2328</v>
      </c>
      <c r="G23" s="147">
        <v>2504</v>
      </c>
      <c r="H23" s="147">
        <v>2769</v>
      </c>
      <c r="I23" s="147">
        <v>2970</v>
      </c>
      <c r="J23" s="147">
        <v>3315</v>
      </c>
      <c r="K23" s="147">
        <v>3557</v>
      </c>
      <c r="L23" s="147">
        <v>1690</v>
      </c>
    </row>
    <row r="24" spans="1:12">
      <c r="A24" s="136"/>
      <c r="B24" s="136"/>
      <c r="C24" s="136"/>
      <c r="D24" s="136"/>
      <c r="E24" s="136"/>
      <c r="F24" s="136"/>
      <c r="G24" s="136"/>
      <c r="H24" s="136"/>
      <c r="I24" s="136"/>
      <c r="J24" s="136"/>
      <c r="K24" s="136"/>
      <c r="L24" s="136"/>
    </row>
    <row r="25" spans="1:12">
      <c r="A25" s="136" t="s">
        <v>132</v>
      </c>
      <c r="B25" s="146">
        <v>313.33325500000001</v>
      </c>
      <c r="C25" s="146">
        <v>436</v>
      </c>
      <c r="D25" s="146">
        <v>466</v>
      </c>
      <c r="E25" s="146">
        <v>439</v>
      </c>
      <c r="F25" s="146">
        <v>449</v>
      </c>
      <c r="G25" s="146">
        <v>415</v>
      </c>
      <c r="H25" s="146">
        <v>414</v>
      </c>
      <c r="I25" s="146">
        <v>480</v>
      </c>
      <c r="J25" s="146">
        <v>509</v>
      </c>
      <c r="K25" s="146">
        <v>516</v>
      </c>
      <c r="L25" s="146">
        <v>339</v>
      </c>
    </row>
    <row r="26" spans="1:12" ht="12">
      <c r="A26" s="136" t="s">
        <v>133</v>
      </c>
      <c r="B26" s="146" t="s">
        <v>134</v>
      </c>
      <c r="C26" s="146" t="s">
        <v>134</v>
      </c>
      <c r="D26" s="146" t="s">
        <v>134</v>
      </c>
      <c r="E26" s="146" t="s">
        <v>134</v>
      </c>
      <c r="F26" s="146" t="s">
        <v>134</v>
      </c>
      <c r="G26" s="146" t="s">
        <v>134</v>
      </c>
      <c r="H26" s="146" t="s">
        <v>134</v>
      </c>
      <c r="I26" s="146" t="s">
        <v>134</v>
      </c>
      <c r="J26" s="146" t="s">
        <v>134</v>
      </c>
      <c r="K26" s="146" t="s">
        <v>134</v>
      </c>
      <c r="L26" s="146" t="s">
        <v>134</v>
      </c>
    </row>
    <row r="27" spans="1:12">
      <c r="A27" s="136" t="s">
        <v>135</v>
      </c>
      <c r="B27" s="146">
        <v>722.66648599999996</v>
      </c>
      <c r="C27" s="146">
        <v>691</v>
      </c>
      <c r="D27" s="146">
        <v>705</v>
      </c>
      <c r="E27" s="146">
        <v>706</v>
      </c>
      <c r="F27" s="146">
        <v>831</v>
      </c>
      <c r="G27" s="146">
        <v>757</v>
      </c>
      <c r="H27" s="146">
        <v>756</v>
      </c>
      <c r="I27" s="146">
        <v>751</v>
      </c>
      <c r="J27" s="146">
        <v>786</v>
      </c>
      <c r="K27" s="146">
        <v>1106</v>
      </c>
      <c r="L27" s="146">
        <v>1147</v>
      </c>
    </row>
    <row r="28" spans="1:12" ht="12">
      <c r="A28" s="136" t="s">
        <v>136</v>
      </c>
      <c r="B28" s="146">
        <v>2.6666660000000002</v>
      </c>
      <c r="C28" s="146">
        <v>11</v>
      </c>
      <c r="D28" s="146">
        <v>-8</v>
      </c>
      <c r="E28" s="146">
        <v>-17</v>
      </c>
      <c r="F28" s="146">
        <v>37</v>
      </c>
      <c r="G28" s="146">
        <v>121</v>
      </c>
      <c r="H28" s="146">
        <v>-34</v>
      </c>
      <c r="I28" s="146">
        <v>-4</v>
      </c>
      <c r="J28" s="146" t="s">
        <v>134</v>
      </c>
      <c r="K28" s="146" t="s">
        <v>134</v>
      </c>
      <c r="L28" s="146" t="s">
        <v>134</v>
      </c>
    </row>
    <row r="29" spans="1:12">
      <c r="A29" s="136"/>
      <c r="B29" s="136"/>
      <c r="C29" s="136"/>
      <c r="D29" s="136"/>
      <c r="E29" s="136"/>
      <c r="F29" s="136"/>
      <c r="G29" s="136"/>
      <c r="H29" s="136"/>
      <c r="I29" s="136"/>
      <c r="J29" s="136"/>
      <c r="K29" s="136"/>
      <c r="L29" s="136"/>
    </row>
    <row r="30" spans="1:12">
      <c r="A30" s="145" t="s">
        <v>137</v>
      </c>
      <c r="B30" s="147">
        <v>1038.6664069999999</v>
      </c>
      <c r="C30" s="147">
        <v>1138</v>
      </c>
      <c r="D30" s="147">
        <v>1163</v>
      </c>
      <c r="E30" s="147">
        <v>1128</v>
      </c>
      <c r="F30" s="147">
        <v>1317</v>
      </c>
      <c r="G30" s="147">
        <v>1293</v>
      </c>
      <c r="H30" s="147">
        <v>1136</v>
      </c>
      <c r="I30" s="147">
        <v>1227</v>
      </c>
      <c r="J30" s="147">
        <v>1295</v>
      </c>
      <c r="K30" s="147">
        <v>1622</v>
      </c>
      <c r="L30" s="147">
        <v>1486</v>
      </c>
    </row>
    <row r="31" spans="1:12">
      <c r="A31" s="136"/>
      <c r="B31" s="136"/>
      <c r="C31" s="136"/>
      <c r="D31" s="136"/>
      <c r="E31" s="136"/>
      <c r="F31" s="136"/>
      <c r="G31" s="136"/>
      <c r="H31" s="136"/>
      <c r="I31" s="136"/>
      <c r="J31" s="136"/>
      <c r="K31" s="136"/>
      <c r="L31" s="136"/>
    </row>
    <row r="32" spans="1:12">
      <c r="A32" s="145" t="s">
        <v>138</v>
      </c>
      <c r="B32" s="148">
        <v>431.99989199999999</v>
      </c>
      <c r="C32" s="148">
        <v>687</v>
      </c>
      <c r="D32" s="148">
        <v>297</v>
      </c>
      <c r="E32" s="148">
        <v>672</v>
      </c>
      <c r="F32" s="148">
        <v>1011</v>
      </c>
      <c r="G32" s="148">
        <v>1211</v>
      </c>
      <c r="H32" s="148">
        <v>1633</v>
      </c>
      <c r="I32" s="148">
        <v>1743</v>
      </c>
      <c r="J32" s="148">
        <v>2020</v>
      </c>
      <c r="K32" s="148">
        <v>1935</v>
      </c>
      <c r="L32" s="148">
        <v>204</v>
      </c>
    </row>
    <row r="33" spans="1:12">
      <c r="A33" s="136"/>
      <c r="B33" s="136"/>
      <c r="C33" s="136"/>
      <c r="D33" s="136"/>
      <c r="E33" s="136"/>
      <c r="F33" s="136"/>
      <c r="G33" s="136"/>
      <c r="H33" s="136"/>
      <c r="I33" s="136"/>
      <c r="J33" s="136"/>
      <c r="K33" s="136"/>
      <c r="L33" s="136"/>
    </row>
    <row r="34" spans="1:12">
      <c r="A34" s="136" t="s">
        <v>139</v>
      </c>
      <c r="B34" s="146">
        <v>-150.69999999999999</v>
      </c>
      <c r="C34" s="146">
        <v>-151</v>
      </c>
      <c r="D34" s="146">
        <v>-167</v>
      </c>
      <c r="E34" s="146">
        <v>-166</v>
      </c>
      <c r="F34" s="146">
        <v>-139</v>
      </c>
      <c r="G34" s="146">
        <v>-146</v>
      </c>
      <c r="H34" s="146">
        <v>-145</v>
      </c>
      <c r="I34" s="146">
        <v>-106</v>
      </c>
      <c r="J34" s="146">
        <v>-116</v>
      </c>
      <c r="K34" s="146">
        <v>-219</v>
      </c>
      <c r="L34" s="146">
        <v>-242</v>
      </c>
    </row>
    <row r="35" spans="1:12">
      <c r="A35" s="136" t="s">
        <v>140</v>
      </c>
      <c r="B35" s="146">
        <v>23.999994000000001</v>
      </c>
      <c r="C35" s="146">
        <v>32</v>
      </c>
      <c r="D35" s="146">
        <v>25</v>
      </c>
      <c r="E35" s="146">
        <v>13</v>
      </c>
      <c r="F35" s="146">
        <v>17</v>
      </c>
      <c r="G35" s="146">
        <v>24</v>
      </c>
      <c r="H35" s="146">
        <v>22</v>
      </c>
      <c r="I35" s="146">
        <v>20</v>
      </c>
      <c r="J35" s="146">
        <v>26</v>
      </c>
      <c r="K35" s="146">
        <v>36</v>
      </c>
      <c r="L35" s="146">
        <v>30</v>
      </c>
    </row>
    <row r="36" spans="1:12">
      <c r="A36" s="145" t="s">
        <v>141</v>
      </c>
      <c r="B36" s="147">
        <v>-126.7</v>
      </c>
      <c r="C36" s="147">
        <v>-119</v>
      </c>
      <c r="D36" s="147">
        <v>-142</v>
      </c>
      <c r="E36" s="147">
        <v>-153</v>
      </c>
      <c r="F36" s="147">
        <v>-122</v>
      </c>
      <c r="G36" s="147">
        <v>-122</v>
      </c>
      <c r="H36" s="147">
        <v>-123</v>
      </c>
      <c r="I36" s="147">
        <v>-86</v>
      </c>
      <c r="J36" s="147">
        <v>-90</v>
      </c>
      <c r="K36" s="147">
        <v>-183</v>
      </c>
      <c r="L36" s="147">
        <v>-212</v>
      </c>
    </row>
    <row r="37" spans="1:12">
      <c r="A37" s="136"/>
      <c r="B37" s="136"/>
      <c r="C37" s="136"/>
      <c r="D37" s="136"/>
      <c r="E37" s="136"/>
      <c r="F37" s="136"/>
      <c r="G37" s="136"/>
      <c r="H37" s="136"/>
      <c r="I37" s="136"/>
      <c r="J37" s="136"/>
      <c r="K37" s="136"/>
      <c r="L37" s="136"/>
    </row>
    <row r="38" spans="1:12">
      <c r="A38" s="136" t="s">
        <v>142</v>
      </c>
      <c r="B38" s="146">
        <v>7.9999979999999997</v>
      </c>
      <c r="C38" s="146">
        <v>-6</v>
      </c>
      <c r="D38" s="146">
        <v>-66</v>
      </c>
      <c r="E38" s="146">
        <v>-65</v>
      </c>
      <c r="F38" s="146">
        <v>39</v>
      </c>
      <c r="G38" s="146">
        <v>149</v>
      </c>
      <c r="H38" s="146">
        <v>147</v>
      </c>
      <c r="I38" s="146">
        <v>130</v>
      </c>
      <c r="J38" s="146">
        <v>165</v>
      </c>
      <c r="K38" s="146">
        <v>170</v>
      </c>
      <c r="L38" s="146">
        <v>22</v>
      </c>
    </row>
    <row r="39" spans="1:12">
      <c r="A39" s="136" t="s">
        <v>143</v>
      </c>
      <c r="B39" s="146">
        <v>-13.3</v>
      </c>
      <c r="C39" s="146">
        <v>-10</v>
      </c>
      <c r="D39" s="146">
        <v>7</v>
      </c>
      <c r="E39" s="146">
        <v>-24</v>
      </c>
      <c r="F39" s="146">
        <v>-37</v>
      </c>
      <c r="G39" s="146">
        <v>-58</v>
      </c>
      <c r="H39" s="146">
        <v>-107</v>
      </c>
      <c r="I39" s="146">
        <v>19</v>
      </c>
      <c r="J39" s="146">
        <v>-43</v>
      </c>
      <c r="K39" s="146">
        <v>110</v>
      </c>
      <c r="L39" s="146">
        <v>56</v>
      </c>
    </row>
    <row r="40" spans="1:12">
      <c r="A40" s="136" t="s">
        <v>144</v>
      </c>
      <c r="B40" s="146">
        <v>-17.3</v>
      </c>
      <c r="C40" s="146">
        <v>158</v>
      </c>
      <c r="D40" s="146">
        <v>-17</v>
      </c>
      <c r="E40" s="146">
        <v>-174</v>
      </c>
      <c r="F40" s="146">
        <v>-3</v>
      </c>
      <c r="G40" s="146">
        <v>-2</v>
      </c>
      <c r="H40" s="146">
        <v>1</v>
      </c>
      <c r="I40" s="146">
        <v>15</v>
      </c>
      <c r="J40" s="146">
        <v>16</v>
      </c>
      <c r="K40" s="146">
        <v>4</v>
      </c>
      <c r="L40" s="146">
        <v>-10</v>
      </c>
    </row>
    <row r="41" spans="1:12">
      <c r="A41" s="145" t="s">
        <v>145</v>
      </c>
      <c r="B41" s="147">
        <v>282.66659600000003</v>
      </c>
      <c r="C41" s="147">
        <v>710</v>
      </c>
      <c r="D41" s="147">
        <v>79</v>
      </c>
      <c r="E41" s="147">
        <v>256</v>
      </c>
      <c r="F41" s="147">
        <v>888</v>
      </c>
      <c r="G41" s="147">
        <v>1178</v>
      </c>
      <c r="H41" s="147">
        <v>1551</v>
      </c>
      <c r="I41" s="147">
        <v>1821</v>
      </c>
      <c r="J41" s="147">
        <v>2068</v>
      </c>
      <c r="K41" s="147">
        <v>2036</v>
      </c>
      <c r="L41" s="147">
        <v>60</v>
      </c>
    </row>
    <row r="42" spans="1:12">
      <c r="A42" s="136"/>
      <c r="B42" s="136"/>
      <c r="C42" s="136"/>
      <c r="D42" s="136"/>
      <c r="E42" s="136"/>
      <c r="F42" s="136"/>
      <c r="G42" s="136"/>
      <c r="H42" s="136"/>
      <c r="I42" s="136"/>
      <c r="J42" s="136"/>
      <c r="K42" s="136"/>
      <c r="L42" s="136"/>
    </row>
    <row r="43" spans="1:12" ht="12">
      <c r="A43" s="136" t="s">
        <v>146</v>
      </c>
      <c r="B43" s="146">
        <v>-8</v>
      </c>
      <c r="C43" s="146">
        <v>-12</v>
      </c>
      <c r="D43" s="146">
        <v>-36</v>
      </c>
      <c r="E43" s="146">
        <v>-5</v>
      </c>
      <c r="F43" s="146">
        <v>-39</v>
      </c>
      <c r="G43" s="146">
        <v>-27</v>
      </c>
      <c r="H43" s="146">
        <v>-128</v>
      </c>
      <c r="I43" s="146">
        <v>-94</v>
      </c>
      <c r="J43" s="146" t="s">
        <v>134</v>
      </c>
      <c r="K43" s="146" t="s">
        <v>134</v>
      </c>
      <c r="L43" s="146" t="s">
        <v>134</v>
      </c>
    </row>
    <row r="44" spans="1:12" ht="12">
      <c r="A44" s="136" t="s">
        <v>147</v>
      </c>
      <c r="B44" s="146" t="s">
        <v>134</v>
      </c>
      <c r="C44" s="146">
        <v>-3</v>
      </c>
      <c r="D44" s="146">
        <v>-71</v>
      </c>
      <c r="E44" s="146" t="s">
        <v>134</v>
      </c>
      <c r="F44" s="146" t="s">
        <v>134</v>
      </c>
      <c r="G44" s="146" t="s">
        <v>134</v>
      </c>
      <c r="H44" s="146" t="s">
        <v>134</v>
      </c>
      <c r="I44" s="146" t="s">
        <v>134</v>
      </c>
      <c r="J44" s="146" t="s">
        <v>134</v>
      </c>
      <c r="K44" s="146" t="s">
        <v>134</v>
      </c>
      <c r="L44" s="146" t="s">
        <v>134</v>
      </c>
    </row>
    <row r="45" spans="1:12" ht="12">
      <c r="A45" s="136" t="s">
        <v>148</v>
      </c>
      <c r="B45" s="146" t="s">
        <v>134</v>
      </c>
      <c r="C45" s="146" t="s">
        <v>134</v>
      </c>
      <c r="D45" s="146">
        <v>58</v>
      </c>
      <c r="E45" s="146" t="s">
        <v>134</v>
      </c>
      <c r="F45" s="146" t="s">
        <v>134</v>
      </c>
      <c r="G45" s="146" t="s">
        <v>134</v>
      </c>
      <c r="H45" s="146" t="s">
        <v>134</v>
      </c>
      <c r="I45" s="146" t="s">
        <v>134</v>
      </c>
      <c r="J45" s="146" t="s">
        <v>134</v>
      </c>
      <c r="K45" s="146" t="s">
        <v>134</v>
      </c>
      <c r="L45" s="146" t="s">
        <v>134</v>
      </c>
    </row>
    <row r="46" spans="1:12">
      <c r="A46" s="136" t="s">
        <v>149</v>
      </c>
      <c r="B46" s="146">
        <v>-24</v>
      </c>
      <c r="C46" s="146">
        <v>-21</v>
      </c>
      <c r="D46" s="146">
        <v>-1</v>
      </c>
      <c r="E46" s="146">
        <v>8</v>
      </c>
      <c r="F46" s="146">
        <v>10</v>
      </c>
      <c r="G46" s="146">
        <v>4</v>
      </c>
      <c r="H46" s="146">
        <v>4</v>
      </c>
      <c r="I46" s="146">
        <v>6</v>
      </c>
      <c r="J46" s="146">
        <v>5</v>
      </c>
      <c r="K46" s="146">
        <v>3</v>
      </c>
      <c r="L46" s="146">
        <v>4</v>
      </c>
    </row>
    <row r="47" spans="1:12" ht="12">
      <c r="A47" s="136" t="s">
        <v>150</v>
      </c>
      <c r="B47" s="146">
        <v>-4</v>
      </c>
      <c r="C47" s="146">
        <v>-3</v>
      </c>
      <c r="D47" s="146">
        <v>-3</v>
      </c>
      <c r="E47" s="146" t="s">
        <v>134</v>
      </c>
      <c r="F47" s="146" t="s">
        <v>134</v>
      </c>
      <c r="G47" s="146">
        <v>1502</v>
      </c>
      <c r="H47" s="146">
        <v>123</v>
      </c>
      <c r="I47" s="146">
        <v>-6</v>
      </c>
      <c r="J47" s="146">
        <v>-11</v>
      </c>
      <c r="K47" s="146">
        <v>3</v>
      </c>
      <c r="L47" s="146">
        <v>4</v>
      </c>
    </row>
    <row r="48" spans="1:12" ht="12">
      <c r="A48" s="136" t="s">
        <v>151</v>
      </c>
      <c r="B48" s="146">
        <v>-37.299999999999997</v>
      </c>
      <c r="C48" s="146">
        <v>8</v>
      </c>
      <c r="D48" s="146">
        <v>-15</v>
      </c>
      <c r="E48" s="146">
        <v>-16</v>
      </c>
      <c r="F48" s="146" t="s">
        <v>134</v>
      </c>
      <c r="G48" s="146">
        <v>-4</v>
      </c>
      <c r="H48" s="146" t="s">
        <v>134</v>
      </c>
      <c r="I48" s="146" t="s">
        <v>134</v>
      </c>
      <c r="J48" s="146" t="s">
        <v>134</v>
      </c>
      <c r="K48" s="146" t="s">
        <v>134</v>
      </c>
      <c r="L48" s="146">
        <v>-434</v>
      </c>
    </row>
    <row r="49" spans="1:12" ht="12">
      <c r="A49" s="136" t="s">
        <v>152</v>
      </c>
      <c r="B49" s="146" t="s">
        <v>134</v>
      </c>
      <c r="C49" s="146" t="s">
        <v>134</v>
      </c>
      <c r="D49" s="146" t="s">
        <v>134</v>
      </c>
      <c r="E49" s="146" t="s">
        <v>134</v>
      </c>
      <c r="F49" s="146" t="s">
        <v>134</v>
      </c>
      <c r="G49" s="146">
        <v>-25</v>
      </c>
      <c r="H49" s="146" t="s">
        <v>134</v>
      </c>
      <c r="I49" s="146" t="s">
        <v>134</v>
      </c>
      <c r="J49" s="146" t="s">
        <v>134</v>
      </c>
      <c r="K49" s="146">
        <v>-583</v>
      </c>
      <c r="L49" s="146">
        <v>-603</v>
      </c>
    </row>
    <row r="50" spans="1:12" ht="12">
      <c r="A50" s="136" t="s">
        <v>153</v>
      </c>
      <c r="B50" s="146" t="s">
        <v>134</v>
      </c>
      <c r="C50" s="146" t="s">
        <v>134</v>
      </c>
      <c r="D50" s="146">
        <v>30</v>
      </c>
      <c r="E50" s="146">
        <v>57</v>
      </c>
      <c r="F50" s="146" t="s">
        <v>134</v>
      </c>
      <c r="G50" s="146" t="s">
        <v>134</v>
      </c>
      <c r="H50" s="146">
        <v>40</v>
      </c>
      <c r="I50" s="146" t="s">
        <v>134</v>
      </c>
      <c r="J50" s="146">
        <v>394</v>
      </c>
      <c r="K50" s="146" t="s">
        <v>134</v>
      </c>
      <c r="L50" s="146">
        <v>-688</v>
      </c>
    </row>
    <row r="51" spans="1:12">
      <c r="A51" s="145" t="s">
        <v>154</v>
      </c>
      <c r="B51" s="147">
        <v>209.333281</v>
      </c>
      <c r="C51" s="147">
        <v>679</v>
      </c>
      <c r="D51" s="147">
        <v>41</v>
      </c>
      <c r="E51" s="147">
        <v>300</v>
      </c>
      <c r="F51" s="147">
        <v>859</v>
      </c>
      <c r="G51" s="147">
        <v>2628</v>
      </c>
      <c r="H51" s="147">
        <v>1590</v>
      </c>
      <c r="I51" s="147">
        <v>1727</v>
      </c>
      <c r="J51" s="147">
        <v>2456</v>
      </c>
      <c r="K51" s="147">
        <v>1459</v>
      </c>
      <c r="L51" s="147">
        <v>-1657</v>
      </c>
    </row>
    <row r="52" spans="1:12">
      <c r="A52" s="136"/>
      <c r="B52" s="136"/>
      <c r="C52" s="136"/>
      <c r="D52" s="136"/>
      <c r="E52" s="136"/>
      <c r="F52" s="136"/>
      <c r="G52" s="136"/>
      <c r="H52" s="136"/>
      <c r="I52" s="136"/>
      <c r="J52" s="136"/>
      <c r="K52" s="136"/>
      <c r="L52" s="136"/>
    </row>
    <row r="53" spans="1:12">
      <c r="A53" s="136" t="s">
        <v>155</v>
      </c>
      <c r="B53" s="146">
        <v>-17.3</v>
      </c>
      <c r="C53" s="146">
        <v>7</v>
      </c>
      <c r="D53" s="146">
        <v>-73</v>
      </c>
      <c r="E53" s="146">
        <v>16</v>
      </c>
      <c r="F53" s="146">
        <v>157</v>
      </c>
      <c r="G53" s="146">
        <v>120</v>
      </c>
      <c r="H53" s="146">
        <v>221</v>
      </c>
      <c r="I53" s="146">
        <v>300</v>
      </c>
      <c r="J53" s="146">
        <v>365</v>
      </c>
      <c r="K53" s="146">
        <v>350</v>
      </c>
      <c r="L53" s="146">
        <v>-151</v>
      </c>
    </row>
    <row r="54" spans="1:12">
      <c r="A54" s="145" t="s">
        <v>156</v>
      </c>
      <c r="B54" s="147">
        <v>226.66660999999999</v>
      </c>
      <c r="C54" s="147">
        <v>672</v>
      </c>
      <c r="D54" s="147">
        <v>114</v>
      </c>
      <c r="E54" s="147">
        <v>284</v>
      </c>
      <c r="F54" s="147">
        <v>702</v>
      </c>
      <c r="G54" s="147">
        <v>2508</v>
      </c>
      <c r="H54" s="147">
        <v>1369</v>
      </c>
      <c r="I54" s="147">
        <v>1427</v>
      </c>
      <c r="J54" s="147">
        <v>2091</v>
      </c>
      <c r="K54" s="147">
        <v>1109</v>
      </c>
      <c r="L54" s="147">
        <v>-1506</v>
      </c>
    </row>
    <row r="55" spans="1:12">
      <c r="A55" s="136"/>
      <c r="B55" s="136"/>
      <c r="C55" s="136"/>
      <c r="D55" s="136"/>
      <c r="E55" s="136"/>
      <c r="F55" s="136"/>
      <c r="G55" s="136"/>
      <c r="H55" s="136"/>
      <c r="I55" s="136"/>
      <c r="J55" s="136"/>
      <c r="K55" s="136"/>
      <c r="L55" s="136"/>
    </row>
    <row r="56" spans="1:12" ht="12">
      <c r="A56" s="136" t="s">
        <v>157</v>
      </c>
      <c r="B56" s="146" t="s">
        <v>134</v>
      </c>
      <c r="C56" s="146" t="s">
        <v>134</v>
      </c>
      <c r="D56" s="146">
        <v>-30</v>
      </c>
      <c r="E56" s="146">
        <v>-3</v>
      </c>
      <c r="F56" s="146" t="s">
        <v>134</v>
      </c>
      <c r="G56" s="146" t="s">
        <v>134</v>
      </c>
      <c r="H56" s="146">
        <v>-24</v>
      </c>
      <c r="I56" s="146">
        <v>-44</v>
      </c>
      <c r="J56" s="146" t="s">
        <v>134</v>
      </c>
      <c r="K56" s="146" t="s">
        <v>134</v>
      </c>
      <c r="L56" s="146" t="s">
        <v>134</v>
      </c>
    </row>
    <row r="57" spans="1:12" ht="12">
      <c r="A57" s="136" t="s">
        <v>158</v>
      </c>
      <c r="B57" s="146" t="s">
        <v>134</v>
      </c>
      <c r="C57" s="146" t="s">
        <v>134</v>
      </c>
      <c r="D57" s="146" t="s">
        <v>134</v>
      </c>
      <c r="E57" s="146" t="s">
        <v>134</v>
      </c>
      <c r="F57" s="146" t="s">
        <v>134</v>
      </c>
      <c r="G57" s="146" t="s">
        <v>134</v>
      </c>
      <c r="H57" s="146" t="s">
        <v>134</v>
      </c>
      <c r="I57" s="146" t="s">
        <v>134</v>
      </c>
      <c r="J57" s="146" t="s">
        <v>134</v>
      </c>
      <c r="K57" s="146" t="s">
        <v>134</v>
      </c>
      <c r="L57" s="146" t="s">
        <v>134</v>
      </c>
    </row>
    <row r="58" spans="1:12">
      <c r="A58" s="145" t="s">
        <v>159</v>
      </c>
      <c r="B58" s="147">
        <v>226.66660999999999</v>
      </c>
      <c r="C58" s="147">
        <v>672</v>
      </c>
      <c r="D58" s="147">
        <v>84</v>
      </c>
      <c r="E58" s="147">
        <v>281</v>
      </c>
      <c r="F58" s="147">
        <v>702</v>
      </c>
      <c r="G58" s="147">
        <v>2508</v>
      </c>
      <c r="H58" s="147">
        <v>1345</v>
      </c>
      <c r="I58" s="147">
        <v>1383</v>
      </c>
      <c r="J58" s="147">
        <v>2091</v>
      </c>
      <c r="K58" s="147">
        <v>1109</v>
      </c>
      <c r="L58" s="147">
        <v>-1506</v>
      </c>
    </row>
    <row r="59" spans="1:12">
      <c r="A59" s="136"/>
      <c r="B59" s="136"/>
      <c r="C59" s="136"/>
      <c r="D59" s="136"/>
      <c r="E59" s="136"/>
      <c r="F59" s="136"/>
      <c r="G59" s="136"/>
      <c r="H59" s="136"/>
      <c r="I59" s="136"/>
      <c r="J59" s="136"/>
      <c r="K59" s="136"/>
      <c r="L59" s="136"/>
    </row>
    <row r="60" spans="1:12" ht="12">
      <c r="A60" s="136" t="s">
        <v>160</v>
      </c>
      <c r="B60" s="146">
        <v>-17.3</v>
      </c>
      <c r="C60" s="146">
        <v>-18</v>
      </c>
      <c r="D60" s="146">
        <v>-16</v>
      </c>
      <c r="E60" s="146">
        <v>-17</v>
      </c>
      <c r="F60" s="146">
        <v>-16</v>
      </c>
      <c r="G60" s="146">
        <v>-15</v>
      </c>
      <c r="H60" s="146">
        <v>-16</v>
      </c>
      <c r="I60" s="146">
        <v>-18</v>
      </c>
      <c r="J60" s="146">
        <v>-11</v>
      </c>
      <c r="K60" s="146" t="s">
        <v>134</v>
      </c>
      <c r="L60" s="146" t="s">
        <v>134</v>
      </c>
    </row>
    <row r="61" spans="1:12">
      <c r="A61" s="145" t="s">
        <v>161</v>
      </c>
      <c r="B61" s="149">
        <v>209.333281</v>
      </c>
      <c r="C61" s="149">
        <v>654</v>
      </c>
      <c r="D61" s="149">
        <v>68</v>
      </c>
      <c r="E61" s="149">
        <v>264</v>
      </c>
      <c r="F61" s="149">
        <v>686</v>
      </c>
      <c r="G61" s="149">
        <v>2493</v>
      </c>
      <c r="H61" s="149">
        <v>1329</v>
      </c>
      <c r="I61" s="149">
        <v>1365</v>
      </c>
      <c r="J61" s="149">
        <v>2080</v>
      </c>
      <c r="K61" s="149">
        <v>1109</v>
      </c>
      <c r="L61" s="149">
        <v>-1506</v>
      </c>
    </row>
    <row r="62" spans="1:12">
      <c r="A62" s="136"/>
      <c r="B62" s="136"/>
      <c r="C62" s="136"/>
      <c r="D62" s="136"/>
      <c r="E62" s="136"/>
      <c r="F62" s="136"/>
      <c r="G62" s="136"/>
      <c r="H62" s="136"/>
      <c r="I62" s="136"/>
      <c r="J62" s="136"/>
      <c r="K62" s="136"/>
      <c r="L62" s="136"/>
    </row>
    <row r="63" spans="1:12" ht="12">
      <c r="A63" s="136" t="s">
        <v>162</v>
      </c>
      <c r="B63" s="146" t="s">
        <v>134</v>
      </c>
      <c r="C63" s="146" t="s">
        <v>134</v>
      </c>
      <c r="D63" s="146" t="s">
        <v>134</v>
      </c>
      <c r="E63" s="146" t="s">
        <v>134</v>
      </c>
      <c r="F63" s="146" t="s">
        <v>134</v>
      </c>
      <c r="G63" s="146" t="s">
        <v>134</v>
      </c>
      <c r="H63" s="146" t="s">
        <v>134</v>
      </c>
      <c r="I63" s="146" t="s">
        <v>134</v>
      </c>
      <c r="J63" s="146" t="s">
        <v>134</v>
      </c>
      <c r="K63" s="146" t="s">
        <v>134</v>
      </c>
      <c r="L63" s="146" t="s">
        <v>134</v>
      </c>
    </row>
    <row r="64" spans="1:12">
      <c r="A64" s="136"/>
      <c r="B64" s="136"/>
      <c r="C64" s="136"/>
      <c r="D64" s="136"/>
      <c r="E64" s="136"/>
      <c r="F64" s="136"/>
      <c r="G64" s="136"/>
      <c r="H64" s="136"/>
      <c r="I64" s="136"/>
      <c r="J64" s="136"/>
      <c r="K64" s="136"/>
      <c r="L64" s="136"/>
    </row>
    <row r="65" spans="1:12">
      <c r="A65" s="145" t="s">
        <v>163</v>
      </c>
      <c r="B65" s="148">
        <v>209.333281</v>
      </c>
      <c r="C65" s="148">
        <v>654</v>
      </c>
      <c r="D65" s="148">
        <v>68</v>
      </c>
      <c r="E65" s="148">
        <v>264</v>
      </c>
      <c r="F65" s="148">
        <v>686</v>
      </c>
      <c r="G65" s="148">
        <v>2493</v>
      </c>
      <c r="H65" s="148">
        <v>1329</v>
      </c>
      <c r="I65" s="148">
        <v>1365</v>
      </c>
      <c r="J65" s="148">
        <v>2080</v>
      </c>
      <c r="K65" s="148">
        <v>1109</v>
      </c>
      <c r="L65" s="148">
        <v>-1506</v>
      </c>
    </row>
    <row r="66" spans="1:12">
      <c r="A66" s="145" t="s">
        <v>164</v>
      </c>
      <c r="B66" s="148">
        <v>209.333281</v>
      </c>
      <c r="C66" s="148">
        <v>654</v>
      </c>
      <c r="D66" s="148">
        <v>98</v>
      </c>
      <c r="E66" s="148">
        <v>267</v>
      </c>
      <c r="F66" s="148">
        <v>686</v>
      </c>
      <c r="G66" s="148">
        <v>2493</v>
      </c>
      <c r="H66" s="148">
        <v>1353</v>
      </c>
      <c r="I66" s="148">
        <v>1409</v>
      </c>
      <c r="J66" s="148">
        <v>2080</v>
      </c>
      <c r="K66" s="148">
        <v>1109</v>
      </c>
      <c r="L66" s="148">
        <v>-1506</v>
      </c>
    </row>
    <row r="67" spans="1:12">
      <c r="A67" s="136"/>
      <c r="B67" s="136"/>
      <c r="C67" s="136"/>
      <c r="D67" s="136"/>
      <c r="E67" s="136"/>
      <c r="F67" s="136"/>
      <c r="G67" s="136"/>
      <c r="H67" s="136"/>
      <c r="I67" s="136"/>
      <c r="J67" s="136"/>
      <c r="K67" s="136"/>
      <c r="L67" s="136"/>
    </row>
    <row r="68" spans="1:12">
      <c r="A68" s="145" t="s">
        <v>165</v>
      </c>
      <c r="B68" s="136"/>
      <c r="C68" s="136"/>
      <c r="D68" s="136"/>
      <c r="E68" s="136"/>
      <c r="F68" s="136"/>
      <c r="G68" s="136"/>
      <c r="H68" s="136"/>
      <c r="I68" s="136"/>
      <c r="J68" s="136"/>
      <c r="K68" s="136"/>
      <c r="L68" s="136"/>
    </row>
    <row r="69" spans="1:12" ht="12">
      <c r="A69" s="136" t="s">
        <v>166</v>
      </c>
      <c r="B69" s="150" t="s">
        <v>167</v>
      </c>
      <c r="C69" s="150">
        <v>327.65530999999999</v>
      </c>
      <c r="D69" s="150">
        <v>34.068136000000003</v>
      </c>
      <c r="E69" s="150">
        <v>123.134328</v>
      </c>
      <c r="F69" s="150">
        <v>319.96268600000002</v>
      </c>
      <c r="G69" s="150">
        <v>1162.7798499999999</v>
      </c>
      <c r="H69" s="150">
        <v>619.86940200000004</v>
      </c>
      <c r="I69" s="150">
        <v>636.66044699999998</v>
      </c>
      <c r="J69" s="150">
        <v>970.14925300000004</v>
      </c>
      <c r="K69" s="150">
        <v>517.25746200000003</v>
      </c>
      <c r="L69" s="150">
        <v>-702.43</v>
      </c>
    </row>
    <row r="70" spans="1:12" ht="12">
      <c r="A70" s="136" t="s">
        <v>168</v>
      </c>
      <c r="B70" s="150" t="s">
        <v>167</v>
      </c>
      <c r="C70" s="150">
        <v>327.65530999999999</v>
      </c>
      <c r="D70" s="150">
        <v>49.098196000000002</v>
      </c>
      <c r="E70" s="150">
        <v>124.533582</v>
      </c>
      <c r="F70" s="150">
        <v>319.96268600000002</v>
      </c>
      <c r="G70" s="150">
        <v>1162.7798499999999</v>
      </c>
      <c r="H70" s="150">
        <v>631.06343200000003</v>
      </c>
      <c r="I70" s="150">
        <v>657.18283499999995</v>
      </c>
      <c r="J70" s="150">
        <v>970.14925300000004</v>
      </c>
      <c r="K70" s="150">
        <v>517.25746200000003</v>
      </c>
      <c r="L70" s="150">
        <v>-702.43</v>
      </c>
    </row>
    <row r="71" spans="1:12" ht="12">
      <c r="A71" s="136" t="s">
        <v>169</v>
      </c>
      <c r="B71" s="146" t="s">
        <v>167</v>
      </c>
      <c r="C71" s="146">
        <v>1.996</v>
      </c>
      <c r="D71" s="146">
        <v>1.996</v>
      </c>
      <c r="E71" s="146">
        <v>2.1440000000000001</v>
      </c>
      <c r="F71" s="146">
        <v>2.1440000000000001</v>
      </c>
      <c r="G71" s="146">
        <v>2.1440000000000001</v>
      </c>
      <c r="H71" s="146">
        <v>2.1440000000000001</v>
      </c>
      <c r="I71" s="146">
        <v>2.1440000000000001</v>
      </c>
      <c r="J71" s="146">
        <v>2.1440000000000001</v>
      </c>
      <c r="K71" s="146">
        <v>2.1440000000000001</v>
      </c>
      <c r="L71" s="146">
        <v>2.1440000000000001</v>
      </c>
    </row>
    <row r="72" spans="1:12">
      <c r="A72" s="136"/>
      <c r="B72" s="136"/>
      <c r="C72" s="136"/>
      <c r="D72" s="136"/>
      <c r="E72" s="136"/>
      <c r="F72" s="136"/>
      <c r="G72" s="136"/>
      <c r="H72" s="136"/>
      <c r="I72" s="136"/>
      <c r="J72" s="136"/>
      <c r="K72" s="136"/>
      <c r="L72" s="136"/>
    </row>
    <row r="73" spans="1:12" ht="12">
      <c r="A73" s="136" t="s">
        <v>170</v>
      </c>
      <c r="B73" s="150" t="s">
        <v>167</v>
      </c>
      <c r="C73" s="150">
        <v>327.65530999999999</v>
      </c>
      <c r="D73" s="150">
        <v>34.068136000000003</v>
      </c>
      <c r="E73" s="150">
        <v>123.134328</v>
      </c>
      <c r="F73" s="150">
        <v>319.96268600000002</v>
      </c>
      <c r="G73" s="150">
        <v>1162.7798499999999</v>
      </c>
      <c r="H73" s="150">
        <v>619.86940200000004</v>
      </c>
      <c r="I73" s="150">
        <v>636.66044699999998</v>
      </c>
      <c r="J73" s="150">
        <v>970.14925300000004</v>
      </c>
      <c r="K73" s="150">
        <v>517.25746200000003</v>
      </c>
      <c r="L73" s="150">
        <v>-702.43</v>
      </c>
    </row>
    <row r="74" spans="1:12" ht="12">
      <c r="A74" s="136" t="s">
        <v>171</v>
      </c>
      <c r="B74" s="150" t="s">
        <v>167</v>
      </c>
      <c r="C74" s="150">
        <v>327.65530999999999</v>
      </c>
      <c r="D74" s="150">
        <v>49.098196000000002</v>
      </c>
      <c r="E74" s="150">
        <v>124.533582</v>
      </c>
      <c r="F74" s="150">
        <v>319.96268600000002</v>
      </c>
      <c r="G74" s="150">
        <v>1162.7798499999999</v>
      </c>
      <c r="H74" s="150">
        <v>631.06343200000003</v>
      </c>
      <c r="I74" s="150">
        <v>657.18283499999995</v>
      </c>
      <c r="J74" s="150">
        <v>970.14925300000004</v>
      </c>
      <c r="K74" s="150">
        <v>517.25746200000003</v>
      </c>
      <c r="L74" s="150">
        <v>-702.43</v>
      </c>
    </row>
    <row r="75" spans="1:12" ht="12">
      <c r="A75" s="136" t="s">
        <v>172</v>
      </c>
      <c r="B75" s="146" t="s">
        <v>167</v>
      </c>
      <c r="C75" s="146">
        <v>1.996</v>
      </c>
      <c r="D75" s="146">
        <v>1.996</v>
      </c>
      <c r="E75" s="146">
        <v>2.1440000000000001</v>
      </c>
      <c r="F75" s="146">
        <v>2.1440000000000001</v>
      </c>
      <c r="G75" s="146">
        <v>2.1440000000000001</v>
      </c>
      <c r="H75" s="146">
        <v>2.1440000000000001</v>
      </c>
      <c r="I75" s="146">
        <v>2.1440000000000001</v>
      </c>
      <c r="J75" s="146">
        <v>2.1440000000000001</v>
      </c>
      <c r="K75" s="146">
        <v>2.1440000000000001</v>
      </c>
      <c r="L75" s="146">
        <v>2.1440000000000001</v>
      </c>
    </row>
    <row r="76" spans="1:12">
      <c r="A76" s="136"/>
      <c r="B76" s="136"/>
      <c r="C76" s="136"/>
      <c r="D76" s="136"/>
      <c r="E76" s="136"/>
      <c r="F76" s="136"/>
      <c r="G76" s="136"/>
      <c r="H76" s="136"/>
      <c r="I76" s="136"/>
      <c r="J76" s="136"/>
      <c r="K76" s="136"/>
      <c r="L76" s="136"/>
    </row>
    <row r="77" spans="1:12" ht="12">
      <c r="A77" s="136" t="s">
        <v>173</v>
      </c>
      <c r="B77" s="150" t="s">
        <v>167</v>
      </c>
      <c r="C77" s="150">
        <v>213.301603</v>
      </c>
      <c r="D77" s="150">
        <v>16.720941</v>
      </c>
      <c r="E77" s="150">
        <v>66.697761</v>
      </c>
      <c r="F77" s="150">
        <v>251.39925299999999</v>
      </c>
      <c r="G77" s="150">
        <v>336.40391699999998</v>
      </c>
      <c r="H77" s="150">
        <v>444.67117500000001</v>
      </c>
      <c r="I77" s="150">
        <v>522.44636100000002</v>
      </c>
      <c r="J77" s="150">
        <v>597.71455200000003</v>
      </c>
      <c r="K77" s="150">
        <v>593.51679100000001</v>
      </c>
      <c r="L77" s="150">
        <v>17.490670999999999</v>
      </c>
    </row>
    <row r="78" spans="1:12" ht="12">
      <c r="A78" s="136" t="s">
        <v>174</v>
      </c>
      <c r="B78" s="150" t="s">
        <v>167</v>
      </c>
      <c r="C78" s="150">
        <v>213.301603</v>
      </c>
      <c r="D78" s="150">
        <v>16.720941</v>
      </c>
      <c r="E78" s="150">
        <v>66.697761</v>
      </c>
      <c r="F78" s="150">
        <v>251.39925299999999</v>
      </c>
      <c r="G78" s="150">
        <v>336.40391699999998</v>
      </c>
      <c r="H78" s="150">
        <v>444.67117500000001</v>
      </c>
      <c r="I78" s="150">
        <v>522.44636100000002</v>
      </c>
      <c r="J78" s="150">
        <v>597.71455200000003</v>
      </c>
      <c r="K78" s="150">
        <v>593.51679100000001</v>
      </c>
      <c r="L78" s="150">
        <v>17.490670999999999</v>
      </c>
    </row>
    <row r="79" spans="1:12">
      <c r="A79" s="136"/>
      <c r="B79" s="136"/>
      <c r="C79" s="136"/>
      <c r="D79" s="136"/>
      <c r="E79" s="136"/>
      <c r="F79" s="136"/>
      <c r="G79" s="136"/>
      <c r="H79" s="136"/>
      <c r="I79" s="136"/>
      <c r="J79" s="136"/>
      <c r="K79" s="136"/>
      <c r="L79" s="136"/>
    </row>
    <row r="80" spans="1:12" ht="12">
      <c r="A80" s="136" t="s">
        <v>175</v>
      </c>
      <c r="B80" s="150" t="s">
        <v>167</v>
      </c>
      <c r="C80" s="150" t="s">
        <v>167</v>
      </c>
      <c r="D80" s="150" t="s">
        <v>167</v>
      </c>
      <c r="E80" s="150" t="s">
        <v>167</v>
      </c>
      <c r="F80" s="150" t="s">
        <v>167</v>
      </c>
      <c r="G80" s="150">
        <v>1</v>
      </c>
      <c r="H80" s="150" t="s">
        <v>167</v>
      </c>
      <c r="I80" s="150" t="s">
        <v>167</v>
      </c>
      <c r="J80" s="150" t="s">
        <v>167</v>
      </c>
      <c r="K80" s="150" t="s">
        <v>167</v>
      </c>
      <c r="L80" s="150" t="s">
        <v>167</v>
      </c>
    </row>
    <row r="81" spans="1:12" ht="12">
      <c r="A81" s="136" t="s">
        <v>176</v>
      </c>
      <c r="B81" s="151" t="s">
        <v>167</v>
      </c>
      <c r="C81" s="151" t="s">
        <v>167</v>
      </c>
      <c r="D81" s="151" t="s">
        <v>167</v>
      </c>
      <c r="E81" s="151" t="s">
        <v>167</v>
      </c>
      <c r="F81" s="151" t="s">
        <v>167</v>
      </c>
      <c r="G81" s="152">
        <v>0.10389</v>
      </c>
      <c r="H81" s="152">
        <v>0.26410800000000001</v>
      </c>
      <c r="I81" s="152">
        <v>0.33699600000000002</v>
      </c>
      <c r="J81" s="152">
        <v>0.27644200000000002</v>
      </c>
      <c r="K81" s="152">
        <v>0.52750200000000003</v>
      </c>
      <c r="L81" s="152" t="s">
        <v>177</v>
      </c>
    </row>
    <row r="82" spans="1:12">
      <c r="A82" s="136"/>
      <c r="B82" s="136"/>
      <c r="C82" s="136"/>
      <c r="D82" s="136"/>
      <c r="E82" s="136"/>
      <c r="F82" s="136"/>
      <c r="G82" s="136"/>
      <c r="H82" s="136"/>
      <c r="I82" s="136"/>
      <c r="J82" s="136"/>
      <c r="K82" s="136"/>
      <c r="L82" s="136"/>
    </row>
    <row r="83" spans="1:12">
      <c r="A83" s="136" t="s">
        <v>178</v>
      </c>
      <c r="B83" s="153">
        <v>5</v>
      </c>
      <c r="C83" s="153">
        <v>5</v>
      </c>
      <c r="D83" s="153">
        <v>5</v>
      </c>
      <c r="E83" s="153">
        <v>5</v>
      </c>
      <c r="F83" s="153">
        <v>5</v>
      </c>
      <c r="G83" s="153">
        <v>5</v>
      </c>
      <c r="H83" s="153">
        <v>5</v>
      </c>
      <c r="I83" s="153">
        <v>5</v>
      </c>
      <c r="J83" s="153">
        <v>5</v>
      </c>
      <c r="K83" s="153">
        <v>5</v>
      </c>
      <c r="L83" s="153">
        <v>5</v>
      </c>
    </row>
    <row r="84" spans="1:12">
      <c r="A84" s="136"/>
      <c r="B84" s="136"/>
      <c r="C84" s="136"/>
      <c r="D84" s="136"/>
      <c r="E84" s="136"/>
      <c r="F84" s="136"/>
      <c r="G84" s="136"/>
      <c r="H84" s="136"/>
      <c r="I84" s="136"/>
      <c r="J84" s="136"/>
      <c r="K84" s="136"/>
      <c r="L84" s="136"/>
    </row>
    <row r="85" spans="1:12">
      <c r="A85" s="145" t="s">
        <v>179</v>
      </c>
      <c r="B85" s="136"/>
      <c r="C85" s="136"/>
      <c r="D85" s="136"/>
      <c r="E85" s="136"/>
      <c r="F85" s="136"/>
      <c r="G85" s="136"/>
      <c r="H85" s="136"/>
      <c r="I85" s="136"/>
      <c r="J85" s="136"/>
      <c r="K85" s="136"/>
      <c r="L85" s="136"/>
    </row>
    <row r="86" spans="1:12">
      <c r="A86" s="136" t="s">
        <v>16</v>
      </c>
      <c r="B86" s="146">
        <v>1145.3330470000001</v>
      </c>
      <c r="C86" s="146">
        <v>1368</v>
      </c>
      <c r="D86" s="146">
        <v>994</v>
      </c>
      <c r="E86" s="146">
        <v>1370</v>
      </c>
      <c r="F86" s="146">
        <v>1830</v>
      </c>
      <c r="G86" s="146">
        <v>1946</v>
      </c>
      <c r="H86" s="146">
        <v>2350</v>
      </c>
      <c r="I86" s="146">
        <v>2440</v>
      </c>
      <c r="J86" s="146">
        <v>2748</v>
      </c>
      <c r="K86" s="146">
        <v>2498</v>
      </c>
      <c r="L86" s="146">
        <v>1120</v>
      </c>
    </row>
    <row r="87" spans="1:12">
      <c r="A87" s="136" t="s">
        <v>180</v>
      </c>
      <c r="B87" s="146">
        <v>431.99989199999999</v>
      </c>
      <c r="C87" s="146">
        <v>687</v>
      </c>
      <c r="D87" s="146">
        <v>298</v>
      </c>
      <c r="E87" s="146">
        <v>672</v>
      </c>
      <c r="F87" s="146">
        <v>1011</v>
      </c>
      <c r="G87" s="146">
        <v>1211</v>
      </c>
      <c r="H87" s="146">
        <v>1633</v>
      </c>
      <c r="I87" s="146">
        <v>1744</v>
      </c>
      <c r="J87" s="146">
        <v>2020</v>
      </c>
      <c r="K87" s="146">
        <v>1935</v>
      </c>
      <c r="L87" s="146">
        <v>209</v>
      </c>
    </row>
    <row r="88" spans="1:12">
      <c r="A88" s="136" t="s">
        <v>18</v>
      </c>
      <c r="B88" s="146">
        <v>431.99989199999999</v>
      </c>
      <c r="C88" s="146">
        <v>687</v>
      </c>
      <c r="D88" s="146">
        <v>297</v>
      </c>
      <c r="E88" s="146">
        <v>672</v>
      </c>
      <c r="F88" s="146">
        <v>1011</v>
      </c>
      <c r="G88" s="146">
        <v>1211</v>
      </c>
      <c r="H88" s="146">
        <v>1633</v>
      </c>
      <c r="I88" s="146">
        <v>1743</v>
      </c>
      <c r="J88" s="146">
        <v>2020</v>
      </c>
      <c r="K88" s="146">
        <v>1935</v>
      </c>
      <c r="L88" s="146">
        <v>204</v>
      </c>
    </row>
    <row r="89" spans="1:12" ht="12">
      <c r="A89" s="136" t="s">
        <v>181</v>
      </c>
      <c r="B89" s="146" t="s">
        <v>167</v>
      </c>
      <c r="C89" s="146">
        <v>1523</v>
      </c>
      <c r="D89" s="146">
        <v>1181</v>
      </c>
      <c r="E89" s="146">
        <v>1536</v>
      </c>
      <c r="F89" s="146">
        <v>1992</v>
      </c>
      <c r="G89" s="146">
        <v>2135</v>
      </c>
      <c r="H89" s="146">
        <v>2615</v>
      </c>
      <c r="I89" s="146">
        <v>2791</v>
      </c>
      <c r="J89" s="146">
        <v>3107</v>
      </c>
      <c r="K89" s="146">
        <v>2538</v>
      </c>
      <c r="L89" s="146" t="s">
        <v>167</v>
      </c>
    </row>
    <row r="90" spans="1:12">
      <c r="A90" s="136" t="s">
        <v>182</v>
      </c>
      <c r="B90" s="146">
        <v>8910.6644390000001</v>
      </c>
      <c r="C90" s="146">
        <v>9987</v>
      </c>
      <c r="D90" s="146">
        <v>10827</v>
      </c>
      <c r="E90" s="146">
        <v>11421</v>
      </c>
      <c r="F90" s="146">
        <v>11719</v>
      </c>
      <c r="G90" s="146">
        <v>11333</v>
      </c>
      <c r="H90" s="146">
        <v>11398</v>
      </c>
      <c r="I90" s="146">
        <v>12271</v>
      </c>
      <c r="J90" s="146">
        <v>12965</v>
      </c>
      <c r="K90" s="146">
        <v>13290</v>
      </c>
      <c r="L90" s="146">
        <v>9605</v>
      </c>
    </row>
    <row r="91" spans="1:12" ht="12">
      <c r="A91" s="136" t="s">
        <v>183</v>
      </c>
      <c r="B91" s="152" t="s">
        <v>177</v>
      </c>
      <c r="C91" s="152">
        <v>1.0309E-2</v>
      </c>
      <c r="D91" s="152" t="s">
        <v>177</v>
      </c>
      <c r="E91" s="152">
        <v>5.3332999999999998E-2</v>
      </c>
      <c r="F91" s="152">
        <v>0.18276999999999999</v>
      </c>
      <c r="G91" s="152">
        <v>4.5662000000000001E-2</v>
      </c>
      <c r="H91" s="152">
        <v>0.13899300000000001</v>
      </c>
      <c r="I91" s="152">
        <v>0.173711</v>
      </c>
      <c r="J91" s="152">
        <v>0.148615</v>
      </c>
      <c r="K91" s="152">
        <v>0.23988999999999999</v>
      </c>
      <c r="L91" s="152" t="s">
        <v>177</v>
      </c>
    </row>
    <row r="92" spans="1:12" ht="12">
      <c r="A92" s="136" t="s">
        <v>184</v>
      </c>
      <c r="B92" s="146">
        <v>7.9999979999999997</v>
      </c>
      <c r="C92" s="146">
        <v>17</v>
      </c>
      <c r="D92" s="146">
        <v>-1</v>
      </c>
      <c r="E92" s="146">
        <v>55</v>
      </c>
      <c r="F92" s="146">
        <v>124</v>
      </c>
      <c r="G92" s="146" t="s">
        <v>167</v>
      </c>
      <c r="H92" s="146" t="s">
        <v>167</v>
      </c>
      <c r="I92" s="146" t="s">
        <v>167</v>
      </c>
      <c r="J92" s="146" t="s">
        <v>167</v>
      </c>
      <c r="K92" s="146" t="s">
        <v>167</v>
      </c>
      <c r="L92" s="146" t="s">
        <v>167</v>
      </c>
    </row>
    <row r="93" spans="1:12" ht="12">
      <c r="A93" s="136" t="s">
        <v>185</v>
      </c>
      <c r="B93" s="146" t="s">
        <v>167</v>
      </c>
      <c r="C93" s="146">
        <v>-9</v>
      </c>
      <c r="D93" s="146">
        <v>1</v>
      </c>
      <c r="E93" s="146">
        <v>1</v>
      </c>
      <c r="F93" s="146">
        <v>1</v>
      </c>
      <c r="G93" s="146" t="s">
        <v>167</v>
      </c>
      <c r="H93" s="146" t="s">
        <v>167</v>
      </c>
      <c r="I93" s="146" t="s">
        <v>167</v>
      </c>
      <c r="J93" s="146" t="s">
        <v>167</v>
      </c>
      <c r="K93" s="146" t="s">
        <v>167</v>
      </c>
      <c r="L93" s="146" t="s">
        <v>167</v>
      </c>
    </row>
    <row r="94" spans="1:12">
      <c r="A94" s="136" t="s">
        <v>186</v>
      </c>
      <c r="B94" s="146">
        <v>7.9999979999999997</v>
      </c>
      <c r="C94" s="146">
        <v>8</v>
      </c>
      <c r="D94" s="146">
        <v>0</v>
      </c>
      <c r="E94" s="146">
        <v>56</v>
      </c>
      <c r="F94" s="146">
        <v>125</v>
      </c>
      <c r="G94" s="146">
        <v>196</v>
      </c>
      <c r="H94" s="146">
        <v>217</v>
      </c>
      <c r="I94" s="146">
        <v>256</v>
      </c>
      <c r="J94" s="146">
        <v>284</v>
      </c>
      <c r="K94" s="146">
        <v>329</v>
      </c>
      <c r="L94" s="146">
        <v>329</v>
      </c>
    </row>
    <row r="95" spans="1:12">
      <c r="A95" s="136" t="s">
        <v>187</v>
      </c>
      <c r="B95" s="146">
        <v>-25.3</v>
      </c>
      <c r="C95" s="146">
        <v>-1</v>
      </c>
      <c r="D95" s="146">
        <v>-73</v>
      </c>
      <c r="E95" s="146">
        <v>-40</v>
      </c>
      <c r="F95" s="146">
        <v>32</v>
      </c>
      <c r="G95" s="146">
        <v>-76</v>
      </c>
      <c r="H95" s="146">
        <v>4</v>
      </c>
      <c r="I95" s="146">
        <v>44</v>
      </c>
      <c r="J95" s="146">
        <v>81</v>
      </c>
      <c r="K95" s="146">
        <v>21</v>
      </c>
      <c r="L95" s="146">
        <v>21</v>
      </c>
    </row>
    <row r="96" spans="1:12">
      <c r="A96" s="136"/>
      <c r="B96" s="136"/>
      <c r="C96" s="136"/>
      <c r="D96" s="136"/>
      <c r="E96" s="136"/>
      <c r="F96" s="136"/>
      <c r="G96" s="136"/>
      <c r="H96" s="136"/>
      <c r="I96" s="136"/>
      <c r="J96" s="136"/>
      <c r="K96" s="136"/>
      <c r="L96" s="136"/>
    </row>
    <row r="97" spans="1:12">
      <c r="A97" s="136" t="s">
        <v>188</v>
      </c>
      <c r="B97" s="146">
        <v>159.333294</v>
      </c>
      <c r="C97" s="146">
        <v>425.75</v>
      </c>
      <c r="D97" s="146">
        <v>33.375</v>
      </c>
      <c r="E97" s="146">
        <v>143</v>
      </c>
      <c r="F97" s="146">
        <v>539</v>
      </c>
      <c r="G97" s="146">
        <v>721.25</v>
      </c>
      <c r="H97" s="146">
        <v>953.375</v>
      </c>
      <c r="I97" s="146">
        <v>1120.125</v>
      </c>
      <c r="J97" s="146">
        <v>1281.5</v>
      </c>
      <c r="K97" s="146">
        <v>1272.5</v>
      </c>
      <c r="L97" s="146">
        <v>37.5</v>
      </c>
    </row>
    <row r="98" spans="1:12" ht="12">
      <c r="A98" s="136" t="s">
        <v>189</v>
      </c>
      <c r="B98" s="146" t="s">
        <v>167</v>
      </c>
      <c r="C98" s="146">
        <v>1</v>
      </c>
      <c r="D98" s="146">
        <v>3</v>
      </c>
      <c r="E98" s="146">
        <v>4</v>
      </c>
      <c r="F98" s="146">
        <v>2</v>
      </c>
      <c r="G98" s="146">
        <v>1</v>
      </c>
      <c r="H98" s="146">
        <v>2</v>
      </c>
      <c r="I98" s="146">
        <v>6</v>
      </c>
      <c r="J98" s="146">
        <v>12</v>
      </c>
      <c r="K98" s="146">
        <v>15</v>
      </c>
      <c r="L98" s="146" t="s">
        <v>167</v>
      </c>
    </row>
    <row r="99" spans="1:12" ht="12">
      <c r="A99" s="136" t="s">
        <v>190</v>
      </c>
      <c r="B99" s="146" t="s">
        <v>167</v>
      </c>
      <c r="C99" s="146">
        <v>152</v>
      </c>
      <c r="D99" s="146">
        <v>170</v>
      </c>
      <c r="E99" s="146">
        <v>170</v>
      </c>
      <c r="F99" s="146">
        <v>141</v>
      </c>
      <c r="G99" s="146">
        <v>147</v>
      </c>
      <c r="H99" s="146">
        <v>147</v>
      </c>
      <c r="I99" s="146">
        <v>101</v>
      </c>
      <c r="J99" s="146">
        <v>127</v>
      </c>
      <c r="K99" s="146">
        <v>233</v>
      </c>
      <c r="L99" s="146" t="s">
        <v>167</v>
      </c>
    </row>
    <row r="100" spans="1:12" ht="12">
      <c r="A100" s="136" t="s">
        <v>191</v>
      </c>
      <c r="B100" s="146" t="s">
        <v>134</v>
      </c>
      <c r="C100" s="146">
        <v>-160</v>
      </c>
      <c r="D100" s="146">
        <v>35</v>
      </c>
      <c r="E100" s="146">
        <v>-98</v>
      </c>
      <c r="F100" s="146">
        <v>3</v>
      </c>
      <c r="G100" s="146">
        <v>8</v>
      </c>
      <c r="H100" s="146">
        <v>-10</v>
      </c>
      <c r="I100" s="146">
        <v>24</v>
      </c>
      <c r="J100" s="146">
        <v>-24</v>
      </c>
      <c r="K100" s="146">
        <v>-29</v>
      </c>
      <c r="L100" s="146" t="s">
        <v>134</v>
      </c>
    </row>
    <row r="101" spans="1:12">
      <c r="A101" s="136" t="s">
        <v>192</v>
      </c>
      <c r="B101" s="154">
        <v>40997</v>
      </c>
      <c r="C101" s="154">
        <v>41348</v>
      </c>
      <c r="D101" s="154">
        <v>41718</v>
      </c>
      <c r="E101" s="154">
        <v>42082</v>
      </c>
      <c r="F101" s="154">
        <v>42446</v>
      </c>
      <c r="G101" s="154">
        <v>42810</v>
      </c>
      <c r="H101" s="154">
        <v>43159</v>
      </c>
      <c r="I101" s="154">
        <v>43564</v>
      </c>
      <c r="J101" s="154">
        <v>43888</v>
      </c>
      <c r="K101" s="154">
        <v>43888</v>
      </c>
      <c r="L101" s="154">
        <v>44049</v>
      </c>
    </row>
    <row r="102" spans="1:12" ht="12">
      <c r="A102" s="136" t="s">
        <v>193</v>
      </c>
      <c r="B102" s="151" t="s">
        <v>194</v>
      </c>
      <c r="C102" s="151" t="s">
        <v>195</v>
      </c>
      <c r="D102" s="151" t="s">
        <v>196</v>
      </c>
      <c r="E102" s="151" t="s">
        <v>194</v>
      </c>
      <c r="F102" s="151" t="s">
        <v>194</v>
      </c>
      <c r="G102" s="151" t="s">
        <v>195</v>
      </c>
      <c r="H102" s="151" t="s">
        <v>197</v>
      </c>
      <c r="I102" s="151" t="s">
        <v>196</v>
      </c>
      <c r="J102" s="151" t="s">
        <v>195</v>
      </c>
      <c r="K102" s="151" t="s">
        <v>198</v>
      </c>
      <c r="L102" s="151" t="s">
        <v>198</v>
      </c>
    </row>
    <row r="103" spans="1:12" ht="12">
      <c r="A103" s="136" t="s">
        <v>199</v>
      </c>
      <c r="B103" s="151" t="s">
        <v>200</v>
      </c>
      <c r="C103" s="151" t="s">
        <v>201</v>
      </c>
      <c r="D103" s="151" t="s">
        <v>201</v>
      </c>
      <c r="E103" s="151" t="s">
        <v>201</v>
      </c>
      <c r="F103" s="151" t="s">
        <v>201</v>
      </c>
      <c r="G103" s="151" t="s">
        <v>201</v>
      </c>
      <c r="H103" s="151" t="s">
        <v>201</v>
      </c>
      <c r="I103" s="151" t="s">
        <v>201</v>
      </c>
      <c r="J103" s="151" t="s">
        <v>201</v>
      </c>
      <c r="K103" s="151" t="s">
        <v>201</v>
      </c>
      <c r="L103" s="151" t="s">
        <v>202</v>
      </c>
    </row>
    <row r="104" spans="1:12">
      <c r="A104" s="136"/>
      <c r="B104" s="136"/>
      <c r="C104" s="136"/>
      <c r="D104" s="136"/>
      <c r="E104" s="136"/>
      <c r="F104" s="136"/>
      <c r="G104" s="136"/>
      <c r="H104" s="136"/>
      <c r="I104" s="136"/>
      <c r="J104" s="136"/>
      <c r="K104" s="136"/>
      <c r="L104" s="136"/>
    </row>
    <row r="105" spans="1:12">
      <c r="A105" s="145" t="s">
        <v>203</v>
      </c>
      <c r="B105" s="136"/>
      <c r="C105" s="136"/>
      <c r="D105" s="136"/>
      <c r="E105" s="136"/>
      <c r="F105" s="136"/>
      <c r="G105" s="136"/>
      <c r="H105" s="136"/>
      <c r="I105" s="136"/>
      <c r="J105" s="136"/>
      <c r="K105" s="136"/>
      <c r="L105" s="136"/>
    </row>
    <row r="106" spans="1:12">
      <c r="A106" s="136" t="s">
        <v>204</v>
      </c>
      <c r="B106" s="146">
        <v>313.33325500000001</v>
      </c>
      <c r="C106" s="146">
        <v>436</v>
      </c>
      <c r="D106" s="146">
        <v>466</v>
      </c>
      <c r="E106" s="146">
        <v>439</v>
      </c>
      <c r="F106" s="146">
        <v>449</v>
      </c>
      <c r="G106" s="146">
        <v>415</v>
      </c>
      <c r="H106" s="146">
        <v>414</v>
      </c>
      <c r="I106" s="146">
        <v>480</v>
      </c>
      <c r="J106" s="146">
        <v>509</v>
      </c>
      <c r="K106" s="146">
        <v>516</v>
      </c>
      <c r="L106" s="146">
        <v>339</v>
      </c>
    </row>
    <row r="107" spans="1:12" ht="12">
      <c r="A107" s="136" t="s">
        <v>205</v>
      </c>
      <c r="B107" s="146" t="s">
        <v>167</v>
      </c>
      <c r="C107" s="146">
        <v>155</v>
      </c>
      <c r="D107" s="146">
        <v>187</v>
      </c>
      <c r="E107" s="146">
        <v>166</v>
      </c>
      <c r="F107" s="146">
        <v>162</v>
      </c>
      <c r="G107" s="146">
        <v>189</v>
      </c>
      <c r="H107" s="146">
        <v>265</v>
      </c>
      <c r="I107" s="146">
        <v>351</v>
      </c>
      <c r="J107" s="146">
        <v>359</v>
      </c>
      <c r="K107" s="146">
        <v>40</v>
      </c>
      <c r="L107" s="146" t="s">
        <v>167</v>
      </c>
    </row>
    <row r="108" spans="1:12" ht="12">
      <c r="A108" s="136" t="s">
        <v>206</v>
      </c>
      <c r="B108" s="146" t="s">
        <v>134</v>
      </c>
      <c r="C108" s="146">
        <v>48.98124</v>
      </c>
      <c r="D108" s="146">
        <v>68.410584</v>
      </c>
      <c r="E108" s="146">
        <v>60.121215999999997</v>
      </c>
      <c r="F108" s="146">
        <v>43.679088</v>
      </c>
      <c r="G108" s="146">
        <v>49.068936000000001</v>
      </c>
      <c r="H108" s="146">
        <v>64.520079999999993</v>
      </c>
      <c r="I108" s="146">
        <v>66.642263999999997</v>
      </c>
      <c r="J108" s="146">
        <v>84.373615999999998</v>
      </c>
      <c r="K108" s="146">
        <v>13.949120000000001</v>
      </c>
      <c r="L108" s="146" t="s">
        <v>134</v>
      </c>
    </row>
    <row r="109" spans="1:12" ht="12">
      <c r="A109" s="136" t="s">
        <v>207</v>
      </c>
      <c r="B109" s="146" t="s">
        <v>134</v>
      </c>
      <c r="C109" s="146">
        <v>106.01876</v>
      </c>
      <c r="D109" s="146">
        <v>118.589416</v>
      </c>
      <c r="E109" s="146">
        <v>105.878784</v>
      </c>
      <c r="F109" s="146">
        <v>118.32091200000001</v>
      </c>
      <c r="G109" s="146">
        <v>139.93106399999999</v>
      </c>
      <c r="H109" s="146">
        <v>200.47991999999999</v>
      </c>
      <c r="I109" s="146">
        <v>284.35773599999999</v>
      </c>
      <c r="J109" s="146">
        <v>274.62638399999997</v>
      </c>
      <c r="K109" s="146">
        <v>26.050879999999999</v>
      </c>
      <c r="L109" s="146" t="s">
        <v>134</v>
      </c>
    </row>
    <row r="110" spans="1:12">
      <c r="A110" s="136"/>
      <c r="B110" s="136"/>
      <c r="C110" s="136"/>
      <c r="D110" s="136"/>
      <c r="E110" s="136"/>
      <c r="F110" s="136"/>
      <c r="G110" s="136"/>
      <c r="H110" s="136"/>
      <c r="I110" s="136"/>
      <c r="J110" s="136"/>
      <c r="K110" s="136"/>
      <c r="L110" s="136"/>
    </row>
    <row r="111" spans="1:12">
      <c r="A111" s="136" t="s">
        <v>208</v>
      </c>
      <c r="B111" s="146">
        <v>7.9999979999999997</v>
      </c>
      <c r="C111" s="146">
        <v>13</v>
      </c>
      <c r="D111" s="146">
        <v>15</v>
      </c>
      <c r="E111" s="146">
        <v>14</v>
      </c>
      <c r="F111" s="146">
        <v>11</v>
      </c>
      <c r="G111" s="146">
        <v>10</v>
      </c>
      <c r="H111" s="146">
        <v>10</v>
      </c>
      <c r="I111" s="146">
        <v>7</v>
      </c>
      <c r="J111" s="146">
        <v>6</v>
      </c>
      <c r="K111" s="146">
        <v>7</v>
      </c>
      <c r="L111" s="146">
        <v>7</v>
      </c>
    </row>
    <row r="112" spans="1:12">
      <c r="A112" s="145" t="s">
        <v>209</v>
      </c>
      <c r="B112" s="148">
        <v>7.9999979999999997</v>
      </c>
      <c r="C112" s="148">
        <v>13</v>
      </c>
      <c r="D112" s="148">
        <v>15</v>
      </c>
      <c r="E112" s="148">
        <v>14</v>
      </c>
      <c r="F112" s="148">
        <v>11</v>
      </c>
      <c r="G112" s="148">
        <v>10</v>
      </c>
      <c r="H112" s="148">
        <v>10</v>
      </c>
      <c r="I112" s="148">
        <v>7</v>
      </c>
      <c r="J112" s="148">
        <v>6</v>
      </c>
      <c r="K112" s="148">
        <v>7</v>
      </c>
      <c r="L112" s="148">
        <v>7</v>
      </c>
    </row>
    <row r="113" spans="1:12">
      <c r="A113" s="136"/>
      <c r="B113" s="136"/>
      <c r="C113" s="136"/>
      <c r="D113" s="136"/>
      <c r="E113" s="136"/>
      <c r="F113" s="136"/>
      <c r="G113" s="136"/>
      <c r="H113" s="136"/>
      <c r="I113" s="136"/>
      <c r="J113" s="136"/>
      <c r="K113" s="136"/>
      <c r="L113" s="136"/>
    </row>
    <row r="114" spans="1:12">
      <c r="A114" s="155" t="s">
        <v>210</v>
      </c>
      <c r="B114" s="156"/>
      <c r="C114" s="156"/>
      <c r="D114" s="156"/>
      <c r="E114" s="156"/>
      <c r="F114" s="156"/>
      <c r="G114" s="156"/>
      <c r="H114" s="156"/>
      <c r="I114" s="156"/>
      <c r="J114" s="156"/>
      <c r="K114" s="156"/>
      <c r="L114" s="156"/>
    </row>
    <row r="115" spans="1:12">
      <c r="A115" s="133" t="s">
        <v>211</v>
      </c>
    </row>
    <row r="116" spans="1:12">
      <c r="A116" s="157" t="s">
        <v>212</v>
      </c>
    </row>
  </sheetData>
  <pageMargins left="0.2" right="0.2" top="0.5" bottom="0.5" header="0.5" footer="0.5"/>
  <pageSetup fitToWidth="0" fitToHeight="0" orientation="landscape" horizontalDpi="0" verticalDpi="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54D98-AEBD-BD41-88CD-F2E38AB45961}">
  <sheetPr>
    <outlinePr summaryBelow="0" summaryRight="0"/>
    <pageSetUpPr autoPageBreaks="0"/>
  </sheetPr>
  <dimension ref="A5:IU98"/>
  <sheetViews>
    <sheetView topLeftCell="B1" zoomScale="130" zoomScaleNormal="130" workbookViewId="0">
      <selection activeCell="L54" sqref="L54"/>
    </sheetView>
  </sheetViews>
  <sheetFormatPr baseColWidth="10" defaultRowHeight="11"/>
  <cols>
    <col min="1" max="1" width="45.83203125" style="172" customWidth="1"/>
    <col min="2" max="12" width="14.83203125" style="172" customWidth="1"/>
    <col min="13" max="256" width="8.83203125" style="172" customWidth="1"/>
    <col min="257" max="257" width="45.83203125" style="172" customWidth="1"/>
    <col min="258" max="268" width="14.83203125" style="172" customWidth="1"/>
    <col min="269" max="512" width="8.83203125" style="172" customWidth="1"/>
    <col min="513" max="513" width="45.83203125" style="172" customWidth="1"/>
    <col min="514" max="524" width="14.83203125" style="172" customWidth="1"/>
    <col min="525" max="768" width="8.83203125" style="172" customWidth="1"/>
    <col min="769" max="769" width="45.83203125" style="172" customWidth="1"/>
    <col min="770" max="780" width="14.83203125" style="172" customWidth="1"/>
    <col min="781" max="1024" width="8.83203125" style="172" customWidth="1"/>
    <col min="1025" max="1025" width="45.83203125" style="172" customWidth="1"/>
    <col min="1026" max="1036" width="14.83203125" style="172" customWidth="1"/>
    <col min="1037" max="1280" width="8.83203125" style="172" customWidth="1"/>
    <col min="1281" max="1281" width="45.83203125" style="172" customWidth="1"/>
    <col min="1282" max="1292" width="14.83203125" style="172" customWidth="1"/>
    <col min="1293" max="1536" width="8.83203125" style="172" customWidth="1"/>
    <col min="1537" max="1537" width="45.83203125" style="172" customWidth="1"/>
    <col min="1538" max="1548" width="14.83203125" style="172" customWidth="1"/>
    <col min="1549" max="1792" width="8.83203125" style="172" customWidth="1"/>
    <col min="1793" max="1793" width="45.83203125" style="172" customWidth="1"/>
    <col min="1794" max="1804" width="14.83203125" style="172" customWidth="1"/>
    <col min="1805" max="2048" width="8.83203125" style="172" customWidth="1"/>
    <col min="2049" max="2049" width="45.83203125" style="172" customWidth="1"/>
    <col min="2050" max="2060" width="14.83203125" style="172" customWidth="1"/>
    <col min="2061" max="2304" width="8.83203125" style="172" customWidth="1"/>
    <col min="2305" max="2305" width="45.83203125" style="172" customWidth="1"/>
    <col min="2306" max="2316" width="14.83203125" style="172" customWidth="1"/>
    <col min="2317" max="2560" width="8.83203125" style="172" customWidth="1"/>
    <col min="2561" max="2561" width="45.83203125" style="172" customWidth="1"/>
    <col min="2562" max="2572" width="14.83203125" style="172" customWidth="1"/>
    <col min="2573" max="2816" width="8.83203125" style="172" customWidth="1"/>
    <col min="2817" max="2817" width="45.83203125" style="172" customWidth="1"/>
    <col min="2818" max="2828" width="14.83203125" style="172" customWidth="1"/>
    <col min="2829" max="3072" width="8.83203125" style="172" customWidth="1"/>
    <col min="3073" max="3073" width="45.83203125" style="172" customWidth="1"/>
    <col min="3074" max="3084" width="14.83203125" style="172" customWidth="1"/>
    <col min="3085" max="3328" width="8.83203125" style="172" customWidth="1"/>
    <col min="3329" max="3329" width="45.83203125" style="172" customWidth="1"/>
    <col min="3330" max="3340" width="14.83203125" style="172" customWidth="1"/>
    <col min="3341" max="3584" width="8.83203125" style="172" customWidth="1"/>
    <col min="3585" max="3585" width="45.83203125" style="172" customWidth="1"/>
    <col min="3586" max="3596" width="14.83203125" style="172" customWidth="1"/>
    <col min="3597" max="3840" width="8.83203125" style="172" customWidth="1"/>
    <col min="3841" max="3841" width="45.83203125" style="172" customWidth="1"/>
    <col min="3842" max="3852" width="14.83203125" style="172" customWidth="1"/>
    <col min="3853" max="4096" width="8.83203125" style="172" customWidth="1"/>
    <col min="4097" max="4097" width="45.83203125" style="172" customWidth="1"/>
    <col min="4098" max="4108" width="14.83203125" style="172" customWidth="1"/>
    <col min="4109" max="4352" width="8.83203125" style="172" customWidth="1"/>
    <col min="4353" max="4353" width="45.83203125" style="172" customWidth="1"/>
    <col min="4354" max="4364" width="14.83203125" style="172" customWidth="1"/>
    <col min="4365" max="4608" width="8.83203125" style="172" customWidth="1"/>
    <col min="4609" max="4609" width="45.83203125" style="172" customWidth="1"/>
    <col min="4610" max="4620" width="14.83203125" style="172" customWidth="1"/>
    <col min="4621" max="4864" width="8.83203125" style="172" customWidth="1"/>
    <col min="4865" max="4865" width="45.83203125" style="172" customWidth="1"/>
    <col min="4866" max="4876" width="14.83203125" style="172" customWidth="1"/>
    <col min="4877" max="5120" width="8.83203125" style="172" customWidth="1"/>
    <col min="5121" max="5121" width="45.83203125" style="172" customWidth="1"/>
    <col min="5122" max="5132" width="14.83203125" style="172" customWidth="1"/>
    <col min="5133" max="5376" width="8.83203125" style="172" customWidth="1"/>
    <col min="5377" max="5377" width="45.83203125" style="172" customWidth="1"/>
    <col min="5378" max="5388" width="14.83203125" style="172" customWidth="1"/>
    <col min="5389" max="5632" width="8.83203125" style="172" customWidth="1"/>
    <col min="5633" max="5633" width="45.83203125" style="172" customWidth="1"/>
    <col min="5634" max="5644" width="14.83203125" style="172" customWidth="1"/>
    <col min="5645" max="5888" width="8.83203125" style="172" customWidth="1"/>
    <col min="5889" max="5889" width="45.83203125" style="172" customWidth="1"/>
    <col min="5890" max="5900" width="14.83203125" style="172" customWidth="1"/>
    <col min="5901" max="6144" width="8.83203125" style="172" customWidth="1"/>
    <col min="6145" max="6145" width="45.83203125" style="172" customWidth="1"/>
    <col min="6146" max="6156" width="14.83203125" style="172" customWidth="1"/>
    <col min="6157" max="6400" width="8.83203125" style="172" customWidth="1"/>
    <col min="6401" max="6401" width="45.83203125" style="172" customWidth="1"/>
    <col min="6402" max="6412" width="14.83203125" style="172" customWidth="1"/>
    <col min="6413" max="6656" width="8.83203125" style="172" customWidth="1"/>
    <col min="6657" max="6657" width="45.83203125" style="172" customWidth="1"/>
    <col min="6658" max="6668" width="14.83203125" style="172" customWidth="1"/>
    <col min="6669" max="6912" width="8.83203125" style="172" customWidth="1"/>
    <col min="6913" max="6913" width="45.83203125" style="172" customWidth="1"/>
    <col min="6914" max="6924" width="14.83203125" style="172" customWidth="1"/>
    <col min="6925" max="7168" width="8.83203125" style="172" customWidth="1"/>
    <col min="7169" max="7169" width="45.83203125" style="172" customWidth="1"/>
    <col min="7170" max="7180" width="14.83203125" style="172" customWidth="1"/>
    <col min="7181" max="7424" width="8.83203125" style="172" customWidth="1"/>
    <col min="7425" max="7425" width="45.83203125" style="172" customWidth="1"/>
    <col min="7426" max="7436" width="14.83203125" style="172" customWidth="1"/>
    <col min="7437" max="7680" width="8.83203125" style="172" customWidth="1"/>
    <col min="7681" max="7681" width="45.83203125" style="172" customWidth="1"/>
    <col min="7682" max="7692" width="14.83203125" style="172" customWidth="1"/>
    <col min="7693" max="7936" width="8.83203125" style="172" customWidth="1"/>
    <col min="7937" max="7937" width="45.83203125" style="172" customWidth="1"/>
    <col min="7938" max="7948" width="14.83203125" style="172" customWidth="1"/>
    <col min="7949" max="8192" width="8.83203125" style="172" customWidth="1"/>
    <col min="8193" max="8193" width="45.83203125" style="172" customWidth="1"/>
    <col min="8194" max="8204" width="14.83203125" style="172" customWidth="1"/>
    <col min="8205" max="8448" width="8.83203125" style="172" customWidth="1"/>
    <col min="8449" max="8449" width="45.83203125" style="172" customWidth="1"/>
    <col min="8450" max="8460" width="14.83203125" style="172" customWidth="1"/>
    <col min="8461" max="8704" width="8.83203125" style="172" customWidth="1"/>
    <col min="8705" max="8705" width="45.83203125" style="172" customWidth="1"/>
    <col min="8706" max="8716" width="14.83203125" style="172" customWidth="1"/>
    <col min="8717" max="8960" width="8.83203125" style="172" customWidth="1"/>
    <col min="8961" max="8961" width="45.83203125" style="172" customWidth="1"/>
    <col min="8962" max="8972" width="14.83203125" style="172" customWidth="1"/>
    <col min="8973" max="9216" width="8.83203125" style="172" customWidth="1"/>
    <col min="9217" max="9217" width="45.83203125" style="172" customWidth="1"/>
    <col min="9218" max="9228" width="14.83203125" style="172" customWidth="1"/>
    <col min="9229" max="9472" width="8.83203125" style="172" customWidth="1"/>
    <col min="9473" max="9473" width="45.83203125" style="172" customWidth="1"/>
    <col min="9474" max="9484" width="14.83203125" style="172" customWidth="1"/>
    <col min="9485" max="9728" width="8.83203125" style="172" customWidth="1"/>
    <col min="9729" max="9729" width="45.83203125" style="172" customWidth="1"/>
    <col min="9730" max="9740" width="14.83203125" style="172" customWidth="1"/>
    <col min="9741" max="9984" width="8.83203125" style="172" customWidth="1"/>
    <col min="9985" max="9985" width="45.83203125" style="172" customWidth="1"/>
    <col min="9986" max="9996" width="14.83203125" style="172" customWidth="1"/>
    <col min="9997" max="10240" width="8.83203125" style="172" customWidth="1"/>
    <col min="10241" max="10241" width="45.83203125" style="172" customWidth="1"/>
    <col min="10242" max="10252" width="14.83203125" style="172" customWidth="1"/>
    <col min="10253" max="10496" width="8.83203125" style="172" customWidth="1"/>
    <col min="10497" max="10497" width="45.83203125" style="172" customWidth="1"/>
    <col min="10498" max="10508" width="14.83203125" style="172" customWidth="1"/>
    <col min="10509" max="10752" width="8.83203125" style="172" customWidth="1"/>
    <col min="10753" max="10753" width="45.83203125" style="172" customWidth="1"/>
    <col min="10754" max="10764" width="14.83203125" style="172" customWidth="1"/>
    <col min="10765" max="11008" width="8.83203125" style="172" customWidth="1"/>
    <col min="11009" max="11009" width="45.83203125" style="172" customWidth="1"/>
    <col min="11010" max="11020" width="14.83203125" style="172" customWidth="1"/>
    <col min="11021" max="11264" width="8.83203125" style="172" customWidth="1"/>
    <col min="11265" max="11265" width="45.83203125" style="172" customWidth="1"/>
    <col min="11266" max="11276" width="14.83203125" style="172" customWidth="1"/>
    <col min="11277" max="11520" width="8.83203125" style="172" customWidth="1"/>
    <col min="11521" max="11521" width="45.83203125" style="172" customWidth="1"/>
    <col min="11522" max="11532" width="14.83203125" style="172" customWidth="1"/>
    <col min="11533" max="11776" width="8.83203125" style="172" customWidth="1"/>
    <col min="11777" max="11777" width="45.83203125" style="172" customWidth="1"/>
    <col min="11778" max="11788" width="14.83203125" style="172" customWidth="1"/>
    <col min="11789" max="12032" width="8.83203125" style="172" customWidth="1"/>
    <col min="12033" max="12033" width="45.83203125" style="172" customWidth="1"/>
    <col min="12034" max="12044" width="14.83203125" style="172" customWidth="1"/>
    <col min="12045" max="12288" width="8.83203125" style="172" customWidth="1"/>
    <col min="12289" max="12289" width="45.83203125" style="172" customWidth="1"/>
    <col min="12290" max="12300" width="14.83203125" style="172" customWidth="1"/>
    <col min="12301" max="12544" width="8.83203125" style="172" customWidth="1"/>
    <col min="12545" max="12545" width="45.83203125" style="172" customWidth="1"/>
    <col min="12546" max="12556" width="14.83203125" style="172" customWidth="1"/>
    <col min="12557" max="12800" width="8.83203125" style="172" customWidth="1"/>
    <col min="12801" max="12801" width="45.83203125" style="172" customWidth="1"/>
    <col min="12802" max="12812" width="14.83203125" style="172" customWidth="1"/>
    <col min="12813" max="13056" width="8.83203125" style="172" customWidth="1"/>
    <col min="13057" max="13057" width="45.83203125" style="172" customWidth="1"/>
    <col min="13058" max="13068" width="14.83203125" style="172" customWidth="1"/>
    <col min="13069" max="13312" width="8.83203125" style="172" customWidth="1"/>
    <col min="13313" max="13313" width="45.83203125" style="172" customWidth="1"/>
    <col min="13314" max="13324" width="14.83203125" style="172" customWidth="1"/>
    <col min="13325" max="13568" width="8.83203125" style="172" customWidth="1"/>
    <col min="13569" max="13569" width="45.83203125" style="172" customWidth="1"/>
    <col min="13570" max="13580" width="14.83203125" style="172" customWidth="1"/>
    <col min="13581" max="13824" width="8.83203125" style="172" customWidth="1"/>
    <col min="13825" max="13825" width="45.83203125" style="172" customWidth="1"/>
    <col min="13826" max="13836" width="14.83203125" style="172" customWidth="1"/>
    <col min="13837" max="14080" width="8.83203125" style="172" customWidth="1"/>
    <col min="14081" max="14081" width="45.83203125" style="172" customWidth="1"/>
    <col min="14082" max="14092" width="14.83203125" style="172" customWidth="1"/>
    <col min="14093" max="14336" width="8.83203125" style="172" customWidth="1"/>
    <col min="14337" max="14337" width="45.83203125" style="172" customWidth="1"/>
    <col min="14338" max="14348" width="14.83203125" style="172" customWidth="1"/>
    <col min="14349" max="14592" width="8.83203125" style="172" customWidth="1"/>
    <col min="14593" max="14593" width="45.83203125" style="172" customWidth="1"/>
    <col min="14594" max="14604" width="14.83203125" style="172" customWidth="1"/>
    <col min="14605" max="14848" width="8.83203125" style="172" customWidth="1"/>
    <col min="14849" max="14849" width="45.83203125" style="172" customWidth="1"/>
    <col min="14850" max="14860" width="14.83203125" style="172" customWidth="1"/>
    <col min="14861" max="15104" width="8.83203125" style="172" customWidth="1"/>
    <col min="15105" max="15105" width="45.83203125" style="172" customWidth="1"/>
    <col min="15106" max="15116" width="14.83203125" style="172" customWidth="1"/>
    <col min="15117" max="15360" width="8.83203125" style="172" customWidth="1"/>
    <col min="15361" max="15361" width="45.83203125" style="172" customWidth="1"/>
    <col min="15362" max="15372" width="14.83203125" style="172" customWidth="1"/>
    <col min="15373" max="15616" width="8.83203125" style="172" customWidth="1"/>
    <col min="15617" max="15617" width="45.83203125" style="172" customWidth="1"/>
    <col min="15618" max="15628" width="14.83203125" style="172" customWidth="1"/>
    <col min="15629" max="15872" width="8.83203125" style="172" customWidth="1"/>
    <col min="15873" max="15873" width="45.83203125" style="172" customWidth="1"/>
    <col min="15874" max="15884" width="14.83203125" style="172" customWidth="1"/>
    <col min="15885" max="16128" width="8.83203125" style="172" customWidth="1"/>
    <col min="16129" max="16129" width="45.83203125" style="172" customWidth="1"/>
    <col min="16130" max="16140" width="14.83203125" style="172" customWidth="1"/>
    <col min="16141" max="16384" width="8.83203125" style="172" customWidth="1"/>
  </cols>
  <sheetData>
    <row r="5" spans="1:255" ht="17">
      <c r="A5" s="171" t="s">
        <v>241</v>
      </c>
    </row>
    <row r="7" spans="1:255" ht="12">
      <c r="A7" s="173" t="s">
        <v>92</v>
      </c>
      <c r="B7" s="174" t="s">
        <v>93</v>
      </c>
      <c r="C7" s="172" t="s">
        <v>94</v>
      </c>
      <c r="D7" s="175" t="s">
        <v>95</v>
      </c>
      <c r="E7" s="174" t="s">
        <v>96</v>
      </c>
      <c r="F7" s="172" t="s">
        <v>97</v>
      </c>
    </row>
    <row r="8" spans="1:255">
      <c r="A8" s="175"/>
      <c r="B8" s="174" t="s">
        <v>98</v>
      </c>
      <c r="C8" s="172" t="s">
        <v>99</v>
      </c>
      <c r="D8" s="175" t="s">
        <v>95</v>
      </c>
      <c r="E8" s="174" t="s">
        <v>100</v>
      </c>
      <c r="F8" s="172" t="s">
        <v>101</v>
      </c>
    </row>
    <row r="9" spans="1:255">
      <c r="A9" s="175"/>
      <c r="B9" s="174" t="s">
        <v>102</v>
      </c>
      <c r="C9" s="172" t="s">
        <v>103</v>
      </c>
      <c r="D9" s="175" t="s">
        <v>95</v>
      </c>
      <c r="E9" s="174" t="s">
        <v>104</v>
      </c>
      <c r="F9" s="172" t="s">
        <v>105</v>
      </c>
    </row>
    <row r="10" spans="1:255">
      <c r="A10" s="175"/>
      <c r="B10" s="174" t="s">
        <v>106</v>
      </c>
      <c r="C10" s="172" t="s">
        <v>107</v>
      </c>
      <c r="D10" s="175" t="s">
        <v>95</v>
      </c>
      <c r="E10" s="174" t="s">
        <v>108</v>
      </c>
      <c r="F10" s="176" t="s">
        <v>109</v>
      </c>
    </row>
    <row r="11" spans="1:255">
      <c r="A11" s="175"/>
      <c r="B11" s="174" t="s">
        <v>110</v>
      </c>
      <c r="C11" s="172" t="s">
        <v>111</v>
      </c>
      <c r="D11" s="175" t="s">
        <v>95</v>
      </c>
      <c r="E11" s="177"/>
      <c r="F11" s="177"/>
    </row>
    <row r="14" spans="1:255">
      <c r="A14" s="178" t="s">
        <v>242</v>
      </c>
      <c r="B14" s="178"/>
      <c r="C14" s="178"/>
      <c r="D14" s="178"/>
      <c r="E14" s="178"/>
      <c r="F14" s="178"/>
      <c r="G14" s="178"/>
      <c r="H14" s="178"/>
      <c r="I14" s="178"/>
      <c r="J14" s="178"/>
      <c r="K14" s="178"/>
      <c r="L14" s="178"/>
      <c r="M14" s="179"/>
      <c r="N14" s="179"/>
      <c r="O14" s="179"/>
      <c r="P14" s="179"/>
      <c r="Q14" s="179"/>
      <c r="R14" s="179"/>
      <c r="S14" s="179"/>
      <c r="T14" s="179"/>
      <c r="U14" s="179"/>
      <c r="V14" s="179"/>
      <c r="W14" s="179"/>
      <c r="X14" s="179"/>
      <c r="Y14" s="179"/>
      <c r="Z14" s="179"/>
      <c r="AA14" s="179"/>
      <c r="AB14" s="179"/>
      <c r="AC14" s="179"/>
      <c r="AD14" s="179"/>
      <c r="AE14" s="179"/>
      <c r="AF14" s="179"/>
      <c r="AG14" s="179"/>
      <c r="AH14" s="179"/>
      <c r="AI14" s="179"/>
      <c r="AJ14" s="179"/>
      <c r="AK14" s="179"/>
      <c r="AL14" s="179"/>
      <c r="AM14" s="179"/>
      <c r="AN14" s="179"/>
      <c r="AO14" s="179"/>
      <c r="AP14" s="179"/>
      <c r="AQ14" s="179"/>
      <c r="AR14" s="179"/>
      <c r="AS14" s="179"/>
      <c r="AT14" s="179"/>
      <c r="AU14" s="179"/>
      <c r="AV14" s="179"/>
      <c r="AW14" s="179"/>
      <c r="AX14" s="179"/>
      <c r="AY14" s="179"/>
      <c r="AZ14" s="179"/>
      <c r="BA14" s="179"/>
      <c r="BB14" s="179"/>
      <c r="BC14" s="179"/>
      <c r="BD14" s="179"/>
      <c r="BE14" s="179"/>
      <c r="BF14" s="179"/>
      <c r="BG14" s="179"/>
      <c r="BH14" s="179"/>
      <c r="BI14" s="179"/>
      <c r="BJ14" s="179"/>
      <c r="BK14" s="179"/>
      <c r="BL14" s="179"/>
      <c r="BM14" s="179"/>
      <c r="BN14" s="179"/>
      <c r="BO14" s="179"/>
      <c r="BP14" s="179"/>
      <c r="BQ14" s="179"/>
      <c r="BR14" s="179"/>
      <c r="BS14" s="179"/>
      <c r="BT14" s="179"/>
      <c r="BU14" s="179"/>
      <c r="BV14" s="179"/>
      <c r="BW14" s="179"/>
      <c r="BX14" s="179"/>
      <c r="BY14" s="179"/>
      <c r="BZ14" s="179"/>
      <c r="CA14" s="179"/>
      <c r="CB14" s="179"/>
      <c r="CC14" s="179"/>
      <c r="CD14" s="179"/>
      <c r="CE14" s="179"/>
      <c r="CF14" s="179"/>
      <c r="CG14" s="179"/>
      <c r="CH14" s="179"/>
      <c r="CI14" s="179"/>
      <c r="CJ14" s="179"/>
      <c r="CK14" s="179"/>
      <c r="CL14" s="179"/>
      <c r="CM14" s="179"/>
      <c r="CN14" s="179"/>
      <c r="CO14" s="179"/>
      <c r="CP14" s="179"/>
      <c r="CQ14" s="179"/>
      <c r="CR14" s="179"/>
      <c r="CS14" s="179"/>
      <c r="CT14" s="179"/>
      <c r="CU14" s="179"/>
      <c r="CV14" s="179"/>
      <c r="CW14" s="179"/>
      <c r="CX14" s="179"/>
      <c r="CY14" s="179"/>
      <c r="CZ14" s="179"/>
      <c r="DA14" s="179"/>
      <c r="DB14" s="179"/>
      <c r="DC14" s="179"/>
      <c r="DD14" s="179"/>
      <c r="DE14" s="179"/>
      <c r="DF14" s="179"/>
      <c r="DG14" s="179"/>
      <c r="DH14" s="179"/>
      <c r="DI14" s="179"/>
      <c r="DJ14" s="179"/>
      <c r="DK14" s="179"/>
      <c r="DL14" s="179"/>
      <c r="DM14" s="179"/>
      <c r="DN14" s="179"/>
      <c r="DO14" s="179"/>
      <c r="DP14" s="179"/>
      <c r="DQ14" s="179"/>
      <c r="DR14" s="179"/>
      <c r="DS14" s="179"/>
      <c r="DT14" s="179"/>
      <c r="DU14" s="179"/>
      <c r="DV14" s="179"/>
      <c r="DW14" s="179"/>
      <c r="DX14" s="179"/>
      <c r="DY14" s="179"/>
      <c r="DZ14" s="179"/>
      <c r="EA14" s="179"/>
      <c r="EB14" s="179"/>
      <c r="EC14" s="179"/>
      <c r="ED14" s="179"/>
      <c r="EE14" s="179"/>
      <c r="EF14" s="179"/>
      <c r="EG14" s="179"/>
      <c r="EH14" s="179"/>
      <c r="EI14" s="179"/>
      <c r="EJ14" s="179"/>
      <c r="EK14" s="179"/>
      <c r="EL14" s="179"/>
      <c r="EM14" s="179"/>
      <c r="EN14" s="179"/>
      <c r="EO14" s="179"/>
      <c r="EP14" s="179"/>
      <c r="EQ14" s="179"/>
      <c r="ER14" s="179"/>
      <c r="ES14" s="179"/>
      <c r="ET14" s="179"/>
      <c r="EU14" s="179"/>
      <c r="EV14" s="179"/>
      <c r="EW14" s="179"/>
      <c r="EX14" s="179"/>
      <c r="EY14" s="179"/>
      <c r="EZ14" s="179"/>
      <c r="FA14" s="179"/>
      <c r="FB14" s="179"/>
      <c r="FC14" s="179"/>
      <c r="FD14" s="179"/>
      <c r="FE14" s="179"/>
      <c r="FF14" s="179"/>
      <c r="FG14" s="179"/>
      <c r="FH14" s="179"/>
      <c r="FI14" s="179"/>
      <c r="FJ14" s="179"/>
      <c r="FK14" s="179"/>
      <c r="FL14" s="179"/>
      <c r="FM14" s="179"/>
      <c r="FN14" s="179"/>
      <c r="FO14" s="179"/>
      <c r="FP14" s="179"/>
      <c r="FQ14" s="179"/>
      <c r="FR14" s="179"/>
      <c r="FS14" s="179"/>
      <c r="FT14" s="179"/>
      <c r="FU14" s="179"/>
      <c r="FV14" s="179"/>
      <c r="FW14" s="179"/>
      <c r="FX14" s="179"/>
      <c r="FY14" s="179"/>
      <c r="FZ14" s="179"/>
      <c r="GA14" s="179"/>
      <c r="GB14" s="179"/>
      <c r="GC14" s="179"/>
      <c r="GD14" s="179"/>
      <c r="GE14" s="179"/>
      <c r="GF14" s="179"/>
      <c r="GG14" s="179"/>
      <c r="GH14" s="179"/>
      <c r="GI14" s="179"/>
      <c r="GJ14" s="179"/>
      <c r="GK14" s="179"/>
      <c r="GL14" s="179"/>
      <c r="GM14" s="179"/>
      <c r="GN14" s="179"/>
      <c r="GO14" s="179"/>
      <c r="GP14" s="179"/>
      <c r="GQ14" s="179"/>
      <c r="GR14" s="179"/>
      <c r="GS14" s="179"/>
      <c r="GT14" s="179"/>
      <c r="GU14" s="179"/>
      <c r="GV14" s="179"/>
      <c r="GW14" s="179"/>
      <c r="GX14" s="179"/>
      <c r="GY14" s="179"/>
      <c r="GZ14" s="179"/>
      <c r="HA14" s="179"/>
      <c r="HB14" s="179"/>
      <c r="HC14" s="179"/>
      <c r="HD14" s="179"/>
      <c r="HE14" s="179"/>
      <c r="HF14" s="179"/>
      <c r="HG14" s="179"/>
      <c r="HH14" s="179"/>
      <c r="HI14" s="179"/>
      <c r="HJ14" s="179"/>
      <c r="HK14" s="179"/>
      <c r="HL14" s="179"/>
      <c r="HM14" s="179"/>
      <c r="HN14" s="179"/>
      <c r="HO14" s="179"/>
      <c r="HP14" s="179"/>
      <c r="HQ14" s="179"/>
      <c r="HR14" s="179"/>
      <c r="HS14" s="179"/>
      <c r="HT14" s="179"/>
      <c r="HU14" s="179"/>
      <c r="HV14" s="179"/>
      <c r="HW14" s="179"/>
      <c r="HX14" s="179"/>
      <c r="HY14" s="179"/>
      <c r="HZ14" s="179"/>
      <c r="IA14" s="179"/>
      <c r="IB14" s="179"/>
      <c r="IC14" s="179"/>
      <c r="ID14" s="179"/>
      <c r="IE14" s="179"/>
      <c r="IF14" s="179"/>
      <c r="IG14" s="179"/>
      <c r="IH14" s="179"/>
      <c r="II14" s="179"/>
      <c r="IJ14" s="179"/>
      <c r="IK14" s="179"/>
      <c r="IL14" s="179"/>
      <c r="IM14" s="179"/>
      <c r="IN14" s="179"/>
      <c r="IO14" s="179"/>
      <c r="IP14" s="179"/>
      <c r="IQ14" s="179"/>
      <c r="IR14" s="179"/>
      <c r="IS14" s="179"/>
      <c r="IT14" s="179"/>
      <c r="IU14" s="179"/>
    </row>
    <row r="15" spans="1:255" ht="24">
      <c r="A15" s="180" t="s">
        <v>243</v>
      </c>
      <c r="B15" s="181">
        <v>40543</v>
      </c>
      <c r="C15" s="181">
        <v>40908</v>
      </c>
      <c r="D15" s="182" t="s">
        <v>244</v>
      </c>
      <c r="E15" s="181">
        <v>41639</v>
      </c>
      <c r="F15" s="181">
        <v>42004</v>
      </c>
      <c r="G15" s="181">
        <v>42369</v>
      </c>
      <c r="H15" s="181">
        <v>42735</v>
      </c>
      <c r="I15" s="182" t="s">
        <v>245</v>
      </c>
      <c r="J15" s="182" t="s">
        <v>246</v>
      </c>
      <c r="K15" s="181">
        <v>43830</v>
      </c>
      <c r="L15" s="181">
        <v>44012</v>
      </c>
    </row>
    <row r="16" spans="1:255" ht="12">
      <c r="A16" s="183" t="s">
        <v>125</v>
      </c>
      <c r="B16" s="184" t="s">
        <v>126</v>
      </c>
      <c r="C16" s="184" t="s">
        <v>126</v>
      </c>
      <c r="D16" s="184" t="s">
        <v>126</v>
      </c>
      <c r="E16" s="184" t="s">
        <v>126</v>
      </c>
      <c r="F16" s="184" t="s">
        <v>126</v>
      </c>
      <c r="G16" s="184" t="s">
        <v>126</v>
      </c>
      <c r="H16" s="184" t="s">
        <v>126</v>
      </c>
      <c r="I16" s="184" t="s">
        <v>126</v>
      </c>
      <c r="J16" s="184" t="s">
        <v>126</v>
      </c>
      <c r="K16" s="184" t="s">
        <v>126</v>
      </c>
      <c r="L16" s="184" t="s">
        <v>126</v>
      </c>
    </row>
    <row r="17" spans="1:12">
      <c r="A17" s="185" t="s">
        <v>247</v>
      </c>
      <c r="B17" s="175"/>
      <c r="C17" s="175"/>
      <c r="D17" s="175"/>
      <c r="E17" s="175"/>
      <c r="F17" s="175"/>
      <c r="G17" s="175"/>
      <c r="H17" s="175"/>
      <c r="I17" s="175"/>
      <c r="J17" s="175"/>
      <c r="K17" s="175"/>
      <c r="L17" s="175"/>
    </row>
    <row r="18" spans="1:12">
      <c r="A18" s="175" t="s">
        <v>248</v>
      </c>
      <c r="B18" s="186">
        <v>779</v>
      </c>
      <c r="C18" s="186">
        <v>570</v>
      </c>
      <c r="D18" s="186">
        <v>481</v>
      </c>
      <c r="E18" s="186">
        <v>630</v>
      </c>
      <c r="F18" s="186">
        <v>674</v>
      </c>
      <c r="G18" s="186">
        <v>848</v>
      </c>
      <c r="H18" s="186">
        <v>1070</v>
      </c>
      <c r="I18" s="186">
        <v>956</v>
      </c>
      <c r="J18" s="186">
        <v>1327</v>
      </c>
      <c r="K18" s="186">
        <v>1258</v>
      </c>
      <c r="L18" s="186">
        <v>1288</v>
      </c>
    </row>
    <row r="19" spans="1:12">
      <c r="A19" s="175" t="s">
        <v>249</v>
      </c>
      <c r="B19" s="186">
        <v>1173</v>
      </c>
      <c r="C19" s="186">
        <v>1259</v>
      </c>
      <c r="D19" s="186">
        <v>1118</v>
      </c>
      <c r="E19" s="186">
        <v>1220</v>
      </c>
      <c r="F19" s="186">
        <v>1849</v>
      </c>
      <c r="G19" s="186">
        <v>1199</v>
      </c>
      <c r="H19" s="186">
        <v>1425</v>
      </c>
      <c r="I19" s="186">
        <v>1840</v>
      </c>
      <c r="J19" s="186">
        <v>1175</v>
      </c>
      <c r="K19" s="186">
        <v>1330</v>
      </c>
      <c r="L19" s="186">
        <v>830</v>
      </c>
    </row>
    <row r="20" spans="1:12">
      <c r="A20" s="185" t="s">
        <v>250</v>
      </c>
      <c r="B20" s="187">
        <v>1952</v>
      </c>
      <c r="C20" s="187">
        <v>1829</v>
      </c>
      <c r="D20" s="187">
        <v>1599</v>
      </c>
      <c r="E20" s="187">
        <v>1850</v>
      </c>
      <c r="F20" s="187">
        <v>2523</v>
      </c>
      <c r="G20" s="187">
        <v>2047</v>
      </c>
      <c r="H20" s="187">
        <v>2495</v>
      </c>
      <c r="I20" s="187">
        <v>2796</v>
      </c>
      <c r="J20" s="187">
        <v>2502</v>
      </c>
      <c r="K20" s="187">
        <v>2588</v>
      </c>
      <c r="L20" s="187">
        <v>2118</v>
      </c>
    </row>
    <row r="21" spans="1:12">
      <c r="A21" s="175"/>
      <c r="B21" s="175"/>
      <c r="C21" s="175"/>
      <c r="D21" s="175"/>
      <c r="E21" s="175"/>
      <c r="F21" s="175"/>
      <c r="G21" s="175"/>
      <c r="H21" s="175"/>
      <c r="I21" s="175"/>
      <c r="J21" s="175"/>
      <c r="K21" s="175"/>
      <c r="L21" s="175"/>
    </row>
    <row r="22" spans="1:12">
      <c r="A22" s="175" t="s">
        <v>251</v>
      </c>
      <c r="B22" s="186">
        <v>384</v>
      </c>
      <c r="C22" s="186">
        <v>460</v>
      </c>
      <c r="D22" s="186">
        <v>488</v>
      </c>
      <c r="E22" s="186">
        <v>533</v>
      </c>
      <c r="F22" s="186">
        <v>531</v>
      </c>
      <c r="G22" s="186">
        <v>541</v>
      </c>
      <c r="H22" s="186">
        <v>710</v>
      </c>
      <c r="I22" s="186">
        <v>766</v>
      </c>
      <c r="J22" s="186">
        <v>901</v>
      </c>
      <c r="K22" s="186">
        <v>1202</v>
      </c>
      <c r="L22" s="186">
        <v>447</v>
      </c>
    </row>
    <row r="23" spans="1:12" ht="12">
      <c r="A23" s="175" t="s">
        <v>252</v>
      </c>
      <c r="B23" s="186">
        <v>99</v>
      </c>
      <c r="C23" s="186">
        <v>101</v>
      </c>
      <c r="D23" s="186">
        <v>175</v>
      </c>
      <c r="E23" s="186">
        <v>100</v>
      </c>
      <c r="F23" s="186">
        <v>71</v>
      </c>
      <c r="G23" s="186">
        <v>160</v>
      </c>
      <c r="H23" s="186">
        <v>100</v>
      </c>
      <c r="I23" s="186">
        <v>94</v>
      </c>
      <c r="J23" s="186">
        <v>125</v>
      </c>
      <c r="K23" s="186">
        <v>136</v>
      </c>
      <c r="L23" s="186" t="s">
        <v>134</v>
      </c>
    </row>
    <row r="24" spans="1:12" ht="12">
      <c r="A24" s="175" t="s">
        <v>253</v>
      </c>
      <c r="B24" s="186" t="s">
        <v>134</v>
      </c>
      <c r="C24" s="186" t="s">
        <v>134</v>
      </c>
      <c r="D24" s="186" t="s">
        <v>134</v>
      </c>
      <c r="E24" s="186" t="s">
        <v>134</v>
      </c>
      <c r="F24" s="186" t="s">
        <v>134</v>
      </c>
      <c r="G24" s="186" t="s">
        <v>134</v>
      </c>
      <c r="H24" s="186">
        <v>51</v>
      </c>
      <c r="I24" s="186">
        <v>88</v>
      </c>
      <c r="J24" s="186">
        <v>100</v>
      </c>
      <c r="K24" s="186">
        <v>9</v>
      </c>
      <c r="L24" s="186" t="s">
        <v>134</v>
      </c>
    </row>
    <row r="25" spans="1:12">
      <c r="A25" s="185" t="s">
        <v>254</v>
      </c>
      <c r="B25" s="187">
        <v>483</v>
      </c>
      <c r="C25" s="187">
        <v>561</v>
      </c>
      <c r="D25" s="187">
        <v>663</v>
      </c>
      <c r="E25" s="187">
        <v>633</v>
      </c>
      <c r="F25" s="187">
        <v>602</v>
      </c>
      <c r="G25" s="187">
        <v>701</v>
      </c>
      <c r="H25" s="187">
        <v>861</v>
      </c>
      <c r="I25" s="187">
        <v>948</v>
      </c>
      <c r="J25" s="187">
        <v>1126</v>
      </c>
      <c r="K25" s="187">
        <v>1347</v>
      </c>
      <c r="L25" s="187">
        <v>447</v>
      </c>
    </row>
    <row r="26" spans="1:12">
      <c r="A26" s="175"/>
      <c r="B26" s="175"/>
      <c r="C26" s="175"/>
      <c r="D26" s="175"/>
      <c r="E26" s="175"/>
      <c r="F26" s="175"/>
      <c r="G26" s="175"/>
      <c r="H26" s="175"/>
      <c r="I26" s="175"/>
      <c r="J26" s="175"/>
      <c r="K26" s="175"/>
      <c r="L26" s="175"/>
    </row>
    <row r="27" spans="1:12">
      <c r="A27" s="175" t="s">
        <v>255</v>
      </c>
      <c r="B27" s="186">
        <v>98</v>
      </c>
      <c r="C27" s="186">
        <v>139</v>
      </c>
      <c r="D27" s="186">
        <v>117</v>
      </c>
      <c r="E27" s="186">
        <v>110</v>
      </c>
      <c r="F27" s="186">
        <v>133</v>
      </c>
      <c r="G27" s="186">
        <v>139</v>
      </c>
      <c r="H27" s="186">
        <v>133</v>
      </c>
      <c r="I27" s="186">
        <v>131</v>
      </c>
      <c r="J27" s="186">
        <v>175</v>
      </c>
      <c r="K27" s="186">
        <v>156</v>
      </c>
      <c r="L27" s="186">
        <v>95</v>
      </c>
    </row>
    <row r="28" spans="1:12" ht="12">
      <c r="A28" s="175" t="s">
        <v>256</v>
      </c>
      <c r="B28" s="186">
        <v>161</v>
      </c>
      <c r="C28" s="186">
        <v>172</v>
      </c>
      <c r="D28" s="186">
        <v>218</v>
      </c>
      <c r="E28" s="186">
        <v>238</v>
      </c>
      <c r="F28" s="186">
        <v>255</v>
      </c>
      <c r="G28" s="186">
        <v>454</v>
      </c>
      <c r="H28" s="186">
        <v>443</v>
      </c>
      <c r="I28" s="186">
        <v>415</v>
      </c>
      <c r="J28" s="186">
        <v>419</v>
      </c>
      <c r="K28" s="186">
        <v>538</v>
      </c>
      <c r="L28" s="186" t="s">
        <v>134</v>
      </c>
    </row>
    <row r="29" spans="1:12">
      <c r="A29" s="175" t="s">
        <v>257</v>
      </c>
      <c r="B29" s="186">
        <v>132</v>
      </c>
      <c r="C29" s="186">
        <v>73</v>
      </c>
      <c r="D29" s="186">
        <v>39</v>
      </c>
      <c r="E29" s="186">
        <v>94</v>
      </c>
      <c r="F29" s="186">
        <v>75</v>
      </c>
      <c r="G29" s="186">
        <v>63</v>
      </c>
      <c r="H29" s="186">
        <v>139</v>
      </c>
      <c r="I29" s="186">
        <v>228</v>
      </c>
      <c r="J29" s="186">
        <v>65</v>
      </c>
      <c r="K29" s="186">
        <v>91</v>
      </c>
      <c r="L29" s="186">
        <v>860</v>
      </c>
    </row>
    <row r="30" spans="1:12">
      <c r="A30" s="185" t="s">
        <v>258</v>
      </c>
      <c r="B30" s="187">
        <v>2826</v>
      </c>
      <c r="C30" s="187">
        <v>2774</v>
      </c>
      <c r="D30" s="187">
        <v>2636</v>
      </c>
      <c r="E30" s="187">
        <v>2925</v>
      </c>
      <c r="F30" s="187">
        <v>3588</v>
      </c>
      <c r="G30" s="187">
        <v>3404</v>
      </c>
      <c r="H30" s="187">
        <v>4071</v>
      </c>
      <c r="I30" s="187">
        <v>4518</v>
      </c>
      <c r="J30" s="187">
        <v>4287</v>
      </c>
      <c r="K30" s="187">
        <v>4720</v>
      </c>
      <c r="L30" s="187">
        <v>3520</v>
      </c>
    </row>
    <row r="31" spans="1:12">
      <c r="A31" s="175"/>
      <c r="B31" s="175"/>
      <c r="C31" s="175"/>
      <c r="D31" s="175"/>
      <c r="E31" s="175"/>
      <c r="F31" s="175"/>
      <c r="G31" s="175"/>
      <c r="H31" s="175"/>
      <c r="I31" s="175"/>
      <c r="J31" s="175"/>
      <c r="K31" s="175"/>
      <c r="L31" s="175"/>
    </row>
    <row r="32" spans="1:12" ht="12">
      <c r="A32" s="175" t="s">
        <v>259</v>
      </c>
      <c r="B32" s="186">
        <v>14514</v>
      </c>
      <c r="C32" s="186">
        <v>14814</v>
      </c>
      <c r="D32" s="186">
        <v>15469</v>
      </c>
      <c r="E32" s="186">
        <v>16308</v>
      </c>
      <c r="F32" s="186">
        <v>17274</v>
      </c>
      <c r="G32" s="186">
        <v>17381</v>
      </c>
      <c r="H32" s="186">
        <v>17087</v>
      </c>
      <c r="I32" s="186">
        <v>17389</v>
      </c>
      <c r="J32" s="186">
        <v>17784</v>
      </c>
      <c r="K32" s="186">
        <v>21735</v>
      </c>
      <c r="L32" s="186" t="s">
        <v>134</v>
      </c>
    </row>
    <row r="33" spans="1:12" ht="12">
      <c r="A33" s="175" t="s">
        <v>260</v>
      </c>
      <c r="B33" s="186">
        <v>-7650</v>
      </c>
      <c r="C33" s="186">
        <v>-7986</v>
      </c>
      <c r="D33" s="186">
        <v>-8527</v>
      </c>
      <c r="E33" s="186">
        <v>-8821</v>
      </c>
      <c r="F33" s="186">
        <v>-9284</v>
      </c>
      <c r="G33" s="186">
        <v>-9261</v>
      </c>
      <c r="H33" s="186">
        <v>-8963</v>
      </c>
      <c r="I33" s="186">
        <v>-9451</v>
      </c>
      <c r="J33" s="186">
        <v>-9650</v>
      </c>
      <c r="K33" s="186">
        <v>-11247</v>
      </c>
      <c r="L33" s="186" t="s">
        <v>134</v>
      </c>
    </row>
    <row r="34" spans="1:12">
      <c r="A34" s="185" t="s">
        <v>261</v>
      </c>
      <c r="B34" s="187">
        <v>6864</v>
      </c>
      <c r="C34" s="187">
        <v>6828</v>
      </c>
      <c r="D34" s="187">
        <v>6942</v>
      </c>
      <c r="E34" s="187">
        <v>7487</v>
      </c>
      <c r="F34" s="187">
        <v>7990</v>
      </c>
      <c r="G34" s="187">
        <v>8120</v>
      </c>
      <c r="H34" s="187">
        <v>8124</v>
      </c>
      <c r="I34" s="187">
        <v>7938</v>
      </c>
      <c r="J34" s="187">
        <v>8134</v>
      </c>
      <c r="K34" s="187">
        <v>10488</v>
      </c>
      <c r="L34" s="187">
        <v>10089</v>
      </c>
    </row>
    <row r="35" spans="1:12">
      <c r="A35" s="175"/>
      <c r="B35" s="175"/>
      <c r="C35" s="175"/>
      <c r="D35" s="175"/>
      <c r="E35" s="175"/>
      <c r="F35" s="175"/>
      <c r="G35" s="175"/>
      <c r="H35" s="175"/>
      <c r="I35" s="175"/>
      <c r="J35" s="175"/>
      <c r="K35" s="175"/>
      <c r="L35" s="175"/>
    </row>
    <row r="36" spans="1:12">
      <c r="A36" s="175" t="s">
        <v>262</v>
      </c>
      <c r="B36" s="186">
        <v>309</v>
      </c>
      <c r="C36" s="186">
        <v>271</v>
      </c>
      <c r="D36" s="186">
        <v>213</v>
      </c>
      <c r="E36" s="186">
        <v>154</v>
      </c>
      <c r="F36" s="186">
        <v>139</v>
      </c>
      <c r="G36" s="186">
        <v>1822</v>
      </c>
      <c r="H36" s="186">
        <v>1910</v>
      </c>
      <c r="I36" s="186">
        <v>1637</v>
      </c>
      <c r="J36" s="186">
        <v>1757</v>
      </c>
      <c r="K36" s="186">
        <v>1887</v>
      </c>
      <c r="L36" s="186">
        <v>1771</v>
      </c>
    </row>
    <row r="37" spans="1:12" ht="12">
      <c r="A37" s="175" t="s">
        <v>263</v>
      </c>
      <c r="B37" s="186">
        <v>40</v>
      </c>
      <c r="C37" s="186">
        <v>40</v>
      </c>
      <c r="D37" s="186">
        <v>40</v>
      </c>
      <c r="E37" s="186">
        <v>40</v>
      </c>
      <c r="F37" s="186">
        <v>40</v>
      </c>
      <c r="G37" s="186">
        <v>40</v>
      </c>
      <c r="H37" s="186">
        <v>40</v>
      </c>
      <c r="I37" s="186">
        <v>40</v>
      </c>
      <c r="J37" s="186">
        <v>40</v>
      </c>
      <c r="K37" s="186">
        <v>40</v>
      </c>
      <c r="L37" s="186" t="s">
        <v>134</v>
      </c>
    </row>
    <row r="38" spans="1:12">
      <c r="A38" s="175" t="s">
        <v>264</v>
      </c>
      <c r="B38" s="186">
        <v>246</v>
      </c>
      <c r="C38" s="186">
        <v>307</v>
      </c>
      <c r="D38" s="186">
        <v>779</v>
      </c>
      <c r="E38" s="186">
        <v>841</v>
      </c>
      <c r="F38" s="186">
        <v>909</v>
      </c>
      <c r="G38" s="186">
        <v>941</v>
      </c>
      <c r="H38" s="186">
        <v>952</v>
      </c>
      <c r="I38" s="186">
        <v>951</v>
      </c>
      <c r="J38" s="186">
        <v>1027</v>
      </c>
      <c r="K38" s="186">
        <v>1054</v>
      </c>
      <c r="L38" s="186">
        <v>1088</v>
      </c>
    </row>
    <row r="39" spans="1:12" ht="12">
      <c r="A39" s="175" t="s">
        <v>265</v>
      </c>
      <c r="B39" s="186" t="s">
        <v>134</v>
      </c>
      <c r="C39" s="186" t="s">
        <v>134</v>
      </c>
      <c r="D39" s="186" t="s">
        <v>134</v>
      </c>
      <c r="E39" s="186" t="s">
        <v>134</v>
      </c>
      <c r="F39" s="186" t="s">
        <v>134</v>
      </c>
      <c r="G39" s="186" t="s">
        <v>134</v>
      </c>
      <c r="H39" s="186">
        <v>253</v>
      </c>
      <c r="I39" s="186">
        <v>177</v>
      </c>
      <c r="J39" s="186">
        <v>198</v>
      </c>
      <c r="K39" s="186">
        <v>95</v>
      </c>
      <c r="L39" s="186" t="s">
        <v>134</v>
      </c>
    </row>
    <row r="40" spans="1:12">
      <c r="A40" s="175" t="s">
        <v>266</v>
      </c>
      <c r="B40" s="186">
        <v>667</v>
      </c>
      <c r="C40" s="186">
        <v>1149</v>
      </c>
      <c r="D40" s="186">
        <v>526</v>
      </c>
      <c r="E40" s="186">
        <v>474</v>
      </c>
      <c r="F40" s="186">
        <v>760</v>
      </c>
      <c r="G40" s="186">
        <v>1049</v>
      </c>
      <c r="H40" s="186">
        <v>1121</v>
      </c>
      <c r="I40" s="186">
        <v>1082</v>
      </c>
      <c r="J40" s="186">
        <v>1238</v>
      </c>
      <c r="K40" s="186">
        <v>598</v>
      </c>
      <c r="L40" s="186">
        <v>927</v>
      </c>
    </row>
    <row r="41" spans="1:12">
      <c r="A41" s="185" t="s">
        <v>267</v>
      </c>
      <c r="B41" s="188">
        <v>10952</v>
      </c>
      <c r="C41" s="188">
        <v>11369</v>
      </c>
      <c r="D41" s="188">
        <v>11136</v>
      </c>
      <c r="E41" s="188">
        <v>11921</v>
      </c>
      <c r="F41" s="188">
        <v>13426</v>
      </c>
      <c r="G41" s="188">
        <v>15376</v>
      </c>
      <c r="H41" s="188">
        <v>16471</v>
      </c>
      <c r="I41" s="188">
        <v>16343</v>
      </c>
      <c r="J41" s="188">
        <v>16681</v>
      </c>
      <c r="K41" s="188">
        <v>18882</v>
      </c>
      <c r="L41" s="188">
        <v>17395</v>
      </c>
    </row>
    <row r="42" spans="1:12">
      <c r="A42" s="175"/>
      <c r="B42" s="175"/>
      <c r="C42" s="175"/>
      <c r="D42" s="175"/>
      <c r="E42" s="175"/>
      <c r="F42" s="175"/>
      <c r="G42" s="175"/>
      <c r="H42" s="175"/>
      <c r="I42" s="175"/>
      <c r="J42" s="175"/>
      <c r="K42" s="175"/>
      <c r="L42" s="175"/>
    </row>
    <row r="43" spans="1:12">
      <c r="A43" s="185" t="s">
        <v>268</v>
      </c>
      <c r="B43" s="175"/>
      <c r="C43" s="175"/>
      <c r="D43" s="175"/>
      <c r="E43" s="175"/>
      <c r="F43" s="175"/>
      <c r="G43" s="175"/>
      <c r="H43" s="175"/>
      <c r="I43" s="175"/>
      <c r="J43" s="175"/>
      <c r="K43" s="175"/>
      <c r="L43" s="175"/>
    </row>
    <row r="44" spans="1:12">
      <c r="A44" s="175" t="s">
        <v>269</v>
      </c>
      <c r="B44" s="186">
        <v>717</v>
      </c>
      <c r="C44" s="186">
        <v>857</v>
      </c>
      <c r="D44" s="186">
        <v>979</v>
      </c>
      <c r="E44" s="186">
        <v>940</v>
      </c>
      <c r="F44" s="186">
        <v>911</v>
      </c>
      <c r="G44" s="186">
        <v>971</v>
      </c>
      <c r="H44" s="186">
        <v>1126</v>
      </c>
      <c r="I44" s="186">
        <v>1312</v>
      </c>
      <c r="J44" s="186">
        <v>1180</v>
      </c>
      <c r="K44" s="186">
        <v>1396</v>
      </c>
      <c r="L44" s="186">
        <v>1599</v>
      </c>
    </row>
    <row r="45" spans="1:12" ht="12">
      <c r="A45" s="175" t="s">
        <v>270</v>
      </c>
      <c r="B45" s="186">
        <v>864</v>
      </c>
      <c r="C45" s="186">
        <v>942</v>
      </c>
      <c r="D45" s="186">
        <v>261</v>
      </c>
      <c r="E45" s="186">
        <v>291</v>
      </c>
      <c r="F45" s="186">
        <v>208</v>
      </c>
      <c r="G45" s="186">
        <v>210</v>
      </c>
      <c r="H45" s="186">
        <v>75</v>
      </c>
      <c r="I45" s="186">
        <v>137</v>
      </c>
      <c r="J45" s="186">
        <v>175</v>
      </c>
      <c r="K45" s="186">
        <v>128</v>
      </c>
      <c r="L45" s="186" t="s">
        <v>134</v>
      </c>
    </row>
    <row r="46" spans="1:12" ht="12">
      <c r="A46" s="175" t="s">
        <v>271</v>
      </c>
      <c r="B46" s="186" t="s">
        <v>134</v>
      </c>
      <c r="C46" s="186" t="s">
        <v>134</v>
      </c>
      <c r="D46" s="186" t="s">
        <v>134</v>
      </c>
      <c r="E46" s="186" t="s">
        <v>134</v>
      </c>
      <c r="F46" s="186" t="s">
        <v>134</v>
      </c>
      <c r="G46" s="186" t="s">
        <v>134</v>
      </c>
      <c r="H46" s="186" t="s">
        <v>134</v>
      </c>
      <c r="I46" s="186" t="s">
        <v>134</v>
      </c>
      <c r="J46" s="186" t="s">
        <v>134</v>
      </c>
      <c r="K46" s="186" t="s">
        <v>134</v>
      </c>
      <c r="L46" s="186">
        <v>904</v>
      </c>
    </row>
    <row r="47" spans="1:12">
      <c r="A47" s="175" t="s">
        <v>272</v>
      </c>
      <c r="B47" s="186">
        <v>177</v>
      </c>
      <c r="C47" s="186">
        <v>192</v>
      </c>
      <c r="D47" s="186">
        <v>185</v>
      </c>
      <c r="E47" s="186">
        <v>141</v>
      </c>
      <c r="F47" s="186">
        <v>112</v>
      </c>
      <c r="G47" s="186">
        <v>396</v>
      </c>
      <c r="H47" s="186">
        <v>121</v>
      </c>
      <c r="I47" s="186">
        <v>83</v>
      </c>
      <c r="J47" s="186">
        <v>48</v>
      </c>
      <c r="K47" s="186">
        <v>63</v>
      </c>
      <c r="L47" s="186">
        <v>98</v>
      </c>
    </row>
    <row r="48" spans="1:12">
      <c r="A48" s="175" t="s">
        <v>273</v>
      </c>
      <c r="B48" s="186">
        <v>280</v>
      </c>
      <c r="C48" s="186">
        <v>193</v>
      </c>
      <c r="D48" s="186">
        <v>281</v>
      </c>
      <c r="E48" s="186">
        <v>224</v>
      </c>
      <c r="F48" s="186">
        <v>316</v>
      </c>
      <c r="G48" s="186">
        <v>332</v>
      </c>
      <c r="H48" s="186">
        <v>559</v>
      </c>
      <c r="I48" s="186">
        <v>489</v>
      </c>
      <c r="J48" s="186">
        <v>425</v>
      </c>
      <c r="K48" s="186">
        <v>869</v>
      </c>
      <c r="L48" s="186">
        <v>829</v>
      </c>
    </row>
    <row r="49" spans="1:12">
      <c r="A49" s="175" t="s">
        <v>274</v>
      </c>
      <c r="B49" s="186">
        <v>10</v>
      </c>
      <c r="C49" s="186">
        <v>12</v>
      </c>
      <c r="D49" s="186">
        <v>9</v>
      </c>
      <c r="E49" s="186">
        <v>1</v>
      </c>
      <c r="F49" s="186">
        <v>36</v>
      </c>
      <c r="G49" s="186">
        <v>69</v>
      </c>
      <c r="H49" s="186">
        <v>64</v>
      </c>
      <c r="I49" s="186">
        <v>116</v>
      </c>
      <c r="J49" s="186">
        <v>144</v>
      </c>
      <c r="K49" s="186">
        <v>142</v>
      </c>
      <c r="L49" s="186">
        <v>22</v>
      </c>
    </row>
    <row r="50" spans="1:12">
      <c r="A50" s="175" t="s">
        <v>275</v>
      </c>
      <c r="B50" s="186">
        <v>755</v>
      </c>
      <c r="C50" s="186">
        <v>750</v>
      </c>
      <c r="D50" s="186">
        <v>2017</v>
      </c>
      <c r="E50" s="186">
        <v>2438</v>
      </c>
      <c r="F50" s="186">
        <v>2587</v>
      </c>
      <c r="G50" s="186">
        <v>2503</v>
      </c>
      <c r="H50" s="186">
        <v>2639</v>
      </c>
      <c r="I50" s="186">
        <v>2665</v>
      </c>
      <c r="J50" s="186">
        <v>2807</v>
      </c>
      <c r="K50" s="186">
        <v>2934</v>
      </c>
      <c r="L50" s="186">
        <v>2505</v>
      </c>
    </row>
    <row r="51" spans="1:12">
      <c r="A51" s="175" t="s">
        <v>276</v>
      </c>
      <c r="B51" s="186">
        <v>772</v>
      </c>
      <c r="C51" s="186">
        <v>737</v>
      </c>
      <c r="D51" s="186">
        <v>666</v>
      </c>
      <c r="E51" s="186">
        <v>592</v>
      </c>
      <c r="F51" s="186">
        <v>1332</v>
      </c>
      <c r="G51" s="186">
        <v>1219</v>
      </c>
      <c r="H51" s="186">
        <v>750</v>
      </c>
      <c r="I51" s="186">
        <v>686</v>
      </c>
      <c r="J51" s="186">
        <v>1059</v>
      </c>
      <c r="K51" s="186">
        <v>858</v>
      </c>
      <c r="L51" s="186">
        <v>1058</v>
      </c>
    </row>
    <row r="52" spans="1:12">
      <c r="A52" s="185" t="s">
        <v>277</v>
      </c>
      <c r="B52" s="187">
        <v>3575</v>
      </c>
      <c r="C52" s="187">
        <v>3683</v>
      </c>
      <c r="D52" s="187">
        <v>4398</v>
      </c>
      <c r="E52" s="187">
        <v>4627</v>
      </c>
      <c r="F52" s="187">
        <v>5502</v>
      </c>
      <c r="G52" s="187">
        <v>5700</v>
      </c>
      <c r="H52" s="187">
        <v>5334</v>
      </c>
      <c r="I52" s="187">
        <v>5488</v>
      </c>
      <c r="J52" s="187">
        <v>5838</v>
      </c>
      <c r="K52" s="187">
        <v>6390</v>
      </c>
      <c r="L52" s="187">
        <v>7015</v>
      </c>
    </row>
    <row r="53" spans="1:12">
      <c r="A53" s="175"/>
      <c r="B53" s="175"/>
      <c r="C53" s="175"/>
      <c r="D53" s="175"/>
      <c r="E53" s="175"/>
      <c r="F53" s="175"/>
      <c r="G53" s="175"/>
      <c r="H53" s="175"/>
      <c r="I53" s="175"/>
      <c r="J53" s="175"/>
      <c r="K53" s="175"/>
      <c r="L53" s="175"/>
    </row>
    <row r="54" spans="1:12">
      <c r="A54" s="175" t="s">
        <v>278</v>
      </c>
      <c r="B54" s="186">
        <v>1434</v>
      </c>
      <c r="C54" s="186">
        <v>1324</v>
      </c>
      <c r="D54" s="186">
        <v>1187</v>
      </c>
      <c r="E54" s="186">
        <v>692</v>
      </c>
      <c r="F54" s="186">
        <v>570</v>
      </c>
      <c r="G54" s="186">
        <v>480</v>
      </c>
      <c r="H54" s="186">
        <v>431</v>
      </c>
      <c r="I54" s="186">
        <v>393</v>
      </c>
      <c r="J54" s="186">
        <v>270</v>
      </c>
      <c r="K54" s="186">
        <v>600</v>
      </c>
      <c r="L54" s="186">
        <v>1071</v>
      </c>
    </row>
    <row r="55" spans="1:12">
      <c r="A55" s="175" t="s">
        <v>279</v>
      </c>
      <c r="B55" s="186">
        <v>2062</v>
      </c>
      <c r="C55" s="186">
        <v>2034</v>
      </c>
      <c r="D55" s="186">
        <v>2039</v>
      </c>
      <c r="E55" s="186">
        <v>2761</v>
      </c>
      <c r="F55" s="186">
        <v>3551</v>
      </c>
      <c r="G55" s="186">
        <v>3302</v>
      </c>
      <c r="H55" s="186">
        <v>4039</v>
      </c>
      <c r="I55" s="186">
        <v>3323</v>
      </c>
      <c r="J55" s="186">
        <v>3683</v>
      </c>
      <c r="K55" s="186">
        <v>4778</v>
      </c>
      <c r="L55" s="186">
        <v>4928</v>
      </c>
    </row>
    <row r="56" spans="1:12" ht="12">
      <c r="A56" s="175" t="s">
        <v>280</v>
      </c>
      <c r="B56" s="186" t="s">
        <v>134</v>
      </c>
      <c r="C56" s="186" t="s">
        <v>134</v>
      </c>
      <c r="D56" s="186" t="s">
        <v>134</v>
      </c>
      <c r="E56" s="186" t="s">
        <v>134</v>
      </c>
      <c r="F56" s="186" t="s">
        <v>134</v>
      </c>
      <c r="G56" s="186" t="s">
        <v>134</v>
      </c>
      <c r="H56" s="186">
        <v>51</v>
      </c>
      <c r="I56" s="186">
        <v>40</v>
      </c>
      <c r="J56" s="186">
        <v>34</v>
      </c>
      <c r="K56" s="186">
        <v>24</v>
      </c>
      <c r="L56" s="186" t="s">
        <v>134</v>
      </c>
    </row>
    <row r="57" spans="1:12">
      <c r="A57" s="175" t="s">
        <v>281</v>
      </c>
      <c r="B57" s="186">
        <v>219</v>
      </c>
      <c r="C57" s="186">
        <v>232</v>
      </c>
      <c r="D57" s="186">
        <v>1732</v>
      </c>
      <c r="E57" s="186">
        <v>619</v>
      </c>
      <c r="F57" s="186">
        <v>1042</v>
      </c>
      <c r="G57" s="186">
        <v>618</v>
      </c>
      <c r="H57" s="186">
        <v>1991</v>
      </c>
      <c r="I57" s="186">
        <v>698</v>
      </c>
      <c r="J57" s="186">
        <v>258</v>
      </c>
      <c r="K57" s="186">
        <v>276</v>
      </c>
      <c r="L57" s="186">
        <v>1105</v>
      </c>
    </row>
    <row r="58" spans="1:12" ht="12">
      <c r="A58" s="175" t="s">
        <v>282</v>
      </c>
      <c r="B58" s="186">
        <v>788</v>
      </c>
      <c r="C58" s="186">
        <v>778</v>
      </c>
      <c r="D58" s="186">
        <v>216</v>
      </c>
      <c r="E58" s="186">
        <v>444</v>
      </c>
      <c r="F58" s="186">
        <v>222</v>
      </c>
      <c r="G58" s="186">
        <v>282</v>
      </c>
      <c r="H58" s="186">
        <v>62</v>
      </c>
      <c r="I58" s="186">
        <v>372</v>
      </c>
      <c r="J58" s="186">
        <v>335</v>
      </c>
      <c r="K58" s="186">
        <v>423</v>
      </c>
      <c r="L58" s="186" t="s">
        <v>134</v>
      </c>
    </row>
    <row r="59" spans="1:12">
      <c r="A59" s="175" t="s">
        <v>283</v>
      </c>
      <c r="B59" s="186">
        <v>474</v>
      </c>
      <c r="C59" s="186">
        <v>536</v>
      </c>
      <c r="D59" s="186">
        <v>496</v>
      </c>
      <c r="E59" s="186">
        <v>323</v>
      </c>
      <c r="F59" s="186">
        <v>439</v>
      </c>
      <c r="G59" s="186">
        <v>396</v>
      </c>
      <c r="H59" s="186">
        <v>322</v>
      </c>
      <c r="I59" s="186">
        <v>406</v>
      </c>
      <c r="J59" s="186">
        <v>596</v>
      </c>
      <c r="K59" s="186">
        <v>584</v>
      </c>
      <c r="L59" s="186">
        <v>778</v>
      </c>
    </row>
    <row r="60" spans="1:12">
      <c r="A60" s="185" t="s">
        <v>284</v>
      </c>
      <c r="B60" s="187">
        <v>8552</v>
      </c>
      <c r="C60" s="187">
        <v>8587</v>
      </c>
      <c r="D60" s="187">
        <v>10068</v>
      </c>
      <c r="E60" s="187">
        <v>9466</v>
      </c>
      <c r="F60" s="187">
        <v>11326</v>
      </c>
      <c r="G60" s="187">
        <v>10778</v>
      </c>
      <c r="H60" s="187">
        <v>12230</v>
      </c>
      <c r="I60" s="187">
        <v>10720</v>
      </c>
      <c r="J60" s="187">
        <v>11014</v>
      </c>
      <c r="K60" s="187">
        <v>13075</v>
      </c>
      <c r="L60" s="187">
        <v>14897</v>
      </c>
    </row>
    <row r="61" spans="1:12">
      <c r="A61" s="175"/>
      <c r="B61" s="175"/>
      <c r="C61" s="175"/>
      <c r="D61" s="175"/>
      <c r="E61" s="175"/>
      <c r="F61" s="175"/>
      <c r="G61" s="175"/>
      <c r="H61" s="175"/>
      <c r="I61" s="175"/>
      <c r="J61" s="175"/>
      <c r="K61" s="175"/>
      <c r="L61" s="175"/>
    </row>
    <row r="62" spans="1:12">
      <c r="A62" s="175" t="s">
        <v>285</v>
      </c>
      <c r="B62" s="186">
        <v>288</v>
      </c>
      <c r="C62" s="186">
        <v>290</v>
      </c>
      <c r="D62" s="186">
        <v>290</v>
      </c>
      <c r="E62" s="186">
        <v>290</v>
      </c>
      <c r="F62" s="186">
        <v>290</v>
      </c>
      <c r="G62" s="186">
        <v>290</v>
      </c>
      <c r="H62" s="186">
        <v>290</v>
      </c>
      <c r="I62" s="186">
        <v>290</v>
      </c>
      <c r="J62" s="186">
        <v>290</v>
      </c>
      <c r="K62" s="186">
        <v>290</v>
      </c>
      <c r="L62" s="186">
        <v>290</v>
      </c>
    </row>
    <row r="63" spans="1:12">
      <c r="A63" s="175" t="s">
        <v>286</v>
      </c>
      <c r="B63" s="186">
        <v>937</v>
      </c>
      <c r="C63" s="186">
        <v>937</v>
      </c>
      <c r="D63" s="186">
        <v>937</v>
      </c>
      <c r="E63" s="186">
        <v>1512</v>
      </c>
      <c r="F63" s="186">
        <v>1512</v>
      </c>
      <c r="G63" s="186">
        <v>1512</v>
      </c>
      <c r="H63" s="186">
        <v>1512</v>
      </c>
      <c r="I63" s="186">
        <v>1512</v>
      </c>
      <c r="J63" s="186">
        <v>1512</v>
      </c>
      <c r="K63" s="186">
        <v>1512</v>
      </c>
      <c r="L63" s="186">
        <v>1512</v>
      </c>
    </row>
    <row r="64" spans="1:12">
      <c r="A64" s="175" t="s">
        <v>287</v>
      </c>
      <c r="B64" s="186">
        <v>945</v>
      </c>
      <c r="C64" s="186">
        <v>1603</v>
      </c>
      <c r="D64" s="186">
        <v>-181</v>
      </c>
      <c r="E64" s="186">
        <v>387</v>
      </c>
      <c r="F64" s="186">
        <v>683</v>
      </c>
      <c r="G64" s="186">
        <v>3031</v>
      </c>
      <c r="H64" s="186">
        <v>2570</v>
      </c>
      <c r="I64" s="186">
        <v>3791</v>
      </c>
      <c r="J64" s="186">
        <v>4621</v>
      </c>
      <c r="K64" s="186">
        <v>4374</v>
      </c>
      <c r="L64" s="186">
        <v>1530</v>
      </c>
    </row>
    <row r="65" spans="1:12" ht="12">
      <c r="A65" s="175" t="s">
        <v>288</v>
      </c>
      <c r="B65" s="186">
        <v>-3</v>
      </c>
      <c r="C65" s="186" t="s">
        <v>134</v>
      </c>
      <c r="D65" s="186" t="s">
        <v>134</v>
      </c>
      <c r="E65" s="186" t="s">
        <v>134</v>
      </c>
      <c r="F65" s="186" t="s">
        <v>134</v>
      </c>
      <c r="G65" s="186" t="s">
        <v>134</v>
      </c>
      <c r="H65" s="186" t="s">
        <v>134</v>
      </c>
      <c r="I65" s="186" t="s">
        <v>134</v>
      </c>
      <c r="J65" s="186" t="s">
        <v>134</v>
      </c>
      <c r="K65" s="186" t="s">
        <v>134</v>
      </c>
      <c r="L65" s="186" t="s">
        <v>134</v>
      </c>
    </row>
    <row r="66" spans="1:12">
      <c r="A66" s="175" t="s">
        <v>289</v>
      </c>
      <c r="B66" s="186">
        <v>33</v>
      </c>
      <c r="C66" s="186">
        <v>-248</v>
      </c>
      <c r="D66" s="186">
        <v>-178</v>
      </c>
      <c r="E66" s="186">
        <v>66</v>
      </c>
      <c r="F66" s="186">
        <v>-585</v>
      </c>
      <c r="G66" s="186">
        <v>-435</v>
      </c>
      <c r="H66" s="186">
        <v>-331</v>
      </c>
      <c r="I66" s="186">
        <v>-170</v>
      </c>
      <c r="J66" s="186">
        <v>-756</v>
      </c>
      <c r="K66" s="186">
        <v>-369</v>
      </c>
      <c r="L66" s="186">
        <v>-834</v>
      </c>
    </row>
    <row r="67" spans="1:12">
      <c r="A67" s="185" t="s">
        <v>290</v>
      </c>
      <c r="B67" s="187">
        <v>2200</v>
      </c>
      <c r="C67" s="187">
        <v>2582</v>
      </c>
      <c r="D67" s="187">
        <v>868</v>
      </c>
      <c r="E67" s="187">
        <v>2255</v>
      </c>
      <c r="F67" s="187">
        <v>1900</v>
      </c>
      <c r="G67" s="187">
        <v>4398</v>
      </c>
      <c r="H67" s="187">
        <v>4041</v>
      </c>
      <c r="I67" s="187">
        <v>5423</v>
      </c>
      <c r="J67" s="187">
        <v>5667</v>
      </c>
      <c r="K67" s="187">
        <v>5807</v>
      </c>
      <c r="L67" s="187">
        <v>2498</v>
      </c>
    </row>
    <row r="68" spans="1:12">
      <c r="A68" s="175"/>
      <c r="B68" s="175"/>
      <c r="C68" s="175"/>
      <c r="D68" s="175"/>
      <c r="E68" s="175"/>
      <c r="F68" s="175"/>
      <c r="G68" s="175"/>
      <c r="H68" s="175"/>
      <c r="I68" s="175"/>
      <c r="J68" s="175"/>
      <c r="K68" s="175"/>
      <c r="L68" s="175"/>
    </row>
    <row r="69" spans="1:12" ht="12">
      <c r="A69" s="175" t="s">
        <v>291</v>
      </c>
      <c r="B69" s="186">
        <v>200</v>
      </c>
      <c r="C69" s="186">
        <v>200</v>
      </c>
      <c r="D69" s="186">
        <v>200</v>
      </c>
      <c r="E69" s="186">
        <v>200</v>
      </c>
      <c r="F69" s="186">
        <v>200</v>
      </c>
      <c r="G69" s="186">
        <v>200</v>
      </c>
      <c r="H69" s="186">
        <v>200</v>
      </c>
      <c r="I69" s="186">
        <v>200</v>
      </c>
      <c r="J69" s="186" t="s">
        <v>134</v>
      </c>
      <c r="K69" s="186" t="s">
        <v>134</v>
      </c>
      <c r="L69" s="186" t="s">
        <v>134</v>
      </c>
    </row>
    <row r="70" spans="1:12">
      <c r="A70" s="175"/>
      <c r="B70" s="175"/>
      <c r="C70" s="175"/>
      <c r="D70" s="175"/>
      <c r="E70" s="175"/>
      <c r="F70" s="175"/>
      <c r="G70" s="175"/>
      <c r="H70" s="175"/>
      <c r="I70" s="175"/>
      <c r="J70" s="175"/>
      <c r="K70" s="175"/>
      <c r="L70" s="175"/>
    </row>
    <row r="71" spans="1:12">
      <c r="A71" s="185" t="s">
        <v>292</v>
      </c>
      <c r="B71" s="189">
        <v>2400</v>
      </c>
      <c r="C71" s="189">
        <v>2782</v>
      </c>
      <c r="D71" s="189">
        <v>1068</v>
      </c>
      <c r="E71" s="189">
        <v>2455</v>
      </c>
      <c r="F71" s="189">
        <v>2100</v>
      </c>
      <c r="G71" s="189">
        <v>4598</v>
      </c>
      <c r="H71" s="189">
        <v>4241</v>
      </c>
      <c r="I71" s="189">
        <v>5623</v>
      </c>
      <c r="J71" s="189">
        <v>5667</v>
      </c>
      <c r="K71" s="189">
        <v>5807</v>
      </c>
      <c r="L71" s="189">
        <v>2498</v>
      </c>
    </row>
    <row r="72" spans="1:12">
      <c r="A72" s="175"/>
      <c r="B72" s="175"/>
      <c r="C72" s="175"/>
      <c r="D72" s="175"/>
      <c r="E72" s="175"/>
      <c r="F72" s="175"/>
      <c r="G72" s="175"/>
      <c r="H72" s="175"/>
      <c r="I72" s="175"/>
      <c r="J72" s="175"/>
      <c r="K72" s="175"/>
      <c r="L72" s="175"/>
    </row>
    <row r="73" spans="1:12">
      <c r="A73" s="185" t="s">
        <v>293</v>
      </c>
      <c r="B73" s="190">
        <v>10952</v>
      </c>
      <c r="C73" s="190">
        <v>11369</v>
      </c>
      <c r="D73" s="190">
        <v>11136</v>
      </c>
      <c r="E73" s="190">
        <v>11921</v>
      </c>
      <c r="F73" s="190">
        <v>13426</v>
      </c>
      <c r="G73" s="190">
        <v>15376</v>
      </c>
      <c r="H73" s="190">
        <v>16471</v>
      </c>
      <c r="I73" s="190">
        <v>16343</v>
      </c>
      <c r="J73" s="190">
        <v>16681</v>
      </c>
      <c r="K73" s="190">
        <v>18882</v>
      </c>
      <c r="L73" s="190">
        <v>17395</v>
      </c>
    </row>
    <row r="74" spans="1:12">
      <c r="A74" s="175"/>
      <c r="B74" s="175"/>
      <c r="C74" s="175"/>
      <c r="D74" s="175"/>
      <c r="E74" s="175"/>
      <c r="F74" s="175"/>
      <c r="G74" s="175"/>
      <c r="H74" s="175"/>
      <c r="I74" s="175"/>
      <c r="J74" s="175"/>
      <c r="K74" s="175"/>
      <c r="L74" s="175"/>
    </row>
    <row r="75" spans="1:12">
      <c r="A75" s="185" t="s">
        <v>179</v>
      </c>
      <c r="B75" s="175"/>
      <c r="C75" s="175"/>
      <c r="D75" s="175"/>
      <c r="E75" s="175"/>
      <c r="F75" s="175"/>
      <c r="G75" s="175"/>
      <c r="H75" s="175"/>
      <c r="I75" s="175"/>
      <c r="J75" s="175"/>
      <c r="K75" s="175"/>
      <c r="L75" s="175"/>
    </row>
    <row r="76" spans="1:12">
      <c r="A76" s="175" t="s">
        <v>294</v>
      </c>
      <c r="B76" s="186">
        <v>1152.8932669999999</v>
      </c>
      <c r="C76" s="186">
        <v>1.996</v>
      </c>
      <c r="D76" s="186">
        <v>1.996</v>
      </c>
      <c r="E76" s="186">
        <v>2.1440000000000001</v>
      </c>
      <c r="F76" s="186">
        <v>2.1440000000000001</v>
      </c>
      <c r="G76" s="186">
        <v>2.1440000000000001</v>
      </c>
      <c r="H76" s="186">
        <v>2.1440000000000001</v>
      </c>
      <c r="I76" s="186">
        <v>2.1440000000000001</v>
      </c>
      <c r="J76" s="186">
        <v>2.1440000000000001</v>
      </c>
      <c r="K76" s="186">
        <v>2.1440000000000001</v>
      </c>
      <c r="L76" s="186">
        <v>2.1440000000000001</v>
      </c>
    </row>
    <row r="77" spans="1:12">
      <c r="A77" s="175" t="s">
        <v>295</v>
      </c>
      <c r="B77" s="186">
        <v>1152.8932669999999</v>
      </c>
      <c r="C77" s="186">
        <v>1.996</v>
      </c>
      <c r="D77" s="186">
        <v>1.996</v>
      </c>
      <c r="E77" s="186">
        <v>2.1440000000000001</v>
      </c>
      <c r="F77" s="186">
        <v>2.1440000000000001</v>
      </c>
      <c r="G77" s="186">
        <v>2.1440000000000001</v>
      </c>
      <c r="H77" s="186">
        <v>2.1440000000000001</v>
      </c>
      <c r="I77" s="186">
        <v>2.1440000000000001</v>
      </c>
      <c r="J77" s="186">
        <v>2.1440000000000001</v>
      </c>
      <c r="K77" s="186">
        <v>2.1440000000000001</v>
      </c>
      <c r="L77" s="186">
        <v>2.1440000000000001</v>
      </c>
    </row>
    <row r="78" spans="1:12">
      <c r="A78" s="175" t="s">
        <v>296</v>
      </c>
      <c r="B78" s="191">
        <v>1.908242</v>
      </c>
      <c r="C78" s="191">
        <v>1293.587174</v>
      </c>
      <c r="D78" s="191">
        <v>434.86973899999998</v>
      </c>
      <c r="E78" s="191">
        <v>1051.7723880000001</v>
      </c>
      <c r="F78" s="191">
        <v>886.194029</v>
      </c>
      <c r="G78" s="191">
        <v>2051.3059699999999</v>
      </c>
      <c r="H78" s="191">
        <v>1884.794776</v>
      </c>
      <c r="I78" s="191">
        <v>2529.3843280000001</v>
      </c>
      <c r="J78" s="191">
        <v>2643.190298</v>
      </c>
      <c r="K78" s="191">
        <v>2708.488805</v>
      </c>
      <c r="L78" s="191">
        <v>1165.11194</v>
      </c>
    </row>
    <row r="79" spans="1:12">
      <c r="A79" s="175" t="s">
        <v>297</v>
      </c>
      <c r="B79" s="186">
        <v>1914</v>
      </c>
      <c r="C79" s="186">
        <v>2235</v>
      </c>
      <c r="D79" s="186">
        <v>49</v>
      </c>
      <c r="E79" s="186">
        <v>1374</v>
      </c>
      <c r="F79" s="186">
        <v>951</v>
      </c>
      <c r="G79" s="186">
        <v>3417</v>
      </c>
      <c r="H79" s="186">
        <v>3049</v>
      </c>
      <c r="I79" s="186">
        <v>4432</v>
      </c>
      <c r="J79" s="186">
        <v>4600</v>
      </c>
      <c r="K79" s="186">
        <v>4713</v>
      </c>
      <c r="L79" s="186">
        <v>1410</v>
      </c>
    </row>
    <row r="80" spans="1:12">
      <c r="A80" s="175" t="s">
        <v>298</v>
      </c>
      <c r="B80" s="191">
        <v>1.6601710000000001</v>
      </c>
      <c r="C80" s="191">
        <v>1119.739478</v>
      </c>
      <c r="D80" s="191">
        <v>24.549098000000001</v>
      </c>
      <c r="E80" s="191">
        <v>640.85820799999999</v>
      </c>
      <c r="F80" s="191">
        <v>443.56343199999998</v>
      </c>
      <c r="G80" s="191">
        <v>1593.75</v>
      </c>
      <c r="H80" s="191">
        <v>1422.1082080000001</v>
      </c>
      <c r="I80" s="191">
        <v>2067.1641789999999</v>
      </c>
      <c r="J80" s="191">
        <v>2145.5223879999999</v>
      </c>
      <c r="K80" s="191">
        <v>2198.2276109999998</v>
      </c>
      <c r="L80" s="191">
        <v>657.64925300000004</v>
      </c>
    </row>
    <row r="81" spans="1:12">
      <c r="A81" s="175" t="s">
        <v>299</v>
      </c>
      <c r="B81" s="186">
        <v>3953</v>
      </c>
      <c r="C81" s="186">
        <v>3743</v>
      </c>
      <c r="D81" s="186">
        <v>3692</v>
      </c>
      <c r="E81" s="186">
        <v>3818</v>
      </c>
      <c r="F81" s="186">
        <v>4549</v>
      </c>
      <c r="G81" s="186">
        <v>4510</v>
      </c>
      <c r="H81" s="186">
        <v>5150</v>
      </c>
      <c r="I81" s="186">
        <v>4288</v>
      </c>
      <c r="J81" s="186">
        <v>4426</v>
      </c>
      <c r="K81" s="186">
        <v>6310</v>
      </c>
      <c r="L81" s="186">
        <v>7830</v>
      </c>
    </row>
    <row r="82" spans="1:12">
      <c r="A82" s="175" t="s">
        <v>300</v>
      </c>
      <c r="B82" s="186">
        <v>2001</v>
      </c>
      <c r="C82" s="186">
        <v>1914</v>
      </c>
      <c r="D82" s="186">
        <v>2093</v>
      </c>
      <c r="E82" s="186">
        <v>1968</v>
      </c>
      <c r="F82" s="186">
        <v>2026</v>
      </c>
      <c r="G82" s="186">
        <v>2463</v>
      </c>
      <c r="H82" s="186">
        <v>2655</v>
      </c>
      <c r="I82" s="186">
        <v>1492</v>
      </c>
      <c r="J82" s="186">
        <v>1924</v>
      </c>
      <c r="K82" s="186">
        <v>3722</v>
      </c>
      <c r="L82" s="186">
        <v>5712</v>
      </c>
    </row>
    <row r="83" spans="1:12" ht="12">
      <c r="A83" s="175" t="s">
        <v>301</v>
      </c>
      <c r="B83" s="186">
        <v>826</v>
      </c>
      <c r="C83" s="186">
        <v>361</v>
      </c>
      <c r="D83" s="186">
        <v>764</v>
      </c>
      <c r="E83" s="186">
        <v>-55</v>
      </c>
      <c r="F83" s="186">
        <v>-102</v>
      </c>
      <c r="G83" s="186">
        <v>-542</v>
      </c>
      <c r="H83" s="186">
        <v>612</v>
      </c>
      <c r="I83" s="186">
        <v>-731</v>
      </c>
      <c r="J83" s="186">
        <v>-2009</v>
      </c>
      <c r="K83" s="186">
        <v>-775</v>
      </c>
      <c r="L83" s="186" t="s">
        <v>167</v>
      </c>
    </row>
    <row r="84" spans="1:12" ht="12">
      <c r="A84" s="175" t="s">
        <v>302</v>
      </c>
      <c r="B84" s="186" t="s">
        <v>167</v>
      </c>
      <c r="C84" s="186">
        <v>1240</v>
      </c>
      <c r="D84" s="186">
        <v>1496</v>
      </c>
      <c r="E84" s="186">
        <v>1328</v>
      </c>
      <c r="F84" s="186">
        <v>1296</v>
      </c>
      <c r="G84" s="186">
        <v>1512</v>
      </c>
      <c r="H84" s="186">
        <v>2120</v>
      </c>
      <c r="I84" s="186">
        <v>2808</v>
      </c>
      <c r="J84" s="186">
        <v>2872</v>
      </c>
      <c r="K84" s="186">
        <v>320</v>
      </c>
      <c r="L84" s="186" t="s">
        <v>167</v>
      </c>
    </row>
    <row r="85" spans="1:12" ht="12">
      <c r="A85" s="175" t="s">
        <v>303</v>
      </c>
      <c r="B85" s="186">
        <v>200</v>
      </c>
      <c r="C85" s="186">
        <v>200</v>
      </c>
      <c r="D85" s="186">
        <v>200</v>
      </c>
      <c r="E85" s="186">
        <v>200</v>
      </c>
      <c r="F85" s="186">
        <v>200</v>
      </c>
      <c r="G85" s="186">
        <v>200</v>
      </c>
      <c r="H85" s="186">
        <v>200</v>
      </c>
      <c r="I85" s="186">
        <v>200</v>
      </c>
      <c r="J85" s="186" t="s">
        <v>167</v>
      </c>
      <c r="K85" s="186" t="s">
        <v>167</v>
      </c>
      <c r="L85" s="186" t="s">
        <v>167</v>
      </c>
    </row>
    <row r="86" spans="1:12">
      <c r="A86" s="175" t="s">
        <v>304</v>
      </c>
      <c r="B86" s="186">
        <v>244</v>
      </c>
      <c r="C86" s="186">
        <v>232</v>
      </c>
      <c r="D86" s="186">
        <v>174</v>
      </c>
      <c r="E86" s="186">
        <v>115</v>
      </c>
      <c r="F86" s="186">
        <v>76</v>
      </c>
      <c r="G86" s="186">
        <v>1775</v>
      </c>
      <c r="H86" s="186">
        <v>1857</v>
      </c>
      <c r="I86" s="186">
        <v>1577</v>
      </c>
      <c r="J86" s="186">
        <v>1701</v>
      </c>
      <c r="K86" s="186">
        <v>1838</v>
      </c>
      <c r="L86" s="186">
        <v>1731</v>
      </c>
    </row>
    <row r="87" spans="1:12" ht="12">
      <c r="A87" s="175" t="s">
        <v>305</v>
      </c>
      <c r="B87" s="192" t="s">
        <v>306</v>
      </c>
      <c r="C87" s="192" t="s">
        <v>306</v>
      </c>
      <c r="D87" s="192" t="s">
        <v>306</v>
      </c>
      <c r="E87" s="192" t="s">
        <v>306</v>
      </c>
      <c r="F87" s="192" t="s">
        <v>306</v>
      </c>
      <c r="G87" s="192" t="s">
        <v>306</v>
      </c>
      <c r="H87" s="192" t="s">
        <v>306</v>
      </c>
      <c r="I87" s="192" t="s">
        <v>306</v>
      </c>
      <c r="J87" s="192" t="s">
        <v>306</v>
      </c>
      <c r="K87" s="192" t="s">
        <v>306</v>
      </c>
      <c r="L87" s="192" t="s">
        <v>167</v>
      </c>
    </row>
    <row r="88" spans="1:12" ht="12">
      <c r="A88" s="175" t="s">
        <v>307</v>
      </c>
      <c r="B88" s="186">
        <v>98</v>
      </c>
      <c r="C88" s="186" t="s">
        <v>167</v>
      </c>
      <c r="D88" s="186" t="s">
        <v>167</v>
      </c>
      <c r="E88" s="186" t="s">
        <v>167</v>
      </c>
      <c r="F88" s="186" t="s">
        <v>167</v>
      </c>
      <c r="G88" s="186" t="s">
        <v>167</v>
      </c>
      <c r="H88" s="186" t="s">
        <v>167</v>
      </c>
      <c r="I88" s="186" t="s">
        <v>167</v>
      </c>
      <c r="J88" s="186" t="s">
        <v>167</v>
      </c>
      <c r="K88" s="186" t="s">
        <v>167</v>
      </c>
      <c r="L88" s="186" t="s">
        <v>167</v>
      </c>
    </row>
    <row r="89" spans="1:12" ht="12">
      <c r="A89" s="175" t="s">
        <v>308</v>
      </c>
      <c r="B89" s="186">
        <v>12988</v>
      </c>
      <c r="C89" s="186">
        <v>13355</v>
      </c>
      <c r="D89" s="186">
        <v>13992</v>
      </c>
      <c r="E89" s="186">
        <v>14793</v>
      </c>
      <c r="F89" s="186">
        <v>15714</v>
      </c>
      <c r="G89" s="186">
        <v>15784</v>
      </c>
      <c r="H89" s="186">
        <v>15472</v>
      </c>
      <c r="I89" s="186">
        <v>15752</v>
      </c>
      <c r="J89" s="186">
        <v>16083</v>
      </c>
      <c r="K89" s="186">
        <v>11964</v>
      </c>
      <c r="L89" s="186" t="s">
        <v>167</v>
      </c>
    </row>
    <row r="90" spans="1:12" ht="12">
      <c r="A90" s="175" t="s">
        <v>309</v>
      </c>
      <c r="B90" s="193">
        <v>39828</v>
      </c>
      <c r="C90" s="193">
        <v>40252</v>
      </c>
      <c r="D90" s="193">
        <v>43213</v>
      </c>
      <c r="E90" s="193">
        <v>41857</v>
      </c>
      <c r="F90" s="193">
        <v>43120</v>
      </c>
      <c r="G90" s="193">
        <v>43550</v>
      </c>
      <c r="H90" s="193">
        <v>43874</v>
      </c>
      <c r="I90" s="193">
        <v>43125</v>
      </c>
      <c r="J90" s="193">
        <v>42384</v>
      </c>
      <c r="K90" s="193">
        <v>42322</v>
      </c>
      <c r="L90" s="193" t="s">
        <v>167</v>
      </c>
    </row>
    <row r="91" spans="1:12" ht="12">
      <c r="A91" s="175" t="s">
        <v>310</v>
      </c>
      <c r="B91" s="186">
        <v>9</v>
      </c>
      <c r="C91" s="186">
        <v>10</v>
      </c>
      <c r="D91" s="186">
        <v>14</v>
      </c>
      <c r="E91" s="186">
        <v>19</v>
      </c>
      <c r="F91" s="186">
        <v>19</v>
      </c>
      <c r="G91" s="186">
        <v>15</v>
      </c>
      <c r="H91" s="186">
        <v>16</v>
      </c>
      <c r="I91" s="186">
        <v>18</v>
      </c>
      <c r="J91" s="186">
        <v>21</v>
      </c>
      <c r="K91" s="186">
        <v>30</v>
      </c>
      <c r="L91" s="186" t="s">
        <v>167</v>
      </c>
    </row>
    <row r="92" spans="1:12">
      <c r="A92" s="175" t="s">
        <v>192</v>
      </c>
      <c r="B92" s="194">
        <v>40997</v>
      </c>
      <c r="C92" s="194">
        <v>41348</v>
      </c>
      <c r="D92" s="194">
        <v>41718</v>
      </c>
      <c r="E92" s="194">
        <v>42082</v>
      </c>
      <c r="F92" s="194">
        <v>42446</v>
      </c>
      <c r="G92" s="194">
        <v>42810</v>
      </c>
      <c r="H92" s="194">
        <v>43159</v>
      </c>
      <c r="I92" s="194">
        <v>43564</v>
      </c>
      <c r="J92" s="194">
        <v>43888</v>
      </c>
      <c r="K92" s="194">
        <v>43888</v>
      </c>
      <c r="L92" s="194">
        <v>44049</v>
      </c>
    </row>
    <row r="93" spans="1:12" ht="12">
      <c r="A93" s="175" t="s">
        <v>193</v>
      </c>
      <c r="B93" s="192" t="s">
        <v>194</v>
      </c>
      <c r="C93" s="192" t="s">
        <v>194</v>
      </c>
      <c r="D93" s="192" t="s">
        <v>196</v>
      </c>
      <c r="E93" s="192" t="s">
        <v>194</v>
      </c>
      <c r="F93" s="192" t="s">
        <v>194</v>
      </c>
      <c r="G93" s="192" t="s">
        <v>194</v>
      </c>
      <c r="H93" s="192" t="s">
        <v>194</v>
      </c>
      <c r="I93" s="192" t="s">
        <v>196</v>
      </c>
      <c r="J93" s="192" t="s">
        <v>196</v>
      </c>
      <c r="K93" s="192" t="s">
        <v>198</v>
      </c>
      <c r="L93" s="192" t="s">
        <v>198</v>
      </c>
    </row>
    <row r="94" spans="1:12" ht="12">
      <c r="A94" s="175" t="s">
        <v>199</v>
      </c>
      <c r="B94" s="192" t="s">
        <v>201</v>
      </c>
      <c r="C94" s="192" t="s">
        <v>201</v>
      </c>
      <c r="D94" s="192" t="s">
        <v>201</v>
      </c>
      <c r="E94" s="192" t="s">
        <v>201</v>
      </c>
      <c r="F94" s="192" t="s">
        <v>201</v>
      </c>
      <c r="G94" s="192" t="s">
        <v>201</v>
      </c>
      <c r="H94" s="192" t="s">
        <v>201</v>
      </c>
      <c r="I94" s="192" t="s">
        <v>201</v>
      </c>
      <c r="J94" s="192" t="s">
        <v>201</v>
      </c>
      <c r="K94" s="192" t="s">
        <v>201</v>
      </c>
      <c r="L94" s="192" t="s">
        <v>201</v>
      </c>
    </row>
    <row r="95" spans="1:12">
      <c r="A95" s="175"/>
      <c r="B95" s="175"/>
      <c r="C95" s="175"/>
      <c r="D95" s="175"/>
      <c r="E95" s="175"/>
      <c r="F95" s="175"/>
      <c r="G95" s="175"/>
      <c r="H95" s="175"/>
      <c r="I95" s="175"/>
      <c r="J95" s="175"/>
      <c r="K95" s="175"/>
      <c r="L95" s="175"/>
    </row>
    <row r="96" spans="1:12">
      <c r="A96" s="195"/>
      <c r="B96" s="195"/>
      <c r="C96" s="195"/>
      <c r="D96" s="195"/>
      <c r="E96" s="195"/>
      <c r="F96" s="195"/>
      <c r="G96" s="195"/>
      <c r="H96" s="195"/>
      <c r="I96" s="195"/>
      <c r="J96" s="195"/>
      <c r="K96" s="195"/>
      <c r="L96" s="195"/>
    </row>
    <row r="97" spans="1:1">
      <c r="A97" s="172" t="s">
        <v>311</v>
      </c>
    </row>
    <row r="98" spans="1:1">
      <c r="A98" s="196" t="s">
        <v>212</v>
      </c>
    </row>
  </sheetData>
  <pageMargins left="0.2" right="0.2" top="0.5" bottom="0.5" header="0.5" footer="0.5"/>
  <pageSetup fitToWidth="0" fitToHeight="0" orientation="landscape" horizontalDpi="0" verticalDpi="0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0803F-44EE-F04E-8BFA-F9E0E7AB25CE}">
  <dimension ref="A1:BZ13"/>
  <sheetViews>
    <sheetView topLeftCell="BS1" zoomScale="140" zoomScaleNormal="140" workbookViewId="0">
      <selection activeCell="BZ1" sqref="BZ1:BZ12"/>
    </sheetView>
  </sheetViews>
  <sheetFormatPr baseColWidth="10" defaultRowHeight="15"/>
  <sheetData>
    <row r="1" spans="1:78">
      <c r="A1" s="32" t="s">
        <v>213</v>
      </c>
      <c r="B1" s="32" t="s">
        <v>214</v>
      </c>
      <c r="C1" s="32" t="s">
        <v>14</v>
      </c>
      <c r="D1" s="32" t="s">
        <v>128</v>
      </c>
      <c r="E1" s="32" t="s">
        <v>129</v>
      </c>
      <c r="F1" s="32" t="s">
        <v>130</v>
      </c>
      <c r="G1" s="32" t="s">
        <v>131</v>
      </c>
      <c r="H1" s="32" t="s">
        <v>132</v>
      </c>
      <c r="I1" s="32" t="s">
        <v>133</v>
      </c>
      <c r="J1" s="32" t="s">
        <v>135</v>
      </c>
      <c r="K1" s="32" t="s">
        <v>136</v>
      </c>
      <c r="L1" s="32" t="s">
        <v>137</v>
      </c>
      <c r="M1" s="32" t="s">
        <v>138</v>
      </c>
      <c r="N1" s="32" t="s">
        <v>139</v>
      </c>
      <c r="O1" s="32" t="s">
        <v>140</v>
      </c>
      <c r="P1" s="32" t="s">
        <v>141</v>
      </c>
      <c r="Q1" s="32" t="s">
        <v>142</v>
      </c>
      <c r="R1" s="32" t="s">
        <v>143</v>
      </c>
      <c r="S1" s="32" t="s">
        <v>144</v>
      </c>
      <c r="T1" s="32" t="s">
        <v>145</v>
      </c>
      <c r="U1" s="32" t="s">
        <v>146</v>
      </c>
      <c r="V1" s="32" t="s">
        <v>147</v>
      </c>
      <c r="W1" s="32" t="s">
        <v>148</v>
      </c>
      <c r="X1" s="32" t="s">
        <v>149</v>
      </c>
      <c r="Y1" s="32" t="s">
        <v>150</v>
      </c>
      <c r="Z1" s="32" t="s">
        <v>151</v>
      </c>
      <c r="AA1" s="32" t="s">
        <v>152</v>
      </c>
      <c r="AB1" s="32" t="s">
        <v>153</v>
      </c>
      <c r="AC1" s="32" t="s">
        <v>154</v>
      </c>
      <c r="AD1" s="32" t="s">
        <v>155</v>
      </c>
      <c r="AE1" s="32" t="s">
        <v>156</v>
      </c>
      <c r="AF1" s="32" t="s">
        <v>157</v>
      </c>
      <c r="AG1" s="32" t="s">
        <v>158</v>
      </c>
      <c r="AH1" s="32" t="s">
        <v>159</v>
      </c>
      <c r="AI1" s="32" t="s">
        <v>160</v>
      </c>
      <c r="AJ1" s="32" t="s">
        <v>161</v>
      </c>
      <c r="AK1" s="32" t="s">
        <v>162</v>
      </c>
      <c r="AL1" s="32" t="s">
        <v>163</v>
      </c>
      <c r="AM1" s="32" t="s">
        <v>164</v>
      </c>
      <c r="AN1" s="32" t="s">
        <v>166</v>
      </c>
      <c r="AO1" s="32" t="s">
        <v>168</v>
      </c>
      <c r="AP1" s="32" t="s">
        <v>169</v>
      </c>
      <c r="AQ1" s="32" t="s">
        <v>170</v>
      </c>
      <c r="AR1" s="32" t="s">
        <v>171</v>
      </c>
      <c r="AS1" s="32" t="s">
        <v>172</v>
      </c>
      <c r="AT1" s="32" t="s">
        <v>173</v>
      </c>
      <c r="AU1" s="32" t="s">
        <v>174</v>
      </c>
      <c r="AV1" s="32" t="s">
        <v>175</v>
      </c>
      <c r="AW1" s="32" t="s">
        <v>176</v>
      </c>
      <c r="AX1" s="32" t="s">
        <v>178</v>
      </c>
      <c r="AY1" s="32" t="s">
        <v>16</v>
      </c>
      <c r="AZ1" s="32" t="s">
        <v>180</v>
      </c>
      <c r="BA1" s="32" t="s">
        <v>18</v>
      </c>
      <c r="BB1" s="32" t="s">
        <v>181</v>
      </c>
      <c r="BC1" s="32" t="s">
        <v>182</v>
      </c>
      <c r="BD1" s="32" t="s">
        <v>183</v>
      </c>
      <c r="BE1" s="32" t="s">
        <v>184</v>
      </c>
      <c r="BF1" s="32" t="s">
        <v>185</v>
      </c>
      <c r="BG1" s="32" t="s">
        <v>186</v>
      </c>
      <c r="BH1" s="32" t="s">
        <v>187</v>
      </c>
      <c r="BI1" s="32" t="s">
        <v>188</v>
      </c>
      <c r="BJ1" s="32" t="s">
        <v>189</v>
      </c>
      <c r="BK1" s="32" t="s">
        <v>190</v>
      </c>
      <c r="BL1" s="32" t="s">
        <v>191</v>
      </c>
      <c r="BM1" s="32" t="s">
        <v>192</v>
      </c>
      <c r="BN1" s="32" t="s">
        <v>193</v>
      </c>
      <c r="BO1" s="32" t="s">
        <v>199</v>
      </c>
      <c r="BP1" s="32" t="s">
        <v>203</v>
      </c>
      <c r="BQ1" s="32" t="s">
        <v>204</v>
      </c>
      <c r="BR1" s="32" t="s">
        <v>205</v>
      </c>
      <c r="BS1" s="32" t="s">
        <v>206</v>
      </c>
      <c r="BT1" s="32" t="s">
        <v>207</v>
      </c>
      <c r="BU1" s="32" t="s">
        <v>208</v>
      </c>
      <c r="BV1" s="32" t="s">
        <v>209</v>
      </c>
      <c r="BW1" s="32" t="s">
        <v>258</v>
      </c>
      <c r="BX1" s="32" t="s">
        <v>277</v>
      </c>
      <c r="BY1" s="32" t="s">
        <v>313</v>
      </c>
      <c r="BZ1" s="32" t="s">
        <v>314</v>
      </c>
    </row>
    <row r="2" spans="1:78">
      <c r="A2" t="s">
        <v>226</v>
      </c>
      <c r="B2" s="158" t="s">
        <v>215</v>
      </c>
      <c r="C2" s="160">
        <v>8482.664546</v>
      </c>
      <c r="D2" s="160">
        <v>427.99989299999999</v>
      </c>
      <c r="E2" s="160">
        <v>8910.6644390000001</v>
      </c>
      <c r="F2" s="160">
        <v>7439.9981399999997</v>
      </c>
      <c r="G2" s="160">
        <v>1470.666299</v>
      </c>
      <c r="H2" s="160">
        <v>313.33325500000001</v>
      </c>
      <c r="I2" s="160" t="s">
        <v>134</v>
      </c>
      <c r="J2" s="160">
        <v>722.66648599999996</v>
      </c>
      <c r="K2" s="160">
        <v>2.6666660000000002</v>
      </c>
      <c r="L2" s="160">
        <v>1038.6664069999999</v>
      </c>
      <c r="M2" s="160">
        <v>431.99989199999999</v>
      </c>
      <c r="N2" s="160">
        <v>-150.69999999999999</v>
      </c>
      <c r="O2" s="160">
        <v>23.999994000000001</v>
      </c>
      <c r="P2" s="160">
        <v>-126.7</v>
      </c>
      <c r="Q2" s="160">
        <v>7.9999979999999997</v>
      </c>
      <c r="R2" s="160">
        <v>-13.3</v>
      </c>
      <c r="S2" s="160">
        <v>-17.3</v>
      </c>
      <c r="T2" s="160">
        <v>282.66659600000003</v>
      </c>
      <c r="U2" s="160">
        <v>-8</v>
      </c>
      <c r="V2" s="160" t="s">
        <v>134</v>
      </c>
      <c r="W2" s="160" t="s">
        <v>134</v>
      </c>
      <c r="X2" s="160">
        <v>-24</v>
      </c>
      <c r="Y2" s="160">
        <v>-4</v>
      </c>
      <c r="Z2" s="160">
        <v>-37.299999999999997</v>
      </c>
      <c r="AA2" s="160" t="s">
        <v>134</v>
      </c>
      <c r="AB2" s="160" t="s">
        <v>134</v>
      </c>
      <c r="AC2" s="160">
        <v>209.333281</v>
      </c>
      <c r="AD2" s="160">
        <v>-17.3</v>
      </c>
      <c r="AE2" s="160">
        <v>226.66660999999999</v>
      </c>
      <c r="AF2" s="160" t="s">
        <v>134</v>
      </c>
      <c r="AG2" s="160" t="s">
        <v>134</v>
      </c>
      <c r="AH2" s="160">
        <v>226.66660999999999</v>
      </c>
      <c r="AI2" s="160">
        <v>-17.3</v>
      </c>
      <c r="AJ2" s="160">
        <v>209.333281</v>
      </c>
      <c r="AK2" s="160" t="s">
        <v>134</v>
      </c>
      <c r="AL2" s="160">
        <v>209.333281</v>
      </c>
      <c r="AM2" s="160">
        <v>209.333281</v>
      </c>
      <c r="AN2" s="160" t="s">
        <v>167</v>
      </c>
      <c r="AO2" s="160" t="s">
        <v>167</v>
      </c>
      <c r="AP2" s="160" t="s">
        <v>167</v>
      </c>
      <c r="AQ2" s="160" t="s">
        <v>167</v>
      </c>
      <c r="AR2" s="160" t="s">
        <v>167</v>
      </c>
      <c r="AS2" s="160" t="s">
        <v>167</v>
      </c>
      <c r="AT2" s="160" t="s">
        <v>167</v>
      </c>
      <c r="AU2" s="160" t="s">
        <v>167</v>
      </c>
      <c r="AV2" s="160" t="s">
        <v>167</v>
      </c>
      <c r="AW2" s="160" t="s">
        <v>167</v>
      </c>
      <c r="AX2" s="160">
        <v>5</v>
      </c>
      <c r="AY2" s="160">
        <v>1145.3330470000001</v>
      </c>
      <c r="AZ2" s="160">
        <v>431.99989199999999</v>
      </c>
      <c r="BA2" s="160">
        <v>431.99989199999999</v>
      </c>
      <c r="BB2" s="160" t="s">
        <v>167</v>
      </c>
      <c r="BC2" s="160">
        <v>8910.6644390000001</v>
      </c>
      <c r="BD2" s="166" t="s">
        <v>177</v>
      </c>
      <c r="BE2" s="160">
        <v>7.9999979999999997</v>
      </c>
      <c r="BF2" s="160" t="s">
        <v>167</v>
      </c>
      <c r="BG2" s="160">
        <v>7.9999979999999997</v>
      </c>
      <c r="BH2" s="160">
        <v>-25.3</v>
      </c>
      <c r="BI2" s="160">
        <v>159.333294</v>
      </c>
      <c r="BJ2" s="160" t="s">
        <v>167</v>
      </c>
      <c r="BK2" s="160" t="s">
        <v>167</v>
      </c>
      <c r="BL2" s="160" t="s">
        <v>134</v>
      </c>
      <c r="BM2" s="160">
        <v>40997</v>
      </c>
      <c r="BN2" s="160" t="s">
        <v>194</v>
      </c>
      <c r="BO2" s="160" t="s">
        <v>200</v>
      </c>
      <c r="BP2" s="160"/>
      <c r="BQ2" s="160">
        <v>313.33325500000001</v>
      </c>
      <c r="BR2" s="160" t="s">
        <v>167</v>
      </c>
      <c r="BS2" s="160" t="s">
        <v>134</v>
      </c>
      <c r="BT2" s="160" t="s">
        <v>134</v>
      </c>
      <c r="BU2" s="160">
        <v>7.9999979999999997</v>
      </c>
      <c r="BV2" s="160">
        <v>7.9999979999999997</v>
      </c>
      <c r="BW2">
        <v>2826</v>
      </c>
      <c r="BX2">
        <v>3575</v>
      </c>
      <c r="BY2">
        <f>BW2-BX2</f>
        <v>-749</v>
      </c>
      <c r="BZ2" s="167">
        <f>BY2/C2</f>
        <v>-8.8297727198606582E-2</v>
      </c>
    </row>
    <row r="3" spans="1:78">
      <c r="A3" t="s">
        <v>227</v>
      </c>
      <c r="B3" s="158" t="s">
        <v>216</v>
      </c>
      <c r="C3" s="160">
        <v>9460</v>
      </c>
      <c r="D3" s="160">
        <v>527</v>
      </c>
      <c r="E3" s="160">
        <v>9987</v>
      </c>
      <c r="F3" s="160">
        <v>8162</v>
      </c>
      <c r="G3" s="160">
        <v>1825</v>
      </c>
      <c r="H3" s="160">
        <v>436</v>
      </c>
      <c r="I3" s="160" t="s">
        <v>134</v>
      </c>
      <c r="J3" s="160">
        <v>691</v>
      </c>
      <c r="K3" s="160">
        <v>11</v>
      </c>
      <c r="L3" s="160">
        <v>1138</v>
      </c>
      <c r="M3" s="160">
        <v>687</v>
      </c>
      <c r="N3" s="160">
        <v>-151</v>
      </c>
      <c r="O3" s="160">
        <v>32</v>
      </c>
      <c r="P3" s="160">
        <v>-119</v>
      </c>
      <c r="Q3" s="160">
        <v>-6</v>
      </c>
      <c r="R3" s="160">
        <v>-10</v>
      </c>
      <c r="S3" s="160">
        <v>158</v>
      </c>
      <c r="T3" s="160">
        <v>710</v>
      </c>
      <c r="U3" s="160">
        <v>-12</v>
      </c>
      <c r="V3" s="160">
        <v>-3</v>
      </c>
      <c r="W3" s="160" t="s">
        <v>134</v>
      </c>
      <c r="X3" s="160">
        <v>-21</v>
      </c>
      <c r="Y3" s="160">
        <v>-3</v>
      </c>
      <c r="Z3" s="160">
        <v>8</v>
      </c>
      <c r="AA3" s="160" t="s">
        <v>134</v>
      </c>
      <c r="AB3" s="160" t="s">
        <v>134</v>
      </c>
      <c r="AC3" s="160">
        <v>679</v>
      </c>
      <c r="AD3" s="160">
        <v>7</v>
      </c>
      <c r="AE3" s="160">
        <v>672</v>
      </c>
      <c r="AF3" s="160" t="s">
        <v>134</v>
      </c>
      <c r="AG3" s="160" t="s">
        <v>134</v>
      </c>
      <c r="AH3" s="160">
        <v>672</v>
      </c>
      <c r="AI3" s="160">
        <v>-18</v>
      </c>
      <c r="AJ3" s="160">
        <v>654</v>
      </c>
      <c r="AK3" s="160" t="s">
        <v>134</v>
      </c>
      <c r="AL3" s="160">
        <v>654</v>
      </c>
      <c r="AM3" s="160">
        <v>654</v>
      </c>
      <c r="AN3" s="160">
        <v>327.65530999999999</v>
      </c>
      <c r="AO3" s="160">
        <v>327.65530999999999</v>
      </c>
      <c r="AP3" s="160">
        <v>1.996</v>
      </c>
      <c r="AQ3" s="160">
        <v>327.65530999999999</v>
      </c>
      <c r="AR3" s="160">
        <v>327.65530999999999</v>
      </c>
      <c r="AS3" s="160">
        <v>1.996</v>
      </c>
      <c r="AT3" s="160">
        <v>213.301603</v>
      </c>
      <c r="AU3" s="160">
        <v>213.301603</v>
      </c>
      <c r="AV3" s="160" t="s">
        <v>167</v>
      </c>
      <c r="AW3" s="160" t="s">
        <v>167</v>
      </c>
      <c r="AX3" s="160">
        <v>5</v>
      </c>
      <c r="AY3" s="160">
        <v>1368</v>
      </c>
      <c r="AZ3" s="160">
        <v>687</v>
      </c>
      <c r="BA3" s="160">
        <v>687</v>
      </c>
      <c r="BB3" s="160">
        <v>1523</v>
      </c>
      <c r="BC3" s="160">
        <v>9987</v>
      </c>
      <c r="BD3" s="166">
        <v>1.0309E-2</v>
      </c>
      <c r="BE3" s="160">
        <v>17</v>
      </c>
      <c r="BF3" s="160">
        <v>-9</v>
      </c>
      <c r="BG3" s="160">
        <v>8</v>
      </c>
      <c r="BH3" s="160">
        <v>-1</v>
      </c>
      <c r="BI3" s="160">
        <v>425.75</v>
      </c>
      <c r="BJ3" s="160">
        <v>1</v>
      </c>
      <c r="BK3" s="160">
        <v>152</v>
      </c>
      <c r="BL3" s="160">
        <v>-160</v>
      </c>
      <c r="BM3" s="160">
        <v>41348</v>
      </c>
      <c r="BN3" s="160" t="s">
        <v>195</v>
      </c>
      <c r="BO3" s="160" t="s">
        <v>201</v>
      </c>
      <c r="BP3" s="160"/>
      <c r="BQ3" s="160">
        <v>436</v>
      </c>
      <c r="BR3" s="160">
        <v>155</v>
      </c>
      <c r="BS3" s="160">
        <v>48.98124</v>
      </c>
      <c r="BT3" s="160">
        <v>106.01876</v>
      </c>
      <c r="BU3" s="160">
        <v>13</v>
      </c>
      <c r="BV3" s="160">
        <v>13</v>
      </c>
      <c r="BW3">
        <v>2774</v>
      </c>
      <c r="BX3">
        <v>3683</v>
      </c>
      <c r="BY3">
        <f t="shared" ref="BY3:BY12" si="0">BW3-BX3</f>
        <v>-909</v>
      </c>
      <c r="BZ3" s="167">
        <f t="shared" ref="BZ3:BZ12" si="1">BY3/C3</f>
        <v>-9.6088794926004223E-2</v>
      </c>
    </row>
    <row r="4" spans="1:78">
      <c r="A4" t="s">
        <v>228</v>
      </c>
      <c r="B4" s="158" t="s">
        <v>217</v>
      </c>
      <c r="C4" s="160">
        <v>10236</v>
      </c>
      <c r="D4" s="160">
        <v>591</v>
      </c>
      <c r="E4" s="160">
        <v>10827</v>
      </c>
      <c r="F4" s="160">
        <v>9367</v>
      </c>
      <c r="G4" s="160">
        <v>1460</v>
      </c>
      <c r="H4" s="160">
        <v>466</v>
      </c>
      <c r="I4" s="160" t="s">
        <v>134</v>
      </c>
      <c r="J4" s="160">
        <v>705</v>
      </c>
      <c r="K4" s="160">
        <v>-8</v>
      </c>
      <c r="L4" s="160">
        <v>1163</v>
      </c>
      <c r="M4" s="160">
        <v>297</v>
      </c>
      <c r="N4" s="160">
        <v>-167</v>
      </c>
      <c r="O4" s="160">
        <v>25</v>
      </c>
      <c r="P4" s="160">
        <v>-142</v>
      </c>
      <c r="Q4" s="160">
        <v>-66</v>
      </c>
      <c r="R4" s="160">
        <v>7</v>
      </c>
      <c r="S4" s="160">
        <v>-17</v>
      </c>
      <c r="T4" s="160">
        <v>79</v>
      </c>
      <c r="U4" s="160">
        <v>-36</v>
      </c>
      <c r="V4" s="160">
        <v>-71</v>
      </c>
      <c r="W4" s="160">
        <v>58</v>
      </c>
      <c r="X4" s="160">
        <v>-1</v>
      </c>
      <c r="Y4" s="160">
        <v>-3</v>
      </c>
      <c r="Z4" s="160">
        <v>-15</v>
      </c>
      <c r="AA4" s="160" t="s">
        <v>134</v>
      </c>
      <c r="AB4" s="160">
        <v>30</v>
      </c>
      <c r="AC4" s="160">
        <v>41</v>
      </c>
      <c r="AD4" s="160">
        <v>-73</v>
      </c>
      <c r="AE4" s="160">
        <v>114</v>
      </c>
      <c r="AF4" s="160">
        <v>-30</v>
      </c>
      <c r="AG4" s="160" t="s">
        <v>134</v>
      </c>
      <c r="AH4" s="160">
        <v>84</v>
      </c>
      <c r="AI4" s="160">
        <v>-16</v>
      </c>
      <c r="AJ4" s="160">
        <v>68</v>
      </c>
      <c r="AK4" s="160" t="s">
        <v>134</v>
      </c>
      <c r="AL4" s="160">
        <v>68</v>
      </c>
      <c r="AM4" s="160">
        <v>98</v>
      </c>
      <c r="AN4" s="160">
        <v>34.068136000000003</v>
      </c>
      <c r="AO4" s="160">
        <v>49.098196000000002</v>
      </c>
      <c r="AP4" s="160">
        <v>1.996</v>
      </c>
      <c r="AQ4" s="160">
        <v>34.068136000000003</v>
      </c>
      <c r="AR4" s="160">
        <v>49.098196000000002</v>
      </c>
      <c r="AS4" s="160">
        <v>1.996</v>
      </c>
      <c r="AT4" s="160">
        <v>16.720941</v>
      </c>
      <c r="AU4" s="160">
        <v>16.720941</v>
      </c>
      <c r="AV4" s="160" t="s">
        <v>167</v>
      </c>
      <c r="AW4" s="160" t="s">
        <v>167</v>
      </c>
      <c r="AX4" s="160">
        <v>5</v>
      </c>
      <c r="AY4" s="160">
        <v>994</v>
      </c>
      <c r="AZ4" s="160">
        <v>298</v>
      </c>
      <c r="BA4" s="160">
        <v>297</v>
      </c>
      <c r="BB4" s="160">
        <v>1181</v>
      </c>
      <c r="BC4" s="160">
        <v>10827</v>
      </c>
      <c r="BD4" s="166" t="s">
        <v>177</v>
      </c>
      <c r="BE4" s="160">
        <v>-1</v>
      </c>
      <c r="BF4" s="160">
        <v>1</v>
      </c>
      <c r="BG4" s="160">
        <v>0</v>
      </c>
      <c r="BH4" s="160">
        <v>-73</v>
      </c>
      <c r="BI4" s="160">
        <v>33.375</v>
      </c>
      <c r="BJ4" s="160">
        <v>3</v>
      </c>
      <c r="BK4" s="160">
        <v>170</v>
      </c>
      <c r="BL4" s="160">
        <v>35</v>
      </c>
      <c r="BM4" s="160">
        <v>41718</v>
      </c>
      <c r="BN4" s="160" t="s">
        <v>196</v>
      </c>
      <c r="BO4" s="160" t="s">
        <v>201</v>
      </c>
      <c r="BP4" s="160"/>
      <c r="BQ4" s="160">
        <v>466</v>
      </c>
      <c r="BR4" s="160">
        <v>187</v>
      </c>
      <c r="BS4" s="160">
        <v>68.410584</v>
      </c>
      <c r="BT4" s="160">
        <v>118.589416</v>
      </c>
      <c r="BU4" s="160">
        <v>15</v>
      </c>
      <c r="BV4" s="160">
        <v>15</v>
      </c>
      <c r="BW4">
        <v>2636</v>
      </c>
      <c r="BX4">
        <v>4398</v>
      </c>
      <c r="BY4">
        <f t="shared" si="0"/>
        <v>-1762</v>
      </c>
      <c r="BZ4" s="167">
        <f t="shared" si="1"/>
        <v>-0.17213755373192655</v>
      </c>
    </row>
    <row r="5" spans="1:78">
      <c r="A5" t="s">
        <v>229</v>
      </c>
      <c r="B5" s="158" t="s">
        <v>218</v>
      </c>
      <c r="C5" s="160">
        <v>10818</v>
      </c>
      <c r="D5" s="160">
        <v>603</v>
      </c>
      <c r="E5" s="160">
        <v>11421</v>
      </c>
      <c r="F5" s="160">
        <v>9621</v>
      </c>
      <c r="G5" s="160">
        <v>1800</v>
      </c>
      <c r="H5" s="160">
        <v>439</v>
      </c>
      <c r="I5" s="160" t="s">
        <v>134</v>
      </c>
      <c r="J5" s="160">
        <v>706</v>
      </c>
      <c r="K5" s="160">
        <v>-17</v>
      </c>
      <c r="L5" s="160">
        <v>1128</v>
      </c>
      <c r="M5" s="160">
        <v>672</v>
      </c>
      <c r="N5" s="160">
        <v>-166</v>
      </c>
      <c r="O5" s="160">
        <v>13</v>
      </c>
      <c r="P5" s="160">
        <v>-153</v>
      </c>
      <c r="Q5" s="160">
        <v>-65</v>
      </c>
      <c r="R5" s="160">
        <v>-24</v>
      </c>
      <c r="S5" s="160">
        <v>-174</v>
      </c>
      <c r="T5" s="160">
        <v>256</v>
      </c>
      <c r="U5" s="160">
        <v>-5</v>
      </c>
      <c r="V5" s="160" t="s">
        <v>134</v>
      </c>
      <c r="W5" s="160" t="s">
        <v>134</v>
      </c>
      <c r="X5" s="160">
        <v>8</v>
      </c>
      <c r="Y5" s="160" t="s">
        <v>134</v>
      </c>
      <c r="Z5" s="160">
        <v>-16</v>
      </c>
      <c r="AA5" s="160" t="s">
        <v>134</v>
      </c>
      <c r="AB5" s="160">
        <v>57</v>
      </c>
      <c r="AC5" s="160">
        <v>300</v>
      </c>
      <c r="AD5" s="160">
        <v>16</v>
      </c>
      <c r="AE5" s="160">
        <v>284</v>
      </c>
      <c r="AF5" s="160">
        <v>-3</v>
      </c>
      <c r="AG5" s="160" t="s">
        <v>134</v>
      </c>
      <c r="AH5" s="160">
        <v>281</v>
      </c>
      <c r="AI5" s="160">
        <v>-17</v>
      </c>
      <c r="AJ5" s="160">
        <v>264</v>
      </c>
      <c r="AK5" s="160" t="s">
        <v>134</v>
      </c>
      <c r="AL5" s="160">
        <v>264</v>
      </c>
      <c r="AM5" s="160">
        <v>267</v>
      </c>
      <c r="AN5" s="160">
        <v>123.134328</v>
      </c>
      <c r="AO5" s="160">
        <v>124.533582</v>
      </c>
      <c r="AP5" s="160">
        <v>2.1440000000000001</v>
      </c>
      <c r="AQ5" s="160">
        <v>123.134328</v>
      </c>
      <c r="AR5" s="160">
        <v>124.533582</v>
      </c>
      <c r="AS5" s="160">
        <v>2.1440000000000001</v>
      </c>
      <c r="AT5" s="160">
        <v>66.697761</v>
      </c>
      <c r="AU5" s="160">
        <v>66.697761</v>
      </c>
      <c r="AV5" s="160" t="s">
        <v>167</v>
      </c>
      <c r="AW5" s="160" t="s">
        <v>167</v>
      </c>
      <c r="AX5" s="160">
        <v>5</v>
      </c>
      <c r="AY5" s="160">
        <v>1370</v>
      </c>
      <c r="AZ5" s="160">
        <v>672</v>
      </c>
      <c r="BA5" s="160">
        <v>672</v>
      </c>
      <c r="BB5" s="160">
        <v>1536</v>
      </c>
      <c r="BC5" s="160">
        <v>11421</v>
      </c>
      <c r="BD5" s="166">
        <v>5.3332999999999998E-2</v>
      </c>
      <c r="BE5" s="160">
        <v>55</v>
      </c>
      <c r="BF5" s="160">
        <v>1</v>
      </c>
      <c r="BG5" s="160">
        <v>56</v>
      </c>
      <c r="BH5" s="160">
        <v>-40</v>
      </c>
      <c r="BI5" s="160">
        <v>143</v>
      </c>
      <c r="BJ5" s="160">
        <v>4</v>
      </c>
      <c r="BK5" s="160">
        <v>170</v>
      </c>
      <c r="BL5" s="160">
        <v>-98</v>
      </c>
      <c r="BM5" s="160">
        <v>42082</v>
      </c>
      <c r="BN5" s="160" t="s">
        <v>194</v>
      </c>
      <c r="BO5" s="160" t="s">
        <v>201</v>
      </c>
      <c r="BP5" s="160"/>
      <c r="BQ5" s="160">
        <v>439</v>
      </c>
      <c r="BR5" s="160">
        <v>166</v>
      </c>
      <c r="BS5" s="160">
        <v>60.121215999999997</v>
      </c>
      <c r="BT5" s="160">
        <v>105.878784</v>
      </c>
      <c r="BU5" s="160">
        <v>14</v>
      </c>
      <c r="BV5" s="160">
        <v>14</v>
      </c>
      <c r="BW5">
        <v>2925</v>
      </c>
      <c r="BX5">
        <v>4627</v>
      </c>
      <c r="BY5">
        <f t="shared" si="0"/>
        <v>-1702</v>
      </c>
      <c r="BZ5" s="167">
        <f t="shared" si="1"/>
        <v>-0.15733037530042521</v>
      </c>
    </row>
    <row r="6" spans="1:78">
      <c r="A6" t="s">
        <v>230</v>
      </c>
      <c r="B6" s="158" t="s">
        <v>219</v>
      </c>
      <c r="C6" s="160">
        <v>11050</v>
      </c>
      <c r="D6" s="160">
        <v>669</v>
      </c>
      <c r="E6" s="160">
        <v>11719</v>
      </c>
      <c r="F6" s="160">
        <v>9391</v>
      </c>
      <c r="G6" s="160">
        <v>2328</v>
      </c>
      <c r="H6" s="160">
        <v>449</v>
      </c>
      <c r="I6" s="160" t="s">
        <v>134</v>
      </c>
      <c r="J6" s="160">
        <v>831</v>
      </c>
      <c r="K6" s="160">
        <v>37</v>
      </c>
      <c r="L6" s="160">
        <v>1317</v>
      </c>
      <c r="M6" s="160">
        <v>1011</v>
      </c>
      <c r="N6" s="160">
        <v>-139</v>
      </c>
      <c r="O6" s="160">
        <v>17</v>
      </c>
      <c r="P6" s="160">
        <v>-122</v>
      </c>
      <c r="Q6" s="160">
        <v>39</v>
      </c>
      <c r="R6" s="160">
        <v>-37</v>
      </c>
      <c r="S6" s="160">
        <v>-3</v>
      </c>
      <c r="T6" s="160">
        <v>888</v>
      </c>
      <c r="U6" s="160">
        <v>-39</v>
      </c>
      <c r="V6" s="160" t="s">
        <v>134</v>
      </c>
      <c r="W6" s="160" t="s">
        <v>134</v>
      </c>
      <c r="X6" s="160">
        <v>10</v>
      </c>
      <c r="Y6" s="160" t="s">
        <v>134</v>
      </c>
      <c r="Z6" s="160" t="s">
        <v>134</v>
      </c>
      <c r="AA6" s="160" t="s">
        <v>134</v>
      </c>
      <c r="AB6" s="160" t="s">
        <v>134</v>
      </c>
      <c r="AC6" s="160">
        <v>859</v>
      </c>
      <c r="AD6" s="160">
        <v>157</v>
      </c>
      <c r="AE6" s="160">
        <v>702</v>
      </c>
      <c r="AF6" s="160" t="s">
        <v>134</v>
      </c>
      <c r="AG6" s="160" t="s">
        <v>134</v>
      </c>
      <c r="AH6" s="160">
        <v>702</v>
      </c>
      <c r="AI6" s="160">
        <v>-16</v>
      </c>
      <c r="AJ6" s="160">
        <v>686</v>
      </c>
      <c r="AK6" s="160" t="s">
        <v>134</v>
      </c>
      <c r="AL6" s="160">
        <v>686</v>
      </c>
      <c r="AM6" s="160">
        <v>686</v>
      </c>
      <c r="AN6" s="160">
        <v>319.96268600000002</v>
      </c>
      <c r="AO6" s="160">
        <v>319.96268600000002</v>
      </c>
      <c r="AP6" s="160">
        <v>2.1440000000000001</v>
      </c>
      <c r="AQ6" s="160">
        <v>319.96268600000002</v>
      </c>
      <c r="AR6" s="160">
        <v>319.96268600000002</v>
      </c>
      <c r="AS6" s="160">
        <v>2.1440000000000001</v>
      </c>
      <c r="AT6" s="160">
        <v>251.39925299999999</v>
      </c>
      <c r="AU6" s="160">
        <v>251.39925299999999</v>
      </c>
      <c r="AV6" s="160" t="s">
        <v>167</v>
      </c>
      <c r="AW6" s="160" t="s">
        <v>167</v>
      </c>
      <c r="AX6" s="160">
        <v>5</v>
      </c>
      <c r="AY6" s="160">
        <v>1830</v>
      </c>
      <c r="AZ6" s="160">
        <v>1011</v>
      </c>
      <c r="BA6" s="160">
        <v>1011</v>
      </c>
      <c r="BB6" s="160">
        <v>1992</v>
      </c>
      <c r="BC6" s="160">
        <v>11719</v>
      </c>
      <c r="BD6" s="166">
        <v>0.18276999999999999</v>
      </c>
      <c r="BE6" s="160">
        <v>124</v>
      </c>
      <c r="BF6" s="160">
        <v>1</v>
      </c>
      <c r="BG6" s="160">
        <v>125</v>
      </c>
      <c r="BH6" s="160">
        <v>32</v>
      </c>
      <c r="BI6" s="160">
        <v>539</v>
      </c>
      <c r="BJ6" s="160">
        <v>2</v>
      </c>
      <c r="BK6" s="160">
        <v>141</v>
      </c>
      <c r="BL6" s="160">
        <v>3</v>
      </c>
      <c r="BM6" s="160">
        <v>42446</v>
      </c>
      <c r="BN6" s="160" t="s">
        <v>194</v>
      </c>
      <c r="BO6" s="160" t="s">
        <v>201</v>
      </c>
      <c r="BP6" s="160"/>
      <c r="BQ6" s="160">
        <v>449</v>
      </c>
      <c r="BR6" s="160">
        <v>162</v>
      </c>
      <c r="BS6" s="160">
        <v>43.679088</v>
      </c>
      <c r="BT6" s="160">
        <v>118.32091200000001</v>
      </c>
      <c r="BU6" s="160">
        <v>11</v>
      </c>
      <c r="BV6" s="160">
        <v>11</v>
      </c>
      <c r="BW6">
        <v>3588</v>
      </c>
      <c r="BX6">
        <v>5502</v>
      </c>
      <c r="BY6">
        <f t="shared" si="0"/>
        <v>-1914</v>
      </c>
      <c r="BZ6" s="167">
        <f t="shared" si="1"/>
        <v>-0.17321266968325791</v>
      </c>
    </row>
    <row r="7" spans="1:78">
      <c r="A7" t="s">
        <v>231</v>
      </c>
      <c r="B7" s="158" t="s">
        <v>220</v>
      </c>
      <c r="C7" s="160">
        <v>10826</v>
      </c>
      <c r="D7" s="160">
        <v>507</v>
      </c>
      <c r="E7" s="160">
        <v>11333</v>
      </c>
      <c r="F7" s="160">
        <v>8829</v>
      </c>
      <c r="G7" s="160">
        <v>2504</v>
      </c>
      <c r="H7" s="160">
        <v>415</v>
      </c>
      <c r="I7" s="160" t="s">
        <v>134</v>
      </c>
      <c r="J7" s="160">
        <v>757</v>
      </c>
      <c r="K7" s="160">
        <v>121</v>
      </c>
      <c r="L7" s="160">
        <v>1293</v>
      </c>
      <c r="M7" s="160">
        <v>1211</v>
      </c>
      <c r="N7" s="160">
        <v>-146</v>
      </c>
      <c r="O7" s="160">
        <v>24</v>
      </c>
      <c r="P7" s="160">
        <v>-122</v>
      </c>
      <c r="Q7" s="160">
        <v>149</v>
      </c>
      <c r="R7" s="160">
        <v>-58</v>
      </c>
      <c r="S7" s="160">
        <v>-2</v>
      </c>
      <c r="T7" s="160">
        <v>1178</v>
      </c>
      <c r="U7" s="160">
        <v>-27</v>
      </c>
      <c r="V7" s="160" t="s">
        <v>134</v>
      </c>
      <c r="W7" s="160" t="s">
        <v>134</v>
      </c>
      <c r="X7" s="160">
        <v>4</v>
      </c>
      <c r="Y7" s="160">
        <v>1502</v>
      </c>
      <c r="Z7" s="160">
        <v>-4</v>
      </c>
      <c r="AA7" s="160">
        <v>-25</v>
      </c>
      <c r="AB7" s="160" t="s">
        <v>134</v>
      </c>
      <c r="AC7" s="160">
        <v>2628</v>
      </c>
      <c r="AD7" s="160">
        <v>120</v>
      </c>
      <c r="AE7" s="160">
        <v>2508</v>
      </c>
      <c r="AF7" s="160" t="s">
        <v>134</v>
      </c>
      <c r="AG7" s="160" t="s">
        <v>134</v>
      </c>
      <c r="AH7" s="160">
        <v>2508</v>
      </c>
      <c r="AI7" s="160">
        <v>-15</v>
      </c>
      <c r="AJ7" s="160">
        <v>2493</v>
      </c>
      <c r="AK7" s="160" t="s">
        <v>134</v>
      </c>
      <c r="AL7" s="160">
        <v>2493</v>
      </c>
      <c r="AM7" s="160">
        <v>2493</v>
      </c>
      <c r="AN7" s="160">
        <v>1162.7798499999999</v>
      </c>
      <c r="AO7" s="160">
        <v>1162.7798499999999</v>
      </c>
      <c r="AP7" s="160">
        <v>2.1440000000000001</v>
      </c>
      <c r="AQ7" s="160">
        <v>1162.7798499999999</v>
      </c>
      <c r="AR7" s="160">
        <v>1162.7798499999999</v>
      </c>
      <c r="AS7" s="160">
        <v>2.1440000000000001</v>
      </c>
      <c r="AT7" s="160">
        <v>336.40391699999998</v>
      </c>
      <c r="AU7" s="160">
        <v>336.40391699999998</v>
      </c>
      <c r="AV7" s="160">
        <v>1</v>
      </c>
      <c r="AW7" s="160">
        <v>0.10389</v>
      </c>
      <c r="AX7" s="160">
        <v>5</v>
      </c>
      <c r="AY7" s="160">
        <v>1946</v>
      </c>
      <c r="AZ7" s="160">
        <v>1211</v>
      </c>
      <c r="BA7" s="160">
        <v>1211</v>
      </c>
      <c r="BB7" s="160">
        <v>2135</v>
      </c>
      <c r="BC7" s="160">
        <v>11333</v>
      </c>
      <c r="BD7" s="166">
        <v>4.5662000000000001E-2</v>
      </c>
      <c r="BE7" s="160" t="s">
        <v>167</v>
      </c>
      <c r="BF7" s="160" t="s">
        <v>167</v>
      </c>
      <c r="BG7" s="160">
        <v>196</v>
      </c>
      <c r="BH7" s="160">
        <v>-76</v>
      </c>
      <c r="BI7" s="160">
        <v>721.25</v>
      </c>
      <c r="BJ7" s="160">
        <v>1</v>
      </c>
      <c r="BK7" s="160">
        <v>147</v>
      </c>
      <c r="BL7" s="160">
        <v>8</v>
      </c>
      <c r="BM7" s="160">
        <v>42810</v>
      </c>
      <c r="BN7" s="160" t="s">
        <v>195</v>
      </c>
      <c r="BO7" s="160" t="s">
        <v>201</v>
      </c>
      <c r="BP7" s="160"/>
      <c r="BQ7" s="160">
        <v>415</v>
      </c>
      <c r="BR7" s="160">
        <v>189</v>
      </c>
      <c r="BS7" s="160">
        <v>49.068936000000001</v>
      </c>
      <c r="BT7" s="160">
        <v>139.93106399999999</v>
      </c>
      <c r="BU7" s="160">
        <v>10</v>
      </c>
      <c r="BV7" s="160">
        <v>10</v>
      </c>
      <c r="BW7">
        <v>3404</v>
      </c>
      <c r="BX7">
        <v>5700</v>
      </c>
      <c r="BY7">
        <f t="shared" si="0"/>
        <v>-2296</v>
      </c>
      <c r="BZ7" s="167">
        <f t="shared" si="1"/>
        <v>-0.21208202475521892</v>
      </c>
    </row>
    <row r="8" spans="1:78">
      <c r="A8" t="s">
        <v>232</v>
      </c>
      <c r="B8" s="158" t="s">
        <v>221</v>
      </c>
      <c r="C8" s="160">
        <v>10885</v>
      </c>
      <c r="D8" s="160">
        <v>513</v>
      </c>
      <c r="E8" s="160">
        <v>11398</v>
      </c>
      <c r="F8" s="160">
        <v>8629</v>
      </c>
      <c r="G8" s="160">
        <v>2769</v>
      </c>
      <c r="H8" s="160">
        <v>414</v>
      </c>
      <c r="I8" s="160" t="s">
        <v>134</v>
      </c>
      <c r="J8" s="160">
        <v>756</v>
      </c>
      <c r="K8" s="160">
        <v>-34</v>
      </c>
      <c r="L8" s="160">
        <v>1136</v>
      </c>
      <c r="M8" s="160">
        <v>1633</v>
      </c>
      <c r="N8" s="160">
        <v>-145</v>
      </c>
      <c r="O8" s="160">
        <v>22</v>
      </c>
      <c r="P8" s="160">
        <v>-123</v>
      </c>
      <c r="Q8" s="160">
        <v>147</v>
      </c>
      <c r="R8" s="160">
        <v>-107</v>
      </c>
      <c r="S8" s="160">
        <v>1</v>
      </c>
      <c r="T8" s="160">
        <v>1551</v>
      </c>
      <c r="U8" s="160">
        <v>-128</v>
      </c>
      <c r="V8" s="160" t="s">
        <v>134</v>
      </c>
      <c r="W8" s="160" t="s">
        <v>134</v>
      </c>
      <c r="X8" s="160">
        <v>4</v>
      </c>
      <c r="Y8" s="160">
        <v>123</v>
      </c>
      <c r="Z8" s="160" t="s">
        <v>134</v>
      </c>
      <c r="AA8" s="160" t="s">
        <v>134</v>
      </c>
      <c r="AB8" s="160">
        <v>40</v>
      </c>
      <c r="AC8" s="160">
        <v>1590</v>
      </c>
      <c r="AD8" s="160">
        <v>221</v>
      </c>
      <c r="AE8" s="160">
        <v>1369</v>
      </c>
      <c r="AF8" s="160">
        <v>-24</v>
      </c>
      <c r="AG8" s="160" t="s">
        <v>134</v>
      </c>
      <c r="AH8" s="160">
        <v>1345</v>
      </c>
      <c r="AI8" s="160">
        <v>-16</v>
      </c>
      <c r="AJ8" s="160">
        <v>1329</v>
      </c>
      <c r="AK8" s="160" t="s">
        <v>134</v>
      </c>
      <c r="AL8" s="160">
        <v>1329</v>
      </c>
      <c r="AM8" s="160">
        <v>1353</v>
      </c>
      <c r="AN8" s="160">
        <v>619.86940200000004</v>
      </c>
      <c r="AO8" s="160">
        <v>631.06343200000003</v>
      </c>
      <c r="AP8" s="160">
        <v>2.1440000000000001</v>
      </c>
      <c r="AQ8" s="160">
        <v>619.86940200000004</v>
      </c>
      <c r="AR8" s="160">
        <v>631.06343200000003</v>
      </c>
      <c r="AS8" s="160">
        <v>2.1440000000000001</v>
      </c>
      <c r="AT8" s="160">
        <v>444.67117500000001</v>
      </c>
      <c r="AU8" s="160">
        <v>444.67117500000001</v>
      </c>
      <c r="AV8" s="160" t="s">
        <v>167</v>
      </c>
      <c r="AW8" s="160">
        <v>0.26410800000000001</v>
      </c>
      <c r="AX8" s="160">
        <v>5</v>
      </c>
      <c r="AY8" s="160">
        <v>2350</v>
      </c>
      <c r="AZ8" s="160">
        <v>1633</v>
      </c>
      <c r="BA8" s="160">
        <v>1633</v>
      </c>
      <c r="BB8" s="160">
        <v>2615</v>
      </c>
      <c r="BC8" s="160">
        <v>11398</v>
      </c>
      <c r="BD8" s="166">
        <v>0.13899300000000001</v>
      </c>
      <c r="BE8" s="160" t="s">
        <v>167</v>
      </c>
      <c r="BF8" s="160" t="s">
        <v>167</v>
      </c>
      <c r="BG8" s="160">
        <v>217</v>
      </c>
      <c r="BH8" s="160">
        <v>4</v>
      </c>
      <c r="BI8" s="160">
        <v>953.375</v>
      </c>
      <c r="BJ8" s="160">
        <v>2</v>
      </c>
      <c r="BK8" s="160">
        <v>147</v>
      </c>
      <c r="BL8" s="160">
        <v>-10</v>
      </c>
      <c r="BM8" s="160">
        <v>43159</v>
      </c>
      <c r="BN8" s="160" t="s">
        <v>197</v>
      </c>
      <c r="BO8" s="160" t="s">
        <v>201</v>
      </c>
      <c r="BP8" s="160"/>
      <c r="BQ8" s="160">
        <v>414</v>
      </c>
      <c r="BR8" s="160">
        <v>265</v>
      </c>
      <c r="BS8" s="160">
        <v>64.520079999999993</v>
      </c>
      <c r="BT8" s="160">
        <v>200.47991999999999</v>
      </c>
      <c r="BU8" s="160">
        <v>10</v>
      </c>
      <c r="BV8" s="160">
        <v>10</v>
      </c>
      <c r="BW8">
        <v>4071</v>
      </c>
      <c r="BX8">
        <v>5334</v>
      </c>
      <c r="BY8">
        <f t="shared" si="0"/>
        <v>-1263</v>
      </c>
      <c r="BZ8" s="167">
        <f t="shared" si="1"/>
        <v>-0.11603123564538355</v>
      </c>
    </row>
    <row r="9" spans="1:78">
      <c r="A9" t="s">
        <v>233</v>
      </c>
      <c r="B9" s="158" t="s">
        <v>222</v>
      </c>
      <c r="C9" s="160">
        <v>11738</v>
      </c>
      <c r="D9" s="160">
        <v>533</v>
      </c>
      <c r="E9" s="160">
        <v>12271</v>
      </c>
      <c r="F9" s="160">
        <v>9301</v>
      </c>
      <c r="G9" s="160">
        <v>2970</v>
      </c>
      <c r="H9" s="160">
        <v>480</v>
      </c>
      <c r="I9" s="160" t="s">
        <v>134</v>
      </c>
      <c r="J9" s="160">
        <v>751</v>
      </c>
      <c r="K9" s="160">
        <v>-4</v>
      </c>
      <c r="L9" s="160">
        <v>1227</v>
      </c>
      <c r="M9" s="160">
        <v>1743</v>
      </c>
      <c r="N9" s="160">
        <v>-106</v>
      </c>
      <c r="O9" s="160">
        <v>20</v>
      </c>
      <c r="P9" s="160">
        <v>-86</v>
      </c>
      <c r="Q9" s="160">
        <v>130</v>
      </c>
      <c r="R9" s="160">
        <v>19</v>
      </c>
      <c r="S9" s="160">
        <v>15</v>
      </c>
      <c r="T9" s="160">
        <v>1821</v>
      </c>
      <c r="U9" s="160">
        <v>-94</v>
      </c>
      <c r="V9" s="160" t="s">
        <v>134</v>
      </c>
      <c r="W9" s="160" t="s">
        <v>134</v>
      </c>
      <c r="X9" s="160">
        <v>6</v>
      </c>
      <c r="Y9" s="160">
        <v>-6</v>
      </c>
      <c r="Z9" s="160" t="s">
        <v>134</v>
      </c>
      <c r="AA9" s="160" t="s">
        <v>134</v>
      </c>
      <c r="AB9" s="160" t="s">
        <v>134</v>
      </c>
      <c r="AC9" s="160">
        <v>1727</v>
      </c>
      <c r="AD9" s="160">
        <v>300</v>
      </c>
      <c r="AE9" s="160">
        <v>1427</v>
      </c>
      <c r="AF9" s="160">
        <v>-44</v>
      </c>
      <c r="AG9" s="160" t="s">
        <v>134</v>
      </c>
      <c r="AH9" s="160">
        <v>1383</v>
      </c>
      <c r="AI9" s="160">
        <v>-18</v>
      </c>
      <c r="AJ9" s="160">
        <v>1365</v>
      </c>
      <c r="AK9" s="160" t="s">
        <v>134</v>
      </c>
      <c r="AL9" s="160">
        <v>1365</v>
      </c>
      <c r="AM9" s="160">
        <v>1409</v>
      </c>
      <c r="AN9" s="160">
        <v>636.66044699999998</v>
      </c>
      <c r="AO9" s="160">
        <v>657.18283499999995</v>
      </c>
      <c r="AP9" s="160">
        <v>2.1440000000000001</v>
      </c>
      <c r="AQ9" s="160">
        <v>636.66044699999998</v>
      </c>
      <c r="AR9" s="160">
        <v>657.18283499999995</v>
      </c>
      <c r="AS9" s="160">
        <v>2.1440000000000001</v>
      </c>
      <c r="AT9" s="160">
        <v>522.44636100000002</v>
      </c>
      <c r="AU9" s="160">
        <v>522.44636100000002</v>
      </c>
      <c r="AV9" s="160" t="s">
        <v>167</v>
      </c>
      <c r="AW9" s="160">
        <v>0.33699600000000002</v>
      </c>
      <c r="AX9" s="160">
        <v>5</v>
      </c>
      <c r="AY9" s="160">
        <v>2440</v>
      </c>
      <c r="AZ9" s="160">
        <v>1744</v>
      </c>
      <c r="BA9" s="160">
        <v>1743</v>
      </c>
      <c r="BB9" s="160">
        <v>2791</v>
      </c>
      <c r="BC9" s="160">
        <v>12271</v>
      </c>
      <c r="BD9" s="166">
        <v>0.173711</v>
      </c>
      <c r="BE9" s="160" t="s">
        <v>167</v>
      </c>
      <c r="BF9" s="160" t="s">
        <v>167</v>
      </c>
      <c r="BG9" s="160">
        <v>256</v>
      </c>
      <c r="BH9" s="160">
        <v>44</v>
      </c>
      <c r="BI9" s="160">
        <v>1120.125</v>
      </c>
      <c r="BJ9" s="160">
        <v>6</v>
      </c>
      <c r="BK9" s="160">
        <v>101</v>
      </c>
      <c r="BL9" s="160">
        <v>24</v>
      </c>
      <c r="BM9" s="160">
        <v>43564</v>
      </c>
      <c r="BN9" s="160" t="s">
        <v>196</v>
      </c>
      <c r="BO9" s="160" t="s">
        <v>201</v>
      </c>
      <c r="BP9" s="160"/>
      <c r="BQ9" s="160">
        <v>480</v>
      </c>
      <c r="BR9" s="160">
        <v>351</v>
      </c>
      <c r="BS9" s="160">
        <v>66.642263999999997</v>
      </c>
      <c r="BT9" s="160">
        <v>284.35773599999999</v>
      </c>
      <c r="BU9" s="160">
        <v>7</v>
      </c>
      <c r="BV9" s="160">
        <v>7</v>
      </c>
      <c r="BW9">
        <v>4518</v>
      </c>
      <c r="BX9">
        <v>5488</v>
      </c>
      <c r="BY9">
        <f t="shared" si="0"/>
        <v>-970</v>
      </c>
      <c r="BZ9" s="167">
        <f t="shared" si="1"/>
        <v>-8.2637587323223724E-2</v>
      </c>
    </row>
    <row r="10" spans="1:78">
      <c r="A10" t="s">
        <v>234</v>
      </c>
      <c r="B10" s="158" t="s">
        <v>223</v>
      </c>
      <c r="C10" s="160">
        <v>12333</v>
      </c>
      <c r="D10" s="160">
        <v>632</v>
      </c>
      <c r="E10" s="160">
        <v>12965</v>
      </c>
      <c r="F10" s="160">
        <v>9650</v>
      </c>
      <c r="G10" s="160">
        <v>3315</v>
      </c>
      <c r="H10" s="160">
        <v>509</v>
      </c>
      <c r="I10" s="160" t="s">
        <v>134</v>
      </c>
      <c r="J10" s="160">
        <v>786</v>
      </c>
      <c r="K10" s="160" t="s">
        <v>134</v>
      </c>
      <c r="L10" s="160">
        <v>1295</v>
      </c>
      <c r="M10" s="160">
        <v>2020</v>
      </c>
      <c r="N10" s="160">
        <v>-116</v>
      </c>
      <c r="O10" s="160">
        <v>26</v>
      </c>
      <c r="P10" s="160">
        <v>-90</v>
      </c>
      <c r="Q10" s="160">
        <v>165</v>
      </c>
      <c r="R10" s="160">
        <v>-43</v>
      </c>
      <c r="S10" s="160">
        <v>16</v>
      </c>
      <c r="T10" s="160">
        <v>2068</v>
      </c>
      <c r="U10" s="160" t="s">
        <v>134</v>
      </c>
      <c r="V10" s="160" t="s">
        <v>134</v>
      </c>
      <c r="W10" s="160" t="s">
        <v>134</v>
      </c>
      <c r="X10" s="160">
        <v>5</v>
      </c>
      <c r="Y10" s="160">
        <v>-11</v>
      </c>
      <c r="Z10" s="160" t="s">
        <v>134</v>
      </c>
      <c r="AA10" s="160" t="s">
        <v>134</v>
      </c>
      <c r="AB10" s="160">
        <v>394</v>
      </c>
      <c r="AC10" s="160">
        <v>2456</v>
      </c>
      <c r="AD10" s="160">
        <v>365</v>
      </c>
      <c r="AE10" s="160">
        <v>2091</v>
      </c>
      <c r="AF10" s="160" t="s">
        <v>134</v>
      </c>
      <c r="AG10" s="160" t="s">
        <v>134</v>
      </c>
      <c r="AH10" s="160">
        <v>2091</v>
      </c>
      <c r="AI10" s="160">
        <v>-11</v>
      </c>
      <c r="AJ10" s="160">
        <v>2080</v>
      </c>
      <c r="AK10" s="160" t="s">
        <v>134</v>
      </c>
      <c r="AL10" s="160">
        <v>2080</v>
      </c>
      <c r="AM10" s="160">
        <v>2080</v>
      </c>
      <c r="AN10" s="160">
        <v>970.14925300000004</v>
      </c>
      <c r="AO10" s="160">
        <v>970.14925300000004</v>
      </c>
      <c r="AP10" s="160">
        <v>2.1440000000000001</v>
      </c>
      <c r="AQ10" s="160">
        <v>970.14925300000004</v>
      </c>
      <c r="AR10" s="160">
        <v>970.14925300000004</v>
      </c>
      <c r="AS10" s="160">
        <v>2.1440000000000001</v>
      </c>
      <c r="AT10" s="160">
        <v>597.71455200000003</v>
      </c>
      <c r="AU10" s="160">
        <v>597.71455200000003</v>
      </c>
      <c r="AV10" s="160" t="s">
        <v>167</v>
      </c>
      <c r="AW10" s="160">
        <v>0.27644200000000002</v>
      </c>
      <c r="AX10" s="160">
        <v>5</v>
      </c>
      <c r="AY10" s="160">
        <v>2748</v>
      </c>
      <c r="AZ10" s="160">
        <v>2020</v>
      </c>
      <c r="BA10" s="160">
        <v>2020</v>
      </c>
      <c r="BB10" s="160">
        <v>3107</v>
      </c>
      <c r="BC10" s="160">
        <v>12965</v>
      </c>
      <c r="BD10" s="166">
        <v>0.148615</v>
      </c>
      <c r="BE10" s="160" t="s">
        <v>167</v>
      </c>
      <c r="BF10" s="160" t="s">
        <v>167</v>
      </c>
      <c r="BG10" s="160">
        <v>284</v>
      </c>
      <c r="BH10" s="160">
        <v>81</v>
      </c>
      <c r="BI10" s="160">
        <v>1281.5</v>
      </c>
      <c r="BJ10" s="160">
        <v>12</v>
      </c>
      <c r="BK10" s="160">
        <v>127</v>
      </c>
      <c r="BL10" s="160">
        <v>-24</v>
      </c>
      <c r="BM10" s="160">
        <v>43888</v>
      </c>
      <c r="BN10" s="160" t="s">
        <v>195</v>
      </c>
      <c r="BO10" s="160" t="s">
        <v>201</v>
      </c>
      <c r="BP10" s="160"/>
      <c r="BQ10" s="160">
        <v>509</v>
      </c>
      <c r="BR10" s="160">
        <v>359</v>
      </c>
      <c r="BS10" s="160">
        <v>84.373615999999998</v>
      </c>
      <c r="BT10" s="160">
        <v>274.62638399999997</v>
      </c>
      <c r="BU10" s="160">
        <v>6</v>
      </c>
      <c r="BV10" s="160">
        <v>6</v>
      </c>
      <c r="BW10">
        <v>4287</v>
      </c>
      <c r="BX10">
        <v>5838</v>
      </c>
      <c r="BY10">
        <f t="shared" si="0"/>
        <v>-1551</v>
      </c>
      <c r="BZ10" s="167">
        <f t="shared" si="1"/>
        <v>-0.12576015567988325</v>
      </c>
    </row>
    <row r="11" spans="1:78">
      <c r="A11" t="s">
        <v>235</v>
      </c>
      <c r="B11" s="158" t="s">
        <v>224</v>
      </c>
      <c r="C11" s="160">
        <v>12610</v>
      </c>
      <c r="D11" s="160">
        <v>680</v>
      </c>
      <c r="E11" s="160">
        <v>13290</v>
      </c>
      <c r="F11" s="160">
        <v>9733</v>
      </c>
      <c r="G11" s="160">
        <v>3557</v>
      </c>
      <c r="H11" s="160">
        <v>516</v>
      </c>
      <c r="I11" s="160" t="s">
        <v>134</v>
      </c>
      <c r="J11" s="160">
        <v>1106</v>
      </c>
      <c r="K11" s="160" t="s">
        <v>134</v>
      </c>
      <c r="L11" s="160">
        <v>1622</v>
      </c>
      <c r="M11" s="160">
        <v>1935</v>
      </c>
      <c r="N11" s="160">
        <v>-219</v>
      </c>
      <c r="O11" s="160">
        <v>36</v>
      </c>
      <c r="P11" s="160">
        <v>-183</v>
      </c>
      <c r="Q11" s="160">
        <v>170</v>
      </c>
      <c r="R11" s="160">
        <v>110</v>
      </c>
      <c r="S11" s="160">
        <v>4</v>
      </c>
      <c r="T11" s="160">
        <v>2036</v>
      </c>
      <c r="U11" s="160" t="s">
        <v>134</v>
      </c>
      <c r="V11" s="160" t="s">
        <v>134</v>
      </c>
      <c r="W11" s="160" t="s">
        <v>134</v>
      </c>
      <c r="X11" s="160">
        <v>3</v>
      </c>
      <c r="Y11" s="160">
        <v>3</v>
      </c>
      <c r="Z11" s="160" t="s">
        <v>134</v>
      </c>
      <c r="AA11" s="160">
        <v>-583</v>
      </c>
      <c r="AB11" s="160" t="s">
        <v>134</v>
      </c>
      <c r="AC11" s="160">
        <v>1459</v>
      </c>
      <c r="AD11" s="160">
        <v>350</v>
      </c>
      <c r="AE11" s="160">
        <v>1109</v>
      </c>
      <c r="AF11" s="160" t="s">
        <v>134</v>
      </c>
      <c r="AG11" s="160" t="s">
        <v>134</v>
      </c>
      <c r="AH11" s="160">
        <v>1109</v>
      </c>
      <c r="AI11" s="160" t="s">
        <v>134</v>
      </c>
      <c r="AJ11" s="160">
        <v>1109</v>
      </c>
      <c r="AK11" s="160" t="s">
        <v>134</v>
      </c>
      <c r="AL11" s="160">
        <v>1109</v>
      </c>
      <c r="AM11" s="160">
        <v>1109</v>
      </c>
      <c r="AN11" s="160">
        <v>517.25746200000003</v>
      </c>
      <c r="AO11" s="160">
        <v>517.25746200000003</v>
      </c>
      <c r="AP11" s="160">
        <v>2.1440000000000001</v>
      </c>
      <c r="AQ11" s="160">
        <v>517.25746200000003</v>
      </c>
      <c r="AR11" s="160">
        <v>517.25746200000003</v>
      </c>
      <c r="AS11" s="160">
        <v>2.1440000000000001</v>
      </c>
      <c r="AT11" s="160">
        <v>593.51679100000001</v>
      </c>
      <c r="AU11" s="160">
        <v>593.51679100000001</v>
      </c>
      <c r="AV11" s="160" t="s">
        <v>167</v>
      </c>
      <c r="AW11" s="160">
        <v>0.52750200000000003</v>
      </c>
      <c r="AX11" s="160">
        <v>5</v>
      </c>
      <c r="AY11" s="160">
        <v>2498</v>
      </c>
      <c r="AZ11" s="160">
        <v>1935</v>
      </c>
      <c r="BA11" s="160">
        <v>1935</v>
      </c>
      <c r="BB11" s="160">
        <v>2538</v>
      </c>
      <c r="BC11" s="160">
        <v>13290</v>
      </c>
      <c r="BD11" s="166">
        <v>0.23988999999999999</v>
      </c>
      <c r="BE11" s="160" t="s">
        <v>167</v>
      </c>
      <c r="BF11" s="160" t="s">
        <v>167</v>
      </c>
      <c r="BG11" s="160">
        <v>329</v>
      </c>
      <c r="BH11" s="160">
        <v>21</v>
      </c>
      <c r="BI11" s="160">
        <v>1272.5</v>
      </c>
      <c r="BJ11" s="160">
        <v>15</v>
      </c>
      <c r="BK11" s="160">
        <v>233</v>
      </c>
      <c r="BL11" s="160">
        <v>-29</v>
      </c>
      <c r="BM11" s="160">
        <v>43888</v>
      </c>
      <c r="BN11" s="160" t="s">
        <v>198</v>
      </c>
      <c r="BO11" s="160" t="s">
        <v>201</v>
      </c>
      <c r="BP11" s="160"/>
      <c r="BQ11" s="160">
        <v>516</v>
      </c>
      <c r="BR11" s="160">
        <v>40</v>
      </c>
      <c r="BS11" s="160">
        <v>13.949120000000001</v>
      </c>
      <c r="BT11" s="160">
        <v>26.050879999999999</v>
      </c>
      <c r="BU11" s="160">
        <v>7</v>
      </c>
      <c r="BV11" s="160">
        <v>7</v>
      </c>
      <c r="BW11">
        <v>4720</v>
      </c>
      <c r="BX11">
        <v>6390</v>
      </c>
      <c r="BY11">
        <f t="shared" si="0"/>
        <v>-1670</v>
      </c>
      <c r="BZ11" s="167">
        <f t="shared" si="1"/>
        <v>-0.13243457573354481</v>
      </c>
    </row>
    <row r="12" spans="1:78">
      <c r="A12" t="s">
        <v>236</v>
      </c>
      <c r="B12" s="158" t="s">
        <v>225</v>
      </c>
      <c r="C12" s="160">
        <v>9087</v>
      </c>
      <c r="D12" s="160">
        <v>518</v>
      </c>
      <c r="E12" s="160">
        <v>9605</v>
      </c>
      <c r="F12" s="160">
        <v>7915</v>
      </c>
      <c r="G12" s="160">
        <v>1690</v>
      </c>
      <c r="H12" s="160">
        <v>339</v>
      </c>
      <c r="I12" s="160" t="s">
        <v>134</v>
      </c>
      <c r="J12" s="160">
        <v>1147</v>
      </c>
      <c r="K12" s="160" t="s">
        <v>134</v>
      </c>
      <c r="L12" s="160">
        <v>1486</v>
      </c>
      <c r="M12" s="160">
        <v>204</v>
      </c>
      <c r="N12" s="160">
        <v>-242</v>
      </c>
      <c r="O12" s="160">
        <v>30</v>
      </c>
      <c r="P12" s="160">
        <v>-212</v>
      </c>
      <c r="Q12" s="160">
        <v>22</v>
      </c>
      <c r="R12" s="160">
        <v>56</v>
      </c>
      <c r="S12" s="160">
        <v>-10</v>
      </c>
      <c r="T12" s="160">
        <v>60</v>
      </c>
      <c r="U12" s="160" t="s">
        <v>134</v>
      </c>
      <c r="V12" s="160" t="s">
        <v>134</v>
      </c>
      <c r="W12" s="160" t="s">
        <v>134</v>
      </c>
      <c r="X12" s="160">
        <v>4</v>
      </c>
      <c r="Y12" s="160">
        <v>4</v>
      </c>
      <c r="Z12" s="160">
        <v>-434</v>
      </c>
      <c r="AA12" s="160">
        <v>-603</v>
      </c>
      <c r="AB12" s="160">
        <v>-688</v>
      </c>
      <c r="AC12" s="160">
        <v>-1657</v>
      </c>
      <c r="AD12" s="160">
        <v>-151</v>
      </c>
      <c r="AE12" s="160">
        <v>-1506</v>
      </c>
      <c r="AF12" s="160" t="s">
        <v>134</v>
      </c>
      <c r="AG12" s="160" t="s">
        <v>134</v>
      </c>
      <c r="AH12" s="160">
        <v>-1506</v>
      </c>
      <c r="AI12" s="160" t="s">
        <v>134</v>
      </c>
      <c r="AJ12" s="160">
        <v>-1506</v>
      </c>
      <c r="AK12" s="160" t="s">
        <v>134</v>
      </c>
      <c r="AL12" s="160">
        <v>-1506</v>
      </c>
      <c r="AM12" s="160">
        <v>-1506</v>
      </c>
      <c r="AN12" s="160">
        <v>-702.43</v>
      </c>
      <c r="AO12" s="160">
        <v>-702.43</v>
      </c>
      <c r="AP12" s="160">
        <v>2.1440000000000001</v>
      </c>
      <c r="AQ12" s="160">
        <v>-702.43</v>
      </c>
      <c r="AR12" s="160">
        <v>-702.43</v>
      </c>
      <c r="AS12" s="160">
        <v>2.1440000000000001</v>
      </c>
      <c r="AT12" s="160">
        <v>17.490670999999999</v>
      </c>
      <c r="AU12" s="160">
        <v>17.490670999999999</v>
      </c>
      <c r="AV12" s="160" t="s">
        <v>167</v>
      </c>
      <c r="AW12" s="160" t="s">
        <v>177</v>
      </c>
      <c r="AX12" s="160">
        <v>5</v>
      </c>
      <c r="AY12" s="160">
        <v>1120</v>
      </c>
      <c r="AZ12" s="160">
        <v>209</v>
      </c>
      <c r="BA12" s="160">
        <v>204</v>
      </c>
      <c r="BB12" s="160" t="s">
        <v>167</v>
      </c>
      <c r="BC12" s="160">
        <v>9605</v>
      </c>
      <c r="BD12" s="166" t="s">
        <v>177</v>
      </c>
      <c r="BE12" s="160" t="s">
        <v>167</v>
      </c>
      <c r="BF12" s="160" t="s">
        <v>167</v>
      </c>
      <c r="BG12" s="160">
        <v>329</v>
      </c>
      <c r="BH12" s="160">
        <v>21</v>
      </c>
      <c r="BI12" s="160">
        <v>37.5</v>
      </c>
      <c r="BJ12" s="160" t="s">
        <v>167</v>
      </c>
      <c r="BK12" s="160" t="s">
        <v>167</v>
      </c>
      <c r="BL12" s="160" t="s">
        <v>134</v>
      </c>
      <c r="BM12" s="160">
        <v>44049</v>
      </c>
      <c r="BN12" s="160" t="s">
        <v>198</v>
      </c>
      <c r="BO12" s="160" t="s">
        <v>202</v>
      </c>
      <c r="BP12" s="160"/>
      <c r="BQ12" s="160">
        <v>339</v>
      </c>
      <c r="BR12" s="160" t="s">
        <v>167</v>
      </c>
      <c r="BS12" s="160" t="s">
        <v>134</v>
      </c>
      <c r="BT12" s="160" t="s">
        <v>134</v>
      </c>
      <c r="BU12" s="160">
        <v>7</v>
      </c>
      <c r="BV12" s="160">
        <v>7</v>
      </c>
      <c r="BW12">
        <v>3520</v>
      </c>
      <c r="BX12">
        <v>7015</v>
      </c>
      <c r="BY12">
        <f t="shared" si="0"/>
        <v>-3495</v>
      </c>
      <c r="BZ12" s="167">
        <f t="shared" si="1"/>
        <v>-0.38461538461538464</v>
      </c>
    </row>
    <row r="13" spans="1:78">
      <c r="B13" s="15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02AC4-E1DE-A742-87E9-C5FEB01CB600}">
  <dimension ref="A1:Q18"/>
  <sheetViews>
    <sheetView topLeftCell="B1" zoomScale="140" zoomScaleNormal="140" workbookViewId="0">
      <selection activeCell="O16" sqref="O16"/>
    </sheetView>
  </sheetViews>
  <sheetFormatPr baseColWidth="10" defaultRowHeight="15"/>
  <cols>
    <col min="15" max="15" width="16.33203125" bestFit="1" customWidth="1"/>
  </cols>
  <sheetData>
    <row r="1" spans="1:17">
      <c r="A1" s="32" t="s">
        <v>213</v>
      </c>
      <c r="B1" s="32" t="s">
        <v>214</v>
      </c>
      <c r="C1" s="32" t="s">
        <v>14</v>
      </c>
      <c r="D1" s="32" t="s">
        <v>237</v>
      </c>
      <c r="E1" s="32" t="s">
        <v>183</v>
      </c>
      <c r="F1" s="32" t="s">
        <v>314</v>
      </c>
    </row>
    <row r="2" spans="1:17">
      <c r="A2" s="161">
        <v>2010</v>
      </c>
      <c r="B2" s="162" t="s">
        <v>215</v>
      </c>
      <c r="C2" s="163">
        <v>8483</v>
      </c>
      <c r="D2" s="163"/>
      <c r="E2" s="166" t="s">
        <v>177</v>
      </c>
      <c r="F2" s="167">
        <v>-8.8297727198606582E-2</v>
      </c>
    </row>
    <row r="3" spans="1:17">
      <c r="A3" s="161">
        <v>2011</v>
      </c>
      <c r="B3" s="162" t="s">
        <v>216</v>
      </c>
      <c r="C3" s="163">
        <v>9460</v>
      </c>
      <c r="D3" s="164">
        <f>((C3/C2)-1)</f>
        <v>0.11517151950960747</v>
      </c>
      <c r="E3" s="166">
        <v>1.0309E-2</v>
      </c>
      <c r="F3" s="167">
        <v>-9.6088794926004223E-2</v>
      </c>
    </row>
    <row r="4" spans="1:17">
      <c r="A4" s="161">
        <v>2012</v>
      </c>
      <c r="B4" s="162" t="s">
        <v>217</v>
      </c>
      <c r="C4" s="163">
        <v>10236</v>
      </c>
      <c r="D4" s="164">
        <f t="shared" ref="D4:D12" si="0">((C4/C3)-1)</f>
        <v>8.2029598308668072E-2</v>
      </c>
      <c r="E4" s="166" t="s">
        <v>177</v>
      </c>
      <c r="F4" s="167">
        <v>-0.17213755373192655</v>
      </c>
    </row>
    <row r="5" spans="1:17">
      <c r="A5" s="161">
        <v>2013</v>
      </c>
      <c r="B5" s="162" t="s">
        <v>218</v>
      </c>
      <c r="C5" s="163">
        <v>10818</v>
      </c>
      <c r="D5" s="164">
        <f t="shared" si="0"/>
        <v>5.6858147713950702E-2</v>
      </c>
      <c r="E5" s="166">
        <v>5.3332999999999998E-2</v>
      </c>
      <c r="F5" s="167">
        <v>-0.15733037530042521</v>
      </c>
    </row>
    <row r="6" spans="1:17">
      <c r="A6" s="161">
        <v>2014</v>
      </c>
      <c r="B6" s="162" t="s">
        <v>219</v>
      </c>
      <c r="C6" s="163">
        <v>11050</v>
      </c>
      <c r="D6" s="164">
        <f t="shared" si="0"/>
        <v>2.14457385838418E-2</v>
      </c>
      <c r="E6" s="166">
        <v>0.18276999999999999</v>
      </c>
      <c r="F6" s="167">
        <v>-0.17321266968325791</v>
      </c>
    </row>
    <row r="7" spans="1:17">
      <c r="A7" s="161">
        <v>2015</v>
      </c>
      <c r="B7" s="162" t="s">
        <v>220</v>
      </c>
      <c r="C7" s="163">
        <v>10826</v>
      </c>
      <c r="D7" s="164">
        <f t="shared" si="0"/>
        <v>-2.0271493212669633E-2</v>
      </c>
      <c r="E7" s="166">
        <v>4.5662000000000001E-2</v>
      </c>
      <c r="F7" s="167">
        <v>-0.21208202475521892</v>
      </c>
    </row>
    <row r="8" spans="1:17">
      <c r="A8" s="161">
        <v>2016</v>
      </c>
      <c r="B8" s="162" t="s">
        <v>221</v>
      </c>
      <c r="C8" s="163">
        <v>10885</v>
      </c>
      <c r="D8" s="164">
        <f t="shared" si="0"/>
        <v>5.4498429706262286E-3</v>
      </c>
      <c r="E8" s="166">
        <v>0.13899300000000001</v>
      </c>
      <c r="F8" s="167">
        <v>-0.11603123564538355</v>
      </c>
    </row>
    <row r="9" spans="1:17">
      <c r="A9" s="161">
        <v>2017</v>
      </c>
      <c r="B9" s="162" t="s">
        <v>222</v>
      </c>
      <c r="C9" s="163">
        <v>11738</v>
      </c>
      <c r="D9" s="164">
        <f t="shared" si="0"/>
        <v>7.8364722094625527E-2</v>
      </c>
      <c r="E9" s="166">
        <v>0.173711</v>
      </c>
      <c r="F9" s="167">
        <v>-8.2637587323223724E-2</v>
      </c>
    </row>
    <row r="10" spans="1:17">
      <c r="A10" s="161">
        <v>2018</v>
      </c>
      <c r="B10" s="162" t="s">
        <v>223</v>
      </c>
      <c r="C10" s="163">
        <v>12333</v>
      </c>
      <c r="D10" s="164">
        <f t="shared" si="0"/>
        <v>5.0690066450843396E-2</v>
      </c>
      <c r="E10" s="166">
        <v>0.148615</v>
      </c>
      <c r="F10" s="167">
        <v>-0.12576015567988325</v>
      </c>
    </row>
    <row r="11" spans="1:17">
      <c r="A11" s="161">
        <v>2019</v>
      </c>
      <c r="B11" s="162" t="s">
        <v>224</v>
      </c>
      <c r="C11" s="163">
        <v>12610</v>
      </c>
      <c r="D11" s="164">
        <f t="shared" si="0"/>
        <v>2.246006648828347E-2</v>
      </c>
      <c r="E11" s="166">
        <v>0.23988999999999999</v>
      </c>
      <c r="F11" s="167">
        <v>-0.13243457573354481</v>
      </c>
    </row>
    <row r="12" spans="1:17">
      <c r="A12" s="161">
        <v>2020</v>
      </c>
      <c r="B12" s="162" t="s">
        <v>225</v>
      </c>
      <c r="C12" s="163">
        <v>9087</v>
      </c>
      <c r="D12" s="164">
        <f t="shared" si="0"/>
        <v>-0.27938144329896908</v>
      </c>
      <c r="E12" s="166" t="s">
        <v>177</v>
      </c>
      <c r="F12" s="167">
        <v>-0.38461538461538464</v>
      </c>
    </row>
    <row r="14" spans="1:17" s="165" customFormat="1"/>
    <row r="15" spans="1:17">
      <c r="A15" t="s">
        <v>238</v>
      </c>
      <c r="D15" s="169">
        <f>((C11/C2)^(1/(COUNT(C2:C11)-1))-1)</f>
        <v>4.503181729750505E-2</v>
      </c>
      <c r="N15" t="s">
        <v>317</v>
      </c>
      <c r="O15" s="199">
        <f>'Income Statement'!K61*10^6</f>
        <v>1109000000</v>
      </c>
      <c r="P15" t="s">
        <v>318</v>
      </c>
      <c r="Q15" s="199">
        <f>'Income Statement'!K69</f>
        <v>517.25746200000003</v>
      </c>
    </row>
    <row r="16" spans="1:17">
      <c r="A16" t="s">
        <v>239</v>
      </c>
      <c r="D16" s="168">
        <f>AVERAGE(D3:D11)</f>
        <v>4.5799800989753003E-2</v>
      </c>
      <c r="F16" t="s">
        <v>240</v>
      </c>
      <c r="H16" s="83">
        <f>AVERAGE(E2:E11)</f>
        <v>0.12416037499999999</v>
      </c>
      <c r="J16" t="s">
        <v>315</v>
      </c>
      <c r="L16" s="197">
        <f>AVERAGE(F2:F11)</f>
        <v>-0.13560126999774746</v>
      </c>
      <c r="N16" t="s">
        <v>316</v>
      </c>
      <c r="O16" s="200">
        <f>O15/Q15</f>
        <v>2144000.0028457781</v>
      </c>
    </row>
    <row r="18" s="165" customFormat="1"/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342AA-28DF-BD43-AE99-59BC4CD2409A}">
  <sheetPr>
    <tabColor theme="9"/>
  </sheetPr>
  <dimension ref="B1:Q126"/>
  <sheetViews>
    <sheetView tabSelected="1" topLeftCell="A43" zoomScale="130" zoomScaleNormal="130" workbookViewId="0">
      <selection activeCell="C73" sqref="C73"/>
    </sheetView>
  </sheetViews>
  <sheetFormatPr baseColWidth="10" defaultColWidth="9.1640625" defaultRowHeight="15"/>
  <cols>
    <col min="1" max="1" width="1.5" customWidth="1"/>
    <col min="2" max="2" width="54.5" customWidth="1"/>
    <col min="3" max="3" width="13.5" customWidth="1"/>
    <col min="4" max="9" width="12.6640625" customWidth="1"/>
    <col min="10" max="10" width="1.83203125" customWidth="1"/>
    <col min="11" max="11" width="12.1640625" bestFit="1" customWidth="1"/>
    <col min="12" max="16" width="9.5" customWidth="1"/>
  </cols>
  <sheetData>
    <row r="1" spans="2:11" ht="16" thickBot="1"/>
    <row r="2" spans="2:11" ht="16" thickBot="1">
      <c r="B2" s="1" t="s">
        <v>0</v>
      </c>
      <c r="C2" s="2"/>
      <c r="D2" s="2"/>
      <c r="E2" s="2"/>
      <c r="F2" s="2"/>
      <c r="G2" s="2"/>
      <c r="H2" s="2"/>
      <c r="I2" s="2"/>
    </row>
    <row r="3" spans="2:11">
      <c r="B3" s="3" t="str">
        <f>'[1]Financials '!$B$3</f>
        <v xml:space="preserve">$ and shares in millions, except per share data </v>
      </c>
    </row>
    <row r="4" spans="2:11" ht="15" customHeight="1">
      <c r="B4" t="s">
        <v>1</v>
      </c>
      <c r="D4" s="4">
        <v>43830</v>
      </c>
      <c r="F4" t="s">
        <v>2</v>
      </c>
      <c r="H4" s="5">
        <v>0.1</v>
      </c>
    </row>
    <row r="5" spans="2:11">
      <c r="B5" t="s">
        <v>3</v>
      </c>
      <c r="D5" s="6">
        <f>EOMONTH(D4,12)</f>
        <v>44196</v>
      </c>
      <c r="F5" t="s">
        <v>4</v>
      </c>
      <c r="H5" s="7" t="s">
        <v>167</v>
      </c>
    </row>
    <row r="6" spans="2:11">
      <c r="B6" t="s">
        <v>5</v>
      </c>
      <c r="D6" s="4">
        <v>43827</v>
      </c>
      <c r="F6" t="s">
        <v>6</v>
      </c>
      <c r="H6" s="7" t="s">
        <v>167</v>
      </c>
      <c r="J6" s="8"/>
    </row>
    <row r="7" spans="2:11">
      <c r="B7" t="s">
        <v>7</v>
      </c>
      <c r="D7" s="6">
        <f>EOMONTH(D6,12)</f>
        <v>44196</v>
      </c>
      <c r="F7" t="s">
        <v>8</v>
      </c>
      <c r="H7" s="9">
        <v>0</v>
      </c>
      <c r="I7" s="8"/>
      <c r="J7" s="8"/>
    </row>
    <row r="8" spans="2:11">
      <c r="B8" t="s">
        <v>9</v>
      </c>
      <c r="D8" s="10">
        <f>YEARFRAC(D7,D5)</f>
        <v>0</v>
      </c>
    </row>
    <row r="9" spans="2:11">
      <c r="D9" s="11"/>
    </row>
    <row r="10" spans="2:11">
      <c r="B10" s="12" t="s">
        <v>10</v>
      </c>
      <c r="C10" s="13"/>
      <c r="D10" s="14"/>
      <c r="F10" s="13"/>
      <c r="G10" s="13"/>
      <c r="H10" s="13"/>
      <c r="I10" s="13"/>
    </row>
    <row r="11" spans="2:11" ht="17.25" customHeight="1">
      <c r="C11" s="15"/>
      <c r="D11" s="15" t="s">
        <v>11</v>
      </c>
      <c r="E11" s="16" t="s">
        <v>12</v>
      </c>
      <c r="F11" s="15"/>
      <c r="G11" s="15"/>
      <c r="H11" s="15"/>
      <c r="I11" s="15"/>
    </row>
    <row r="12" spans="2:11">
      <c r="B12" s="17" t="s">
        <v>13</v>
      </c>
      <c r="C12" s="18"/>
      <c r="D12" s="19">
        <f>D4</f>
        <v>43830</v>
      </c>
      <c r="E12" s="20">
        <f>EOMONTH(D12,12)</f>
        <v>44196</v>
      </c>
      <c r="F12" s="20">
        <f t="shared" ref="F12:I12" si="0">EOMONTH(E12,12)</f>
        <v>44561</v>
      </c>
      <c r="G12" s="20">
        <f t="shared" si="0"/>
        <v>44926</v>
      </c>
      <c r="H12" s="20">
        <f t="shared" si="0"/>
        <v>45291</v>
      </c>
      <c r="I12" s="20">
        <f t="shared" si="0"/>
        <v>45657</v>
      </c>
    </row>
    <row r="13" spans="2:11">
      <c r="B13" s="17"/>
      <c r="D13" s="21"/>
      <c r="E13" s="22"/>
      <c r="F13" s="22"/>
      <c r="G13" s="22"/>
      <c r="H13" s="22"/>
      <c r="I13" s="22"/>
    </row>
    <row r="14" spans="2:11">
      <c r="B14" t="s">
        <v>14</v>
      </c>
      <c r="C14" s="23"/>
      <c r="D14" s="24">
        <f>'Input Data'!C11</f>
        <v>12610</v>
      </c>
      <c r="E14" s="23">
        <f>D14*(1+E15)</f>
        <v>13152.55097289723</v>
      </c>
      <c r="F14" s="23">
        <f t="shared" ref="F14:I14" si="1">E14*(1+F15)</f>
        <v>13692.056649962369</v>
      </c>
      <c r="G14" s="23">
        <f t="shared" si="1"/>
        <v>14226.221117006855</v>
      </c>
      <c r="H14" s="23">
        <f t="shared" si="1"/>
        <v>14752.681826318039</v>
      </c>
      <c r="I14" s="23">
        <f t="shared" si="1"/>
        <v>15269.02569023917</v>
      </c>
    </row>
    <row r="15" spans="2:11">
      <c r="B15" s="25" t="s">
        <v>15</v>
      </c>
      <c r="D15" s="170">
        <f>Workbook!D15</f>
        <v>4.503181729750505E-2</v>
      </c>
      <c r="E15" s="26">
        <f>D15-(($D$15-$I$15)/5)</f>
        <v>4.3025453838004039E-2</v>
      </c>
      <c r="F15" s="26">
        <f t="shared" ref="F15:H15" si="2">E15-(($D$15-$I$15)/5)</f>
        <v>4.1019090378503029E-2</v>
      </c>
      <c r="G15" s="26">
        <f t="shared" si="2"/>
        <v>3.9012726919002018E-2</v>
      </c>
      <c r="H15" s="26">
        <f t="shared" si="2"/>
        <v>3.7006363459501007E-2</v>
      </c>
      <c r="I15" s="26">
        <v>3.5000000000000003E-2</v>
      </c>
      <c r="K15" s="26"/>
    </row>
    <row r="16" spans="2:11">
      <c r="B16" t="s">
        <v>16</v>
      </c>
      <c r="C16" s="23"/>
      <c r="D16" s="24">
        <f>'Input Data'!AY11</f>
        <v>2498</v>
      </c>
      <c r="E16" s="23">
        <f>E17*E14</f>
        <v>2478.9585961367843</v>
      </c>
      <c r="F16" s="23">
        <f t="shared" ref="F16:I16" si="3">F17*F14</f>
        <v>2448.9345415008033</v>
      </c>
      <c r="G16" s="23">
        <f t="shared" si="3"/>
        <v>2407.6271598576</v>
      </c>
      <c r="H16" s="23">
        <f t="shared" si="3"/>
        <v>2354.8134797789817</v>
      </c>
      <c r="I16" s="23">
        <f t="shared" si="3"/>
        <v>2290.3538535358753</v>
      </c>
    </row>
    <row r="17" spans="2:13">
      <c r="B17" s="25" t="s">
        <v>17</v>
      </c>
      <c r="D17" s="28">
        <f>D16/D14</f>
        <v>0.19809674861221252</v>
      </c>
      <c r="E17" s="26">
        <f>D17-(($D$17-$I$17)/5)</f>
        <v>0.18847739888977003</v>
      </c>
      <c r="F17" s="26">
        <f t="shared" ref="F17:H17" si="4">E17-(($D$17-$I$17)/5)</f>
        <v>0.17885804916732753</v>
      </c>
      <c r="G17" s="26">
        <f t="shared" si="4"/>
        <v>0.16923869944488504</v>
      </c>
      <c r="H17" s="26">
        <f t="shared" si="4"/>
        <v>0.15961934972244254</v>
      </c>
      <c r="I17" s="26">
        <v>0.15</v>
      </c>
    </row>
    <row r="18" spans="2:13">
      <c r="B18" t="s">
        <v>18</v>
      </c>
      <c r="D18" s="24">
        <f>'Input Data'!BA11</f>
        <v>1935</v>
      </c>
      <c r="E18" s="23">
        <f>E19*E14</f>
        <v>1877.6544219991747</v>
      </c>
      <c r="F18" s="23">
        <f t="shared" ref="F18:I18" si="5">F19*F14</f>
        <v>1808.306990075125</v>
      </c>
      <c r="G18" s="23">
        <f t="shared" si="5"/>
        <v>1726.7766884766606</v>
      </c>
      <c r="H18" s="23">
        <f t="shared" si="5"/>
        <v>1632.9732984278126</v>
      </c>
      <c r="I18" s="23">
        <f t="shared" si="5"/>
        <v>1526.9025690239171</v>
      </c>
    </row>
    <row r="19" spans="2:13">
      <c r="B19" s="25" t="s">
        <v>17</v>
      </c>
      <c r="D19" s="28">
        <f>D18/D14</f>
        <v>0.1534496431403648</v>
      </c>
      <c r="E19" s="26">
        <f>D19-(($D$19-$I$19)/5)</f>
        <v>0.14275971451229183</v>
      </c>
      <c r="F19" s="26">
        <f t="shared" ref="F19:H19" si="6">E19-(($D$19-$I$19)/5)</f>
        <v>0.13206978588421886</v>
      </c>
      <c r="G19" s="26">
        <f t="shared" si="6"/>
        <v>0.1213798572561459</v>
      </c>
      <c r="H19" s="26">
        <f t="shared" si="6"/>
        <v>0.11068992862807295</v>
      </c>
      <c r="I19" s="26">
        <v>0.1</v>
      </c>
    </row>
    <row r="20" spans="2:13">
      <c r="B20" s="25"/>
      <c r="D20" s="29"/>
      <c r="E20" s="30"/>
      <c r="F20" s="30"/>
      <c r="G20" s="30"/>
      <c r="H20" s="30"/>
      <c r="I20" s="30"/>
    </row>
    <row r="21" spans="2:13" ht="15" customHeight="1">
      <c r="B21" t="s">
        <v>19</v>
      </c>
      <c r="C21" s="23"/>
      <c r="D21" s="27">
        <f>D22*D18</f>
        <v>464.18714999999997</v>
      </c>
      <c r="E21" s="23">
        <f>E22*E18</f>
        <v>450.43051929338202</v>
      </c>
      <c r="F21" s="23">
        <f t="shared" ref="F21:I21" si="7">F22*F18</f>
        <v>433.79476384912169</v>
      </c>
      <c r="G21" s="23">
        <f t="shared" si="7"/>
        <v>414.23645979866609</v>
      </c>
      <c r="H21" s="23">
        <f t="shared" si="7"/>
        <v>391.73396455984795</v>
      </c>
      <c r="I21" s="23">
        <f t="shared" si="7"/>
        <v>366.28865728314747</v>
      </c>
    </row>
    <row r="22" spans="2:13" ht="15" customHeight="1">
      <c r="B22" s="25" t="s">
        <v>20</v>
      </c>
      <c r="D22" s="31">
        <f>Workbook!E11</f>
        <v>0.23988999999999999</v>
      </c>
      <c r="E22" s="31">
        <f>D22</f>
        <v>0.23988999999999999</v>
      </c>
      <c r="F22" s="31">
        <f t="shared" ref="F22:I22" si="8">E22</f>
        <v>0.23988999999999999</v>
      </c>
      <c r="G22" s="31">
        <f t="shared" si="8"/>
        <v>0.23988999999999999</v>
      </c>
      <c r="H22" s="31">
        <f t="shared" si="8"/>
        <v>0.23988999999999999</v>
      </c>
      <c r="I22" s="31">
        <f t="shared" si="8"/>
        <v>0.23988999999999999</v>
      </c>
    </row>
    <row r="23" spans="2:13" ht="15" customHeight="1">
      <c r="B23" s="32" t="s">
        <v>21</v>
      </c>
      <c r="C23" s="32"/>
      <c r="D23" s="33">
        <f>D18-D21</f>
        <v>1470.81285</v>
      </c>
      <c r="E23" s="33">
        <f t="shared" ref="E23:I23" si="9">E18-E21</f>
        <v>1427.2239027057926</v>
      </c>
      <c r="F23" s="34">
        <f t="shared" si="9"/>
        <v>1374.5122262260033</v>
      </c>
      <c r="G23" s="34">
        <f t="shared" si="9"/>
        <v>1312.5402286779945</v>
      </c>
      <c r="H23" s="34">
        <f t="shared" si="9"/>
        <v>1241.2393338679647</v>
      </c>
      <c r="I23" s="34">
        <f t="shared" si="9"/>
        <v>1160.6139117407697</v>
      </c>
    </row>
    <row r="24" spans="2:13">
      <c r="D24" s="27"/>
      <c r="E24" s="23"/>
      <c r="F24" s="23"/>
      <c r="G24" s="23"/>
      <c r="H24" s="23"/>
      <c r="I24" s="23"/>
    </row>
    <row r="25" spans="2:13" ht="15" customHeight="1">
      <c r="B25" t="s">
        <v>22</v>
      </c>
      <c r="D25" s="24">
        <f>'Input Data'!J11</f>
        <v>1106</v>
      </c>
      <c r="E25" s="23">
        <f>E16-E18</f>
        <v>601.30417413760961</v>
      </c>
      <c r="F25" s="23">
        <f t="shared" ref="F25:I25" si="10">F16-F18</f>
        <v>640.62755142567835</v>
      </c>
      <c r="G25" s="23">
        <f t="shared" si="10"/>
        <v>680.85047138093933</v>
      </c>
      <c r="H25" s="23">
        <f t="shared" si="10"/>
        <v>721.84018135116912</v>
      </c>
      <c r="I25" s="23">
        <f t="shared" si="10"/>
        <v>763.45128451195819</v>
      </c>
      <c r="M25" s="35"/>
    </row>
    <row r="26" spans="2:13" ht="15" customHeight="1">
      <c r="B26" t="s">
        <v>23</v>
      </c>
      <c r="D26" s="36">
        <f t="shared" ref="D26:I26" si="11">C32-D32</f>
        <v>-28473</v>
      </c>
      <c r="E26" s="36">
        <f t="shared" si="11"/>
        <v>113.50261563497338</v>
      </c>
      <c r="F26" s="23">
        <f t="shared" si="11"/>
        <v>73.157654981027463</v>
      </c>
      <c r="G26" s="23">
        <f t="shared" si="11"/>
        <v>72.433380118902278</v>
      </c>
      <c r="H26" s="23">
        <f t="shared" si="11"/>
        <v>71.388740786511562</v>
      </c>
      <c r="I26" s="23">
        <f t="shared" si="11"/>
        <v>70.016883703249277</v>
      </c>
      <c r="M26" s="37"/>
    </row>
    <row r="27" spans="2:13" ht="15" customHeight="1">
      <c r="B27" t="s">
        <v>24</v>
      </c>
      <c r="D27" s="24">
        <v>-10495</v>
      </c>
      <c r="E27" s="38">
        <f>-(E28*E14)</f>
        <v>-10946.552138029852</v>
      </c>
      <c r="F27" s="38">
        <f>-(F28*F14)</f>
        <v>-533.9902093485324</v>
      </c>
      <c r="G27" s="38">
        <f>-(G28*G14)</f>
        <v>-540.59640244626053</v>
      </c>
      <c r="H27" s="38">
        <f>-(H28*H14)</f>
        <v>-545.84922757376739</v>
      </c>
      <c r="I27" s="38">
        <f>-(I28*I14)</f>
        <v>-549.68492484861008</v>
      </c>
      <c r="M27" s="37"/>
    </row>
    <row r="28" spans="2:13" ht="15" customHeight="1">
      <c r="B28" s="25" t="s">
        <v>25</v>
      </c>
      <c r="D28" s="39">
        <f>-(D27/D14)</f>
        <v>0.83227597145122922</v>
      </c>
      <c r="E28" s="26">
        <f>D28</f>
        <v>0.83227597145122922</v>
      </c>
      <c r="F28" s="26">
        <v>3.9E-2</v>
      </c>
      <c r="G28" s="26">
        <v>3.7999999999999999E-2</v>
      </c>
      <c r="H28" s="26">
        <v>3.6999999999999998E-2</v>
      </c>
      <c r="I28" s="26">
        <v>3.5999999999999997E-2</v>
      </c>
      <c r="M28" s="37"/>
    </row>
    <row r="29" spans="2:13">
      <c r="D29" s="40"/>
      <c r="E29" s="41"/>
      <c r="F29" s="41"/>
      <c r="G29" s="41"/>
      <c r="H29" s="41"/>
      <c r="I29" s="41"/>
      <c r="M29" s="37"/>
    </row>
    <row r="30" spans="2:13">
      <c r="B30" s="32" t="s">
        <v>26</v>
      </c>
      <c r="C30" s="32"/>
      <c r="D30" s="34"/>
      <c r="E30" s="34">
        <f>E23+E25+E26+E27</f>
        <v>-8804.5214455514761</v>
      </c>
      <c r="F30" s="34">
        <f t="shared" ref="F30:I30" si="12">F23+F25+F26+F27</f>
        <v>1554.3072232841769</v>
      </c>
      <c r="G30" s="34">
        <f t="shared" si="12"/>
        <v>1525.2276777315756</v>
      </c>
      <c r="H30" s="34">
        <f t="shared" si="12"/>
        <v>1488.619028431878</v>
      </c>
      <c r="I30" s="34">
        <f t="shared" si="12"/>
        <v>1444.3971551073671</v>
      </c>
      <c r="M30" s="34"/>
    </row>
    <row r="31" spans="2:13">
      <c r="D31" s="30"/>
      <c r="M31" s="37"/>
    </row>
    <row r="32" spans="2:13">
      <c r="B32" t="s">
        <v>312</v>
      </c>
      <c r="C32" s="40">
        <f>23186+3956+25809+12087-55888-33327-5966</f>
        <v>-30143</v>
      </c>
      <c r="D32" s="40">
        <f>'Balance Sheet'!K30-'Balance Sheet'!K52</f>
        <v>-1670</v>
      </c>
      <c r="E32" s="23">
        <f>E33*E14</f>
        <v>-1783.5026156349734</v>
      </c>
      <c r="F32" s="23">
        <f>F33*F14</f>
        <v>-1856.6602706160008</v>
      </c>
      <c r="G32" s="23">
        <f>G33*G14</f>
        <v>-1929.0936507349031</v>
      </c>
      <c r="H32" s="23">
        <f>H33*H14</f>
        <v>-2000.4823915214147</v>
      </c>
      <c r="I32" s="23">
        <f>I33*I14</f>
        <v>-2070.499275224664</v>
      </c>
    </row>
    <row r="33" spans="2:13">
      <c r="B33" s="25" t="s">
        <v>25</v>
      </c>
      <c r="D33" s="10">
        <f>D32/D14</f>
        <v>-0.13243457573354481</v>
      </c>
      <c r="E33" s="10">
        <f>Workbook!$L$16</f>
        <v>-0.13560126999774746</v>
      </c>
      <c r="F33" s="10">
        <f>Workbook!$L$16</f>
        <v>-0.13560126999774746</v>
      </c>
      <c r="G33" s="10">
        <f>Workbook!$L$16</f>
        <v>-0.13560126999774746</v>
      </c>
      <c r="H33" s="10">
        <f>Workbook!$L$16</f>
        <v>-0.13560126999774746</v>
      </c>
      <c r="I33" s="10">
        <f>Workbook!$L$16</f>
        <v>-0.13560126999774746</v>
      </c>
      <c r="J33" s="30"/>
    </row>
    <row r="34" spans="2:13">
      <c r="D34" s="30"/>
      <c r="E34" s="10"/>
      <c r="F34" s="10"/>
      <c r="G34" s="10"/>
      <c r="H34" s="10"/>
      <c r="I34" s="10"/>
      <c r="J34" s="30"/>
      <c r="K34" s="38"/>
      <c r="M34" s="10"/>
    </row>
    <row r="35" spans="2:13">
      <c r="B35" s="12" t="str">
        <f>"Present value of UFCF on "&amp;TEXT(D7,"mmm dd, yyyy")&amp;" valuation date"</f>
        <v>Present value of UFCF on Dec 31, 2020 valuation date</v>
      </c>
      <c r="C35" s="13"/>
      <c r="D35" s="42"/>
      <c r="E35" s="13"/>
      <c r="F35" s="42"/>
      <c r="G35" s="42"/>
      <c r="H35" s="42"/>
      <c r="I35" s="42"/>
      <c r="J35" s="30"/>
    </row>
    <row r="36" spans="2:13" ht="18">
      <c r="B36" s="32"/>
      <c r="D36" s="43" t="s">
        <v>27</v>
      </c>
      <c r="E36" s="43" t="s">
        <v>28</v>
      </c>
      <c r="F36" s="44" t="s">
        <v>29</v>
      </c>
      <c r="G36" s="44" t="s">
        <v>30</v>
      </c>
      <c r="H36" s="44" t="s">
        <v>31</v>
      </c>
      <c r="I36" s="44" t="s">
        <v>32</v>
      </c>
      <c r="J36" s="30"/>
    </row>
    <row r="37" spans="2:13">
      <c r="B37" t="s">
        <v>33</v>
      </c>
      <c r="C37" s="45"/>
      <c r="D37" s="46">
        <f>D7</f>
        <v>44196</v>
      </c>
      <c r="E37" s="46">
        <f>IF($H$7=0,E12,AVERAGE(D37,E12))</f>
        <v>44196</v>
      </c>
      <c r="F37" s="46">
        <f>IF($H$7=0,F12,AVERAGE(F12,E12))</f>
        <v>44561</v>
      </c>
      <c r="G37" s="46">
        <f>IF($H$7=0,G12,AVERAGE(G12,F12))</f>
        <v>44926</v>
      </c>
      <c r="H37" s="46">
        <f>IF($H$7=0,H12,AVERAGE(H12,G12))</f>
        <v>45291</v>
      </c>
      <c r="I37" s="46">
        <f>IF($H$7=0,I12,AVERAGE(I12,H12))</f>
        <v>45657</v>
      </c>
      <c r="J37" s="30"/>
    </row>
    <row r="38" spans="2:13">
      <c r="B38" t="s">
        <v>34</v>
      </c>
      <c r="C38" s="47">
        <f>D8</f>
        <v>0</v>
      </c>
      <c r="D38" s="37"/>
      <c r="E38" s="48">
        <f>C38*E30</f>
        <v>0</v>
      </c>
      <c r="F38" s="48">
        <f>F30</f>
        <v>1554.3072232841769</v>
      </c>
      <c r="G38" s="48">
        <f t="shared" ref="G38:I38" si="13">G30</f>
        <v>1525.2276777315756</v>
      </c>
      <c r="H38" s="48">
        <f t="shared" si="13"/>
        <v>1488.619028431878</v>
      </c>
      <c r="I38" s="48">
        <f t="shared" si="13"/>
        <v>1444.3971551073671</v>
      </c>
      <c r="J38" s="23"/>
    </row>
    <row r="39" spans="2:13" ht="15" customHeight="1">
      <c r="B39" s="32" t="s">
        <v>35</v>
      </c>
      <c r="C39" s="49"/>
      <c r="E39" s="34">
        <f>E38/(1+$H$4)^((E37-$D$37)/365)</f>
        <v>0</v>
      </c>
      <c r="F39" s="34">
        <f>F38/(1+$H$4)^((F37-$D$37)/365)</f>
        <v>1413.0065666219789</v>
      </c>
      <c r="G39" s="34">
        <f t="shared" ref="G39:I39" si="14">G38/(1+$H$4)^((G37-$D$37)/365)</f>
        <v>1260.5187419269218</v>
      </c>
      <c r="H39" s="34">
        <f t="shared" si="14"/>
        <v>1118.4215089645961</v>
      </c>
      <c r="I39" s="34">
        <f t="shared" si="14"/>
        <v>986.28511570334604</v>
      </c>
      <c r="J39" s="23"/>
    </row>
    <row r="41" spans="2:13">
      <c r="B41" s="12" t="s">
        <v>36</v>
      </c>
      <c r="C41" s="12"/>
      <c r="E41" s="12" t="s">
        <v>37</v>
      </c>
      <c r="F41" s="13"/>
      <c r="G41" s="13"/>
      <c r="H41" s="13"/>
      <c r="I41" s="13"/>
    </row>
    <row r="42" spans="2:13">
      <c r="B42" t="s">
        <v>38</v>
      </c>
      <c r="C42" s="26">
        <v>0.03</v>
      </c>
      <c r="E42" t="s">
        <v>39</v>
      </c>
      <c r="I42" s="37">
        <f>I16</f>
        <v>2290.3538535358753</v>
      </c>
      <c r="J42" s="37"/>
    </row>
    <row r="43" spans="2:13">
      <c r="B43" s="50" t="str">
        <f>YEAR(I12)&amp;" FCF x (1+g)"</f>
        <v>2024 FCF x (1+g)</v>
      </c>
      <c r="C43" s="37">
        <f>I30*(1+C42)</f>
        <v>1487.7290697605881</v>
      </c>
      <c r="E43" t="s">
        <v>40</v>
      </c>
      <c r="I43" s="51">
        <v>12.5</v>
      </c>
      <c r="J43" s="51"/>
    </row>
    <row r="44" spans="2:13">
      <c r="B44" t="str">
        <f>"Terminal value in "&amp;YEAR(I12)</f>
        <v>Terminal value in 2024</v>
      </c>
      <c r="C44" s="37">
        <f>C43/(H4-C42)</f>
        <v>21253.272425151255</v>
      </c>
      <c r="E44" t="str">
        <f>"Terminal value in "&amp;YEAR(I12)</f>
        <v>Terminal value in 2024</v>
      </c>
      <c r="I44" s="37">
        <f>I42*I43</f>
        <v>28629.423169198442</v>
      </c>
      <c r="J44" s="37"/>
    </row>
    <row r="45" spans="2:13">
      <c r="B45" t="s">
        <v>41</v>
      </c>
      <c r="C45" s="37">
        <f>C44/(1+H4)^((I37-D37)/365)</f>
        <v>14512.480988206376</v>
      </c>
      <c r="E45" t="s">
        <v>41</v>
      </c>
      <c r="I45" s="37">
        <f>I44/(1+H4)^((I37-D37)/365)</f>
        <v>19549.175822666311</v>
      </c>
      <c r="J45" s="37"/>
    </row>
    <row r="46" spans="2:13">
      <c r="B46" t="s">
        <v>42</v>
      </c>
      <c r="C46" s="23">
        <f>SUM(E39:I39)</f>
        <v>4778.2319332168427</v>
      </c>
      <c r="E46" t="s">
        <v>42</v>
      </c>
      <c r="I46" s="37">
        <f>C46</f>
        <v>4778.2319332168427</v>
      </c>
      <c r="J46" s="37"/>
    </row>
    <row r="47" spans="2:13">
      <c r="B47" s="32" t="s">
        <v>43</v>
      </c>
      <c r="C47" s="52">
        <f>SUM(C45:C46)</f>
        <v>19290.712921423219</v>
      </c>
      <c r="D47" s="53"/>
      <c r="E47" s="32" t="s">
        <v>44</v>
      </c>
      <c r="I47" s="52">
        <f>SUM(I45:I46)</f>
        <v>24327.407755883156</v>
      </c>
      <c r="J47" s="52"/>
    </row>
    <row r="48" spans="2:13">
      <c r="D48" s="35"/>
    </row>
    <row r="49" spans="2:12">
      <c r="B49" s="54" t="s">
        <v>45</v>
      </c>
      <c r="C49" s="55">
        <f>C45/$C$47</f>
        <v>0.75230402563762189</v>
      </c>
      <c r="E49" s="54" t="s">
        <v>45</v>
      </c>
      <c r="I49" s="55">
        <f>I45/$I$47</f>
        <v>0.80358647410506312</v>
      </c>
      <c r="J49" s="55"/>
    </row>
    <row r="50" spans="2:12">
      <c r="B50" s="54" t="s">
        <v>46</v>
      </c>
      <c r="C50" s="55">
        <f t="shared" ref="C50" si="15">C46/$C$47</f>
        <v>0.24769597436237814</v>
      </c>
      <c r="E50" s="54" t="s">
        <v>46</v>
      </c>
      <c r="G50" s="56"/>
      <c r="I50" s="55">
        <f t="shared" ref="I50" si="16">I46/$I$47</f>
        <v>0.1964135258949368</v>
      </c>
      <c r="J50" s="35"/>
    </row>
    <row r="51" spans="2:12">
      <c r="B51" s="54" t="s">
        <v>47</v>
      </c>
      <c r="C51" s="57">
        <f>C44/I16</f>
        <v>9.2794711141862223</v>
      </c>
      <c r="E51" t="s">
        <v>48</v>
      </c>
      <c r="I51" s="58">
        <f>(H4-I38/I44)/(1+I38/I44)</f>
        <v>4.7168771593211992E-2</v>
      </c>
      <c r="J51" s="58"/>
    </row>
    <row r="52" spans="2:12">
      <c r="B52" s="54"/>
      <c r="C52" s="17"/>
      <c r="D52" s="57"/>
      <c r="I52" s="58"/>
      <c r="J52" s="58"/>
    </row>
    <row r="53" spans="2:12">
      <c r="B53" s="12" t="s">
        <v>49</v>
      </c>
      <c r="C53" s="13"/>
      <c r="E53" s="12" t="s">
        <v>50</v>
      </c>
      <c r="F53" s="13"/>
      <c r="G53" s="12"/>
      <c r="H53" s="13"/>
      <c r="I53" s="13"/>
    </row>
    <row r="54" spans="2:12">
      <c r="B54" t="s">
        <v>51</v>
      </c>
      <c r="C54" s="7" t="s">
        <v>52</v>
      </c>
      <c r="L54" s="59"/>
    </row>
    <row r="55" spans="2:12">
      <c r="B55" s="60" t="s">
        <v>53</v>
      </c>
      <c r="C55" s="4">
        <v>44193</v>
      </c>
      <c r="G55" s="61" t="s">
        <v>51</v>
      </c>
      <c r="H55" s="62" t="s">
        <v>54</v>
      </c>
      <c r="I55" s="62" t="s">
        <v>55</v>
      </c>
    </row>
    <row r="56" spans="2:12">
      <c r="B56" s="63" t="s">
        <v>56</v>
      </c>
      <c r="C56" s="6"/>
      <c r="E56" t="s">
        <v>57</v>
      </c>
      <c r="G56" s="7" t="s">
        <v>52</v>
      </c>
      <c r="H56" s="7">
        <v>43847</v>
      </c>
      <c r="I56" s="64">
        <v>4375.4799999999996</v>
      </c>
      <c r="J56" s="64"/>
    </row>
    <row r="57" spans="2:12">
      <c r="B57" s="25" t="s">
        <v>58</v>
      </c>
      <c r="C57" s="41">
        <v>6310</v>
      </c>
      <c r="E57" s="60" t="s">
        <v>59</v>
      </c>
      <c r="G57" s="7" t="s">
        <v>52</v>
      </c>
      <c r="H57" s="7">
        <v>43827</v>
      </c>
      <c r="I57" s="64">
        <v>96.02</v>
      </c>
      <c r="J57" s="65"/>
    </row>
    <row r="58" spans="2:12" ht="15" customHeight="1">
      <c r="B58" s="25" t="s">
        <v>60</v>
      </c>
      <c r="C58" s="41">
        <v>0</v>
      </c>
      <c r="E58" s="60" t="s">
        <v>61</v>
      </c>
      <c r="G58" s="7"/>
      <c r="H58" s="7"/>
      <c r="I58" s="66">
        <v>0</v>
      </c>
    </row>
    <row r="59" spans="2:12" ht="15" customHeight="1">
      <c r="B59" s="25" t="s">
        <v>62</v>
      </c>
      <c r="C59" s="41">
        <v>0</v>
      </c>
      <c r="E59" t="s">
        <v>60</v>
      </c>
      <c r="G59" s="7"/>
      <c r="H59" s="7"/>
      <c r="I59" s="66">
        <v>0</v>
      </c>
    </row>
    <row r="60" spans="2:12">
      <c r="B60" s="67" t="s">
        <v>63</v>
      </c>
      <c r="C60" s="41">
        <v>0</v>
      </c>
      <c r="E60" t="s">
        <v>64</v>
      </c>
      <c r="G60" s="7"/>
      <c r="H60" s="7"/>
      <c r="I60" s="66">
        <v>0</v>
      </c>
    </row>
    <row r="61" spans="2:12" ht="15" customHeight="1">
      <c r="B61" s="63" t="s">
        <v>65</v>
      </c>
      <c r="E61" s="68" t="s">
        <v>66</v>
      </c>
      <c r="I61" s="69">
        <f>SUM(I56:I60)</f>
        <v>4471.5</v>
      </c>
      <c r="J61" s="70"/>
    </row>
    <row r="62" spans="2:12">
      <c r="B62" s="71" t="s">
        <v>67</v>
      </c>
      <c r="C62" s="41">
        <f>'Balance Sheet'!L18</f>
        <v>1288</v>
      </c>
      <c r="J62" s="72"/>
    </row>
    <row r="63" spans="2:12">
      <c r="B63" s="71" t="s">
        <v>68</v>
      </c>
      <c r="C63" s="41">
        <v>0</v>
      </c>
      <c r="J63" s="72"/>
    </row>
    <row r="64" spans="2:12">
      <c r="J64" s="73"/>
    </row>
    <row r="65" spans="2:17">
      <c r="B65" s="74" t="s">
        <v>49</v>
      </c>
      <c r="C65" s="75">
        <f>SUM(C57:C60)-SUM(C62:C63)</f>
        <v>5022</v>
      </c>
    </row>
    <row r="67" spans="2:17">
      <c r="B67" s="12" t="s">
        <v>69</v>
      </c>
      <c r="C67" s="13"/>
      <c r="D67" s="13"/>
    </row>
    <row r="68" spans="2:17" ht="18">
      <c r="C68" s="76" t="s">
        <v>70</v>
      </c>
      <c r="D68" s="76" t="s">
        <v>16</v>
      </c>
    </row>
    <row r="69" spans="2:17">
      <c r="B69" t="s">
        <v>71</v>
      </c>
      <c r="C69" s="77">
        <f>C47</f>
        <v>19290.712921423219</v>
      </c>
      <c r="D69" s="77">
        <f>I47</f>
        <v>24327.407755883156</v>
      </c>
    </row>
    <row r="70" spans="2:17">
      <c r="B70" t="s">
        <v>49</v>
      </c>
      <c r="C70" s="78">
        <f>C65</f>
        <v>5022</v>
      </c>
      <c r="D70" s="78">
        <f>C70</f>
        <v>5022</v>
      </c>
    </row>
    <row r="71" spans="2:17">
      <c r="B71" t="s">
        <v>72</v>
      </c>
      <c r="C71" s="79">
        <f>C69-C70</f>
        <v>14268.712921423219</v>
      </c>
      <c r="D71" s="79">
        <f>D69-D70</f>
        <v>19305.407755883156</v>
      </c>
    </row>
    <row r="72" spans="2:17">
      <c r="B72" t="s">
        <v>50</v>
      </c>
      <c r="C72" s="79">
        <f>Workbook!O16/10^3</f>
        <v>2144.000002845778</v>
      </c>
      <c r="D72" s="79">
        <f>C72</f>
        <v>2144.000002845778</v>
      </c>
    </row>
    <row r="73" spans="2:17">
      <c r="B73" s="32" t="s">
        <v>73</v>
      </c>
      <c r="C73" s="198">
        <f>C71/C72</f>
        <v>6.6551832567556177</v>
      </c>
      <c r="D73" s="198">
        <f t="shared" ref="D73" si="17">D71/D72</f>
        <v>9.0043879338893031</v>
      </c>
    </row>
    <row r="74" spans="2:17">
      <c r="B74" s="32"/>
      <c r="C74" s="80"/>
      <c r="D74" s="80"/>
    </row>
    <row r="75" spans="2:17">
      <c r="B75" s="61" t="s">
        <v>74</v>
      </c>
      <c r="C75" s="62" t="s">
        <v>70</v>
      </c>
      <c r="D75" s="62" t="s">
        <v>16</v>
      </c>
      <c r="E75" s="81"/>
      <c r="F75" s="81"/>
    </row>
    <row r="76" spans="2:17">
      <c r="B76" t="s">
        <v>75</v>
      </c>
      <c r="C76" s="82">
        <f>C69/$E$14</f>
        <v>1.4666898429950643</v>
      </c>
      <c r="D76" s="82">
        <f>D69/$E$14</f>
        <v>1.8496341740863325</v>
      </c>
      <c r="E76" s="81"/>
      <c r="F76" s="81"/>
    </row>
    <row r="77" spans="2:17">
      <c r="B77" t="s">
        <v>76</v>
      </c>
      <c r="C77" s="81">
        <f>C69/$E$16</f>
        <v>7.7817810073495854</v>
      </c>
      <c r="D77" s="81">
        <f>D69/$E$16</f>
        <v>9.8135595301168213</v>
      </c>
      <c r="E77" s="81"/>
      <c r="F77" s="81"/>
      <c r="G77" s="83"/>
      <c r="H77" s="83"/>
    </row>
    <row r="78" spans="2:17">
      <c r="B78" s="23" t="s">
        <v>77</v>
      </c>
      <c r="C78" s="81">
        <f>C69/$E$18</f>
        <v>10.27383564057758</v>
      </c>
      <c r="D78" s="81">
        <f>D69/$E$18</f>
        <v>12.956275377862822</v>
      </c>
      <c r="E78" s="81"/>
      <c r="F78" s="84"/>
    </row>
    <row r="79" spans="2:17">
      <c r="F79" s="83"/>
    </row>
    <row r="80" spans="2:17">
      <c r="B80" s="12" t="s">
        <v>78</v>
      </c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</row>
    <row r="81" spans="2:17">
      <c r="B81" s="32"/>
    </row>
    <row r="82" spans="2:17" ht="17.25" customHeight="1">
      <c r="B82" s="85"/>
      <c r="C82" s="32"/>
      <c r="D82" s="86" t="s">
        <v>73</v>
      </c>
      <c r="E82" s="15"/>
      <c r="F82" s="15"/>
      <c r="G82" s="15"/>
      <c r="H82" s="15"/>
      <c r="I82" s="15"/>
      <c r="J82" s="87"/>
      <c r="L82" s="86" t="s">
        <v>79</v>
      </c>
      <c r="M82" s="15"/>
      <c r="N82" s="15"/>
      <c r="O82" s="15"/>
      <c r="P82" s="15"/>
      <c r="Q82" s="15"/>
    </row>
    <row r="83" spans="2:17" ht="15" customHeight="1">
      <c r="B83" s="85"/>
      <c r="D83" s="60"/>
      <c r="E83" s="88" t="s">
        <v>80</v>
      </c>
      <c r="F83" s="88"/>
      <c r="G83" s="88"/>
      <c r="H83" s="88"/>
      <c r="I83" s="88"/>
      <c r="J83" s="89"/>
      <c r="L83" s="60"/>
      <c r="M83" s="88" t="s">
        <v>80</v>
      </c>
      <c r="N83" s="88"/>
      <c r="O83" s="88"/>
      <c r="P83" s="88"/>
      <c r="Q83" s="88"/>
    </row>
    <row r="84" spans="2:17" ht="15" customHeight="1">
      <c r="B84" s="85"/>
      <c r="C84" s="90"/>
      <c r="D84" s="91">
        <f>C73</f>
        <v>6.6551832567556177</v>
      </c>
      <c r="E84" s="92">
        <f t="shared" ref="E84" si="18">F84-0.005</f>
        <v>1.9999999999999997E-2</v>
      </c>
      <c r="F84" s="93">
        <f>G84-0.005</f>
        <v>2.4999999999999998E-2</v>
      </c>
      <c r="G84" s="94">
        <v>0.03</v>
      </c>
      <c r="H84" s="93">
        <f>G84+0.005</f>
        <v>3.4999999999999996E-2</v>
      </c>
      <c r="I84" s="93">
        <f t="shared" ref="I84" si="19">H84+0.005</f>
        <v>3.9999999999999994E-2</v>
      </c>
      <c r="J84" s="95"/>
      <c r="L84" s="96">
        <f>C77</f>
        <v>7.7817810073495854</v>
      </c>
      <c r="M84" s="92">
        <f t="shared" ref="M84" si="20">N84-0.005</f>
        <v>1.9999999999999997E-2</v>
      </c>
      <c r="N84" s="93">
        <f>O84-0.005</f>
        <v>2.4999999999999998E-2</v>
      </c>
      <c r="O84" s="94">
        <v>0.03</v>
      </c>
      <c r="P84" s="93">
        <f>O84+0.005</f>
        <v>3.4999999999999996E-2</v>
      </c>
      <c r="Q84" s="93">
        <f t="shared" ref="Q84" si="21">P84+0.005</f>
        <v>3.9999999999999994E-2</v>
      </c>
    </row>
    <row r="85" spans="2:17" ht="15" customHeight="1">
      <c r="B85" s="85"/>
      <c r="D85" s="97">
        <f t="shared" ref="D85" si="22">D86+0.005</f>
        <v>0.1</v>
      </c>
      <c r="E85" s="98">
        <f t="dataTable" ref="E85:I89" dt2D="1" dtr="1" r1="C42" r2="H4"/>
        <v>5.7515704953669822</v>
      </c>
      <c r="F85" s="98">
        <v>6.1732564506816798</v>
      </c>
      <c r="G85" s="98">
        <v>6.6551832567556177</v>
      </c>
      <c r="H85" s="98">
        <v>7.2112526483793928</v>
      </c>
      <c r="I85" s="98">
        <v>7.8600002719404642</v>
      </c>
      <c r="J85" s="99"/>
      <c r="L85" s="97">
        <f t="shared" ref="L85" si="23">L86+0.005</f>
        <v>0.1</v>
      </c>
      <c r="M85" s="100">
        <f t="dataTable" ref="M85:Q89" dt2D="1" dtr="1" r1="C42" r2="H4" ca="1"/>
        <v>7.0002650247882467</v>
      </c>
      <c r="N85" s="100">
        <v>7.3649724833168726</v>
      </c>
      <c r="O85" s="100">
        <v>7.7817810073495854</v>
      </c>
      <c r="P85" s="100">
        <v>8.2627139196950239</v>
      </c>
      <c r="Q85" s="100">
        <v>8.8238023174313689</v>
      </c>
    </row>
    <row r="86" spans="2:17" ht="15" customHeight="1">
      <c r="B86" s="85"/>
      <c r="D86" s="97">
        <f>D87+0.005</f>
        <v>9.5000000000000001E-2</v>
      </c>
      <c r="E86" s="98">
        <v>6.2817582452940739</v>
      </c>
      <c r="F86" s="98">
        <v>6.7703230773146208</v>
      </c>
      <c r="G86" s="98">
        <v>7.3340517296460215</v>
      </c>
      <c r="H86" s="98">
        <v>7.9917351573659889</v>
      </c>
      <c r="I86" s="98">
        <v>8.7689973901259499</v>
      </c>
      <c r="J86" s="99"/>
      <c r="L86" s="97">
        <f>L87+0.005</f>
        <v>9.5000000000000001E-2</v>
      </c>
      <c r="M86" s="100">
        <v>7.4588134406931967</v>
      </c>
      <c r="N86" s="100">
        <v>7.8813630560336057</v>
      </c>
      <c r="O86" s="100">
        <v>8.3689203045033089</v>
      </c>
      <c r="P86" s="100">
        <v>8.9377370943846302</v>
      </c>
      <c r="Q86" s="100">
        <v>9.6099751187898281</v>
      </c>
    </row>
    <row r="87" spans="2:17" ht="15" customHeight="1">
      <c r="B87" s="85"/>
      <c r="C87" s="90" t="s">
        <v>81</v>
      </c>
      <c r="D87" s="101">
        <v>0.09</v>
      </c>
      <c r="E87" s="98">
        <v>6.8875336907235667</v>
      </c>
      <c r="F87" s="98">
        <v>7.4590628834031989</v>
      </c>
      <c r="G87" s="98">
        <v>8.125846941529435</v>
      </c>
      <c r="H87" s="98">
        <v>8.9138644647695333</v>
      </c>
      <c r="I87" s="98">
        <v>9.8594854926576492</v>
      </c>
      <c r="J87" s="99"/>
      <c r="K87" s="90" t="s">
        <v>81</v>
      </c>
      <c r="L87" s="101">
        <v>0.09</v>
      </c>
      <c r="M87" s="100">
        <v>7.9827360906110938</v>
      </c>
      <c r="N87" s="100">
        <v>8.4770398650433005</v>
      </c>
      <c r="O87" s="100">
        <v>9.0537276018808743</v>
      </c>
      <c r="P87" s="100">
        <v>9.7352676545070977</v>
      </c>
      <c r="Q87" s="100">
        <v>10.553115717658564</v>
      </c>
    </row>
    <row r="88" spans="2:17" ht="15" customHeight="1">
      <c r="B88" s="85"/>
      <c r="D88" s="97">
        <f>D87-0.005</f>
        <v>8.4999999999999992E-2</v>
      </c>
      <c r="E88" s="98">
        <v>7.5863367351402982</v>
      </c>
      <c r="F88" s="98">
        <v>8.2623900673763888</v>
      </c>
      <c r="G88" s="98">
        <v>9.0613621872917758</v>
      </c>
      <c r="H88" s="98">
        <v>10.020128731190232</v>
      </c>
      <c r="I88" s="98">
        <v>11.191954507066125</v>
      </c>
      <c r="J88" s="99"/>
      <c r="L88" s="97">
        <f>L87-0.005</f>
        <v>8.4999999999999992E-2</v>
      </c>
      <c r="M88" s="100">
        <v>8.5871163862533706</v>
      </c>
      <c r="N88" s="100">
        <v>9.1718209264973716</v>
      </c>
      <c r="O88" s="100">
        <v>9.8628353831493811</v>
      </c>
      <c r="P88" s="100">
        <v>10.692052731131783</v>
      </c>
      <c r="Q88" s="100">
        <v>11.705540600888057</v>
      </c>
    </row>
    <row r="89" spans="2:17" ht="15" customHeight="1">
      <c r="B89" s="102" t="s">
        <v>82</v>
      </c>
      <c r="D89" s="103">
        <f>D88-0.005</f>
        <v>7.9999999999999988E-2</v>
      </c>
      <c r="E89" s="98">
        <v>8.4014204877586476</v>
      </c>
      <c r="F89" s="98">
        <v>9.2115511480421866</v>
      </c>
      <c r="G89" s="98">
        <v>10.183707940382439</v>
      </c>
      <c r="H89" s="98">
        <v>11.371899575464962</v>
      </c>
      <c r="I89" s="98">
        <v>12.857139119318118</v>
      </c>
      <c r="J89" s="99"/>
      <c r="L89" s="103">
        <f>L88-0.005</f>
        <v>7.9999999999999988E-2</v>
      </c>
      <c r="M89" s="100">
        <v>9.2920654606980406</v>
      </c>
      <c r="N89" s="100">
        <v>9.9927307080564205</v>
      </c>
      <c r="O89" s="100">
        <v>10.833529004886479</v>
      </c>
      <c r="P89" s="100">
        <v>11.861171367678768</v>
      </c>
      <c r="Q89" s="100">
        <v>13.14572432116913</v>
      </c>
    </row>
    <row r="90" spans="2:17" ht="15" customHeight="1">
      <c r="B90" s="102" t="s">
        <v>83</v>
      </c>
      <c r="E90" s="104"/>
      <c r="F90" s="104"/>
      <c r="G90" s="104"/>
      <c r="H90" s="104"/>
      <c r="I90" s="104"/>
      <c r="J90" s="105"/>
    </row>
    <row r="91" spans="2:17" ht="17.25" customHeight="1">
      <c r="B91" s="85"/>
      <c r="D91" s="86" t="s">
        <v>73</v>
      </c>
      <c r="E91" s="15"/>
      <c r="F91" s="15"/>
      <c r="G91" s="15"/>
      <c r="H91" s="15"/>
      <c r="I91" s="15"/>
      <c r="J91" s="87"/>
      <c r="L91" s="86" t="s">
        <v>79</v>
      </c>
      <c r="M91" s="15"/>
      <c r="N91" s="15"/>
      <c r="O91" s="15"/>
      <c r="P91" s="15"/>
      <c r="Q91" s="15"/>
    </row>
    <row r="92" spans="2:17" ht="15" customHeight="1">
      <c r="B92" s="85"/>
      <c r="E92" s="88" t="s">
        <v>84</v>
      </c>
      <c r="F92" s="88"/>
      <c r="G92" s="88"/>
      <c r="H92" s="88"/>
      <c r="I92" s="88"/>
      <c r="J92" s="89"/>
      <c r="M92" s="88" t="s">
        <v>84</v>
      </c>
      <c r="N92" s="88"/>
      <c r="O92" s="88"/>
      <c r="P92" s="88"/>
      <c r="Q92" s="88"/>
    </row>
    <row r="93" spans="2:17" ht="15" customHeight="1">
      <c r="B93" s="85"/>
      <c r="D93" s="106">
        <f>D73</f>
        <v>9.0043879338893031</v>
      </c>
      <c r="E93" s="107">
        <f t="shared" ref="E93" si="24">F93-0.5</f>
        <v>11.5</v>
      </c>
      <c r="F93" s="107">
        <f>G93-0.5</f>
        <v>12</v>
      </c>
      <c r="G93" s="108">
        <v>12.5</v>
      </c>
      <c r="H93" s="107">
        <f>G93+0.5</f>
        <v>13</v>
      </c>
      <c r="I93" s="107">
        <f t="shared" ref="I93" si="25">H93+0.5</f>
        <v>13.5</v>
      </c>
      <c r="J93" s="109"/>
      <c r="L93" s="96">
        <f>D77</f>
        <v>9.8135595301168213</v>
      </c>
      <c r="M93" s="107">
        <f t="shared" ref="M93" si="26">N93-0.5</f>
        <v>11.5</v>
      </c>
      <c r="N93" s="107">
        <f>O93-0.5</f>
        <v>12</v>
      </c>
      <c r="O93" s="108">
        <v>12.5</v>
      </c>
      <c r="P93" s="107">
        <f>O93+0.5</f>
        <v>13</v>
      </c>
      <c r="Q93" s="107">
        <f t="shared" ref="Q93" si="27">P93+0.5</f>
        <v>13.5</v>
      </c>
    </row>
    <row r="94" spans="2:17" ht="15" customHeight="1">
      <c r="B94" s="85"/>
      <c r="D94" s="97">
        <f t="shared" ref="D94" si="28">D95+0.005</f>
        <v>0.1</v>
      </c>
      <c r="E94" s="98">
        <f t="dataTable" ref="E94:I98" dt2D="1" dtr="1" r1="I43" r2="H4" ca="1"/>
        <v>8.2749410758028006</v>
      </c>
      <c r="F94" s="98">
        <v>8.6396645048460492</v>
      </c>
      <c r="G94" s="98">
        <v>9.0043879338893031</v>
      </c>
      <c r="H94" s="98">
        <v>9.3691113629325535</v>
      </c>
      <c r="I94" s="98">
        <v>9.7338347919758039</v>
      </c>
      <c r="J94" s="99"/>
      <c r="L94" s="97">
        <f t="shared" ref="L94" si="29">L95+0.005</f>
        <v>0.1</v>
      </c>
      <c r="M94" s="100">
        <f t="dataTable" ref="M94:Q98" dt2D="1" dtr="1" r1="I43" r2="H4" ca="1"/>
        <v>9.1826760340186819</v>
      </c>
      <c r="N94" s="100">
        <v>9.4981177820677498</v>
      </c>
      <c r="O94" s="100">
        <v>9.8135595301168213</v>
      </c>
      <c r="P94" s="100">
        <v>10.129001278165889</v>
      </c>
      <c r="Q94" s="100">
        <v>10.444443026214957</v>
      </c>
    </row>
    <row r="95" spans="2:17" ht="15" customHeight="1">
      <c r="B95" s="85"/>
      <c r="D95" s="97">
        <f>D96+0.005</f>
        <v>9.5000000000000001E-2</v>
      </c>
      <c r="E95" s="98">
        <v>8.4533526998845971</v>
      </c>
      <c r="F95" s="98">
        <v>8.8247881467390759</v>
      </c>
      <c r="G95" s="98">
        <v>9.1962235935935546</v>
      </c>
      <c r="H95" s="98">
        <v>9.5676590404480315</v>
      </c>
      <c r="I95" s="98">
        <v>9.9390944873025102</v>
      </c>
      <c r="J95" s="99"/>
      <c r="L95" s="97">
        <f>L96+0.005</f>
        <v>9.5000000000000001E-2</v>
      </c>
      <c r="M95" s="100">
        <v>9.3369805565448765</v>
      </c>
      <c r="N95" s="100">
        <v>9.6582273899345399</v>
      </c>
      <c r="O95" s="100">
        <v>9.9794742233242033</v>
      </c>
      <c r="P95" s="100">
        <v>10.300721056713865</v>
      </c>
      <c r="Q95" s="100">
        <v>10.621967890103527</v>
      </c>
    </row>
    <row r="96" spans="2:17" ht="15" customHeight="1">
      <c r="B96" s="85"/>
      <c r="C96" s="90" t="s">
        <v>81</v>
      </c>
      <c r="D96" s="101">
        <v>0.09</v>
      </c>
      <c r="E96" s="98">
        <v>8.6357612364691754</v>
      </c>
      <c r="F96" s="98">
        <v>9.0140637940995969</v>
      </c>
      <c r="G96" s="98">
        <v>9.3923663517300149</v>
      </c>
      <c r="H96" s="98">
        <v>9.7706689093604346</v>
      </c>
      <c r="I96" s="98">
        <v>10.148971466990854</v>
      </c>
      <c r="J96" s="99"/>
      <c r="K96" s="90" t="s">
        <v>81</v>
      </c>
      <c r="L96" s="101">
        <v>0.09</v>
      </c>
      <c r="M96" s="100">
        <v>9.4947419260029626</v>
      </c>
      <c r="N96" s="100">
        <v>9.8219279814296954</v>
      </c>
      <c r="O96" s="100">
        <v>10.149114036856428</v>
      </c>
      <c r="P96" s="100">
        <v>10.476300092283161</v>
      </c>
      <c r="Q96" s="100">
        <v>10.803486147709894</v>
      </c>
    </row>
    <row r="97" spans="2:17" ht="15" customHeight="1">
      <c r="B97" s="85"/>
      <c r="D97" s="97">
        <f>D96-0.005</f>
        <v>8.4999999999999992E-2</v>
      </c>
      <c r="E97" s="98">
        <v>8.8222763096541659</v>
      </c>
      <c r="F97" s="98">
        <v>9.2076053909972781</v>
      </c>
      <c r="G97" s="98">
        <v>9.5929344723403904</v>
      </c>
      <c r="H97" s="98">
        <v>9.9782635536835027</v>
      </c>
      <c r="I97" s="98">
        <v>10.36359263502661</v>
      </c>
      <c r="J97" s="99"/>
      <c r="L97" s="97">
        <f>L96-0.005</f>
        <v>8.4999999999999992E-2</v>
      </c>
      <c r="M97" s="100">
        <v>9.6560549540069758</v>
      </c>
      <c r="N97" s="100">
        <v>9.9893181044216934</v>
      </c>
      <c r="O97" s="100">
        <v>10.322581254836413</v>
      </c>
      <c r="P97" s="100">
        <v>10.655844405251131</v>
      </c>
      <c r="Q97" s="100">
        <v>10.989107555665846</v>
      </c>
    </row>
    <row r="98" spans="2:17" ht="15" customHeight="1">
      <c r="B98" s="85"/>
      <c r="D98" s="103">
        <f>D97-0.005</f>
        <v>7.9999999999999988E-2</v>
      </c>
      <c r="E98" s="98">
        <v>9.0130110894235251</v>
      </c>
      <c r="F98" s="98">
        <v>9.4055305684162587</v>
      </c>
      <c r="G98" s="98">
        <v>9.7980500474089851</v>
      </c>
      <c r="H98" s="98">
        <v>10.190569526401715</v>
      </c>
      <c r="I98" s="98">
        <v>10.583089005394445</v>
      </c>
      <c r="J98" s="99"/>
      <c r="L98" s="103">
        <f>L97-0.005</f>
        <v>7.9999999999999988E-2</v>
      </c>
      <c r="M98" s="100">
        <v>9.8210175189346742</v>
      </c>
      <c r="N98" s="100">
        <v>10.160499495515056</v>
      </c>
      <c r="O98" s="100">
        <v>10.499981472095433</v>
      </c>
      <c r="P98" s="100">
        <v>10.839463448675811</v>
      </c>
      <c r="Q98" s="100">
        <v>11.17894542525619</v>
      </c>
    </row>
    <row r="99" spans="2:17">
      <c r="J99" s="110"/>
    </row>
    <row r="100" spans="2:17">
      <c r="B100" s="111" t="s">
        <v>85</v>
      </c>
      <c r="C100" s="111"/>
      <c r="D100" s="111"/>
      <c r="E100" s="111"/>
      <c r="G100" s="111" t="s">
        <v>86</v>
      </c>
      <c r="H100" s="111"/>
      <c r="I100" s="111"/>
      <c r="J100" s="112"/>
      <c r="K100" s="111"/>
      <c r="L100" s="111"/>
      <c r="M100" s="111"/>
      <c r="N100" s="111"/>
      <c r="O100" s="111"/>
      <c r="P100" s="111"/>
    </row>
    <row r="101" spans="2:17">
      <c r="J101" s="110"/>
    </row>
    <row r="102" spans="2:17">
      <c r="J102" s="110"/>
    </row>
    <row r="103" spans="2:17">
      <c r="J103" s="110"/>
    </row>
    <row r="104" spans="2:17">
      <c r="J104" s="110"/>
    </row>
    <row r="105" spans="2:17">
      <c r="J105" s="110"/>
    </row>
    <row r="106" spans="2:17">
      <c r="J106" s="110"/>
    </row>
    <row r="107" spans="2:17">
      <c r="J107" s="110"/>
    </row>
    <row r="108" spans="2:17">
      <c r="J108" s="110"/>
    </row>
    <row r="109" spans="2:17">
      <c r="J109" s="110"/>
    </row>
    <row r="110" spans="2:17">
      <c r="J110" s="110"/>
    </row>
    <row r="111" spans="2:17">
      <c r="J111" s="110"/>
    </row>
    <row r="112" spans="2:17">
      <c r="J112" s="110"/>
    </row>
    <row r="113" spans="2:17">
      <c r="J113" s="110"/>
    </row>
    <row r="114" spans="2:17">
      <c r="J114" s="110"/>
      <c r="M114" s="113"/>
    </row>
    <row r="115" spans="2:17">
      <c r="J115" s="110"/>
    </row>
    <row r="116" spans="2:17">
      <c r="J116" s="110"/>
    </row>
    <row r="117" spans="2:17">
      <c r="J117" s="110"/>
    </row>
    <row r="118" spans="2:17">
      <c r="J118" s="110"/>
    </row>
    <row r="119" spans="2:17">
      <c r="J119" s="110"/>
    </row>
    <row r="120" spans="2:17">
      <c r="J120" s="110"/>
    </row>
    <row r="121" spans="2:17">
      <c r="B121" s="114"/>
      <c r="C121" s="115" t="s">
        <v>87</v>
      </c>
      <c r="D121" s="115" t="s">
        <v>88</v>
      </c>
      <c r="E121" s="116" t="s">
        <v>89</v>
      </c>
      <c r="G121" s="114"/>
      <c r="H121" s="117"/>
      <c r="I121" s="117"/>
      <c r="J121" s="118"/>
      <c r="K121" s="117"/>
      <c r="L121" s="117"/>
      <c r="M121" s="117"/>
      <c r="N121" s="117"/>
      <c r="O121" s="115" t="s">
        <v>87</v>
      </c>
      <c r="P121" s="115" t="s">
        <v>88</v>
      </c>
      <c r="Q121" s="116" t="s">
        <v>89</v>
      </c>
    </row>
    <row r="122" spans="2:17">
      <c r="B122" s="119" t="str">
        <f>"DCF Value at "&amp;TEXT(E93,"0.0x")&amp;"-"&amp;TEXT(I93,"0.0x")&amp;" Exit EBITDA Range at "&amp;TEXT(D96,"0.0%")&amp;" WACC"</f>
        <v>DCF Value at 11.5x-13.5x Exit EBITDA Range at 9.0% WACC</v>
      </c>
      <c r="C122" s="120">
        <f>E96</f>
        <v>8.6357612364691754</v>
      </c>
      <c r="D122" s="120">
        <f>E122-C122</f>
        <v>1.513210230521679</v>
      </c>
      <c r="E122" s="121">
        <f>I96</f>
        <v>10.148971466990854</v>
      </c>
      <c r="G122" s="119" t="str">
        <f>"LTM EBITDA Purchase Multiple at "&amp;TEXT(M84,"0.0%")&amp;"-"&amp;TEXT(Q84,"0.0%")&amp;" Perpetuity Growth at "&amp;TEXT(L87,"0.0%")&amp;" WACC"</f>
        <v>LTM EBITDA Purchase Multiple at 2.0%-4.0% Perpetuity Growth at 9.0% WACC</v>
      </c>
      <c r="J122" s="110"/>
      <c r="O122" s="122">
        <f>M87</f>
        <v>7.9827360906110938</v>
      </c>
      <c r="P122" s="122">
        <f>Q122-O122</f>
        <v>2.5703796270474699</v>
      </c>
      <c r="Q122" s="123">
        <f>Q87</f>
        <v>10.553115717658564</v>
      </c>
    </row>
    <row r="123" spans="2:17">
      <c r="B123" s="124" t="str">
        <f>"DCF Value at "&amp;TEXT(E84,"0.0%")&amp;"-"&amp;TEXT(I84,"0.0%")&amp;" Perpetuity Range at "&amp;TEXT(D96,"0.0%")&amp;" WACC"</f>
        <v>DCF Value at 2.0%-4.0% Perpetuity Range at 9.0% WACC</v>
      </c>
      <c r="C123" s="120">
        <f>E87</f>
        <v>6.8875336907235667</v>
      </c>
      <c r="D123" s="120">
        <f>E123-C123</f>
        <v>2.9719518019340825</v>
      </c>
      <c r="E123" s="121">
        <f>I87</f>
        <v>9.8594854926576492</v>
      </c>
      <c r="G123" s="124" t="str">
        <f>"LTM EBITDA Purchase Multiple at "&amp;TEXT(M96,"0.0x")&amp;"-"&amp;TEXT(Q96,"0.0x")&amp;" Exit EBITDA Multiple at "&amp;TEXT(L96,"0.0%")&amp;" WACC"</f>
        <v>LTM EBITDA Purchase Multiple at 9.5x-10.8x Exit EBITDA Multiple at 9.0% WACC</v>
      </c>
      <c r="J123" s="110"/>
      <c r="O123" s="122">
        <f>M96</f>
        <v>9.4947419260029626</v>
      </c>
      <c r="P123" s="122">
        <f>Q123-O123</f>
        <v>1.3087442217069309</v>
      </c>
      <c r="Q123" s="123">
        <f>Q96</f>
        <v>10.803486147709894</v>
      </c>
    </row>
    <row r="124" spans="2:17">
      <c r="B124" s="125" t="s">
        <v>90</v>
      </c>
      <c r="C124" s="126">
        <v>169.5</v>
      </c>
      <c r="D124" s="126">
        <f>E124-C124</f>
        <v>158.35000000000002</v>
      </c>
      <c r="E124" s="127">
        <v>327.85</v>
      </c>
      <c r="G124" s="125" t="str">
        <f>"LTM EBITDA Purchase Multiple at "&amp;TEXT(L98,"0.0%")&amp;"-"&amp;TEXT(L94,"0.0%")&amp;" WACC at "&amp;TEXT(O93,"0.0x")&amp;" Exit EBITDA"</f>
        <v>LTM EBITDA Purchase Multiple at 8.0%-10.0% WACC at 12.5x Exit EBITDA</v>
      </c>
      <c r="H124" s="128"/>
      <c r="I124" s="128"/>
      <c r="J124" s="129"/>
      <c r="K124" s="128"/>
      <c r="L124" s="128"/>
      <c r="M124" s="128"/>
      <c r="N124" s="128"/>
      <c r="O124" s="130">
        <f>O94</f>
        <v>9.8135595301168213</v>
      </c>
      <c r="P124" s="130">
        <f>Q124-O124</f>
        <v>0.68642194197861173</v>
      </c>
      <c r="Q124" s="131">
        <f>O98</f>
        <v>10.499981472095433</v>
      </c>
    </row>
    <row r="125" spans="2:17">
      <c r="J125" s="110"/>
    </row>
    <row r="126" spans="2:17">
      <c r="J126" s="110"/>
    </row>
  </sheetData>
  <conditionalFormatting sqref="E85:J89 E94:J98">
    <cfRule type="cellIs" dxfId="0" priority="1" operator="lessThan">
      <formula>$C$7</formula>
    </cfRule>
  </conditionalFormatting>
  <dataValidations count="1">
    <dataValidation type="list" allowBlank="1" showInputMessage="1" showErrorMessage="1" sqref="H7" xr:uid="{54A4FEDE-6E2D-C049-9C4C-C18715DC5E16}">
      <formula1>"0,1"</formula1>
    </dataValidation>
  </dataValidations>
  <pageMargins left="0.7" right="0.7" top="0.75" bottom="0.75" header="0.3" footer="0.3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Income Statement</vt:lpstr>
      <vt:lpstr>Balance Sheet</vt:lpstr>
      <vt:lpstr>Input Data</vt:lpstr>
      <vt:lpstr>Workbook</vt:lpstr>
      <vt:lpstr>BA Baseline DCF</vt:lpstr>
      <vt:lpstr>'Balance Sheet'!Print_Titles</vt:lpstr>
      <vt:lpstr>'Income Statement'!Print_Titles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Schneider</dc:creator>
  <cp:lastModifiedBy>Jake Schneider</cp:lastModifiedBy>
  <dcterms:created xsi:type="dcterms:W3CDTF">2020-11-02T13:52:41Z</dcterms:created>
  <dcterms:modified xsi:type="dcterms:W3CDTF">2020-11-02T15:14:09Z</dcterms:modified>
</cp:coreProperties>
</file>