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any\Google Drive\Graduate Project Stuff\Graduate Project\"/>
    </mc:Choice>
  </mc:AlternateContent>
  <xr:revisionPtr revIDLastSave="0" documentId="10_ncr:8100000_{247419F1-E9F9-4ED8-8936-D90107E24535}" xr6:coauthVersionLast="34" xr6:coauthVersionMax="34" xr10:uidLastSave="{00000000-0000-0000-0000-000000000000}"/>
  <bookViews>
    <workbookView xWindow="0" yWindow="0" windowWidth="9573" windowHeight="3420" firstSheet="4" activeTab="5" xr2:uid="{09462123-7552-4D17-A264-F193F9578CB4}"/>
  </bookViews>
  <sheets>
    <sheet name="Subtraction Network Vary Input" sheetId="9" r:id="rId1"/>
    <sheet name="Subtraction Network Vary gs" sheetId="11" r:id="rId2"/>
    <sheet name="Nonlinearity of Synaptic Gain" sheetId="5" r:id="rId3"/>
    <sheet name="Derivative kd Gain Zero Error" sheetId="6" r:id="rId4"/>
    <sheet name="Multiplication Baseline" sheetId="13" r:id="rId5"/>
    <sheet name="Division Network Error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AY5" i="13" l="1"/>
  <c r="B25" i="13" l="1"/>
  <c r="B26" i="13"/>
  <c r="B27" i="13"/>
  <c r="B28" i="13"/>
  <c r="B29" i="13"/>
  <c r="B30" i="13"/>
  <c r="B31" i="13"/>
  <c r="B32" i="13"/>
  <c r="C25" i="13"/>
  <c r="E25" i="13" s="1"/>
  <c r="E28" i="13"/>
  <c r="G28" i="13" s="1"/>
  <c r="E32" i="13"/>
  <c r="G32" i="13" s="1"/>
  <c r="C26" i="13"/>
  <c r="E26" i="13" s="1"/>
  <c r="C27" i="13"/>
  <c r="E27" i="13" s="1"/>
  <c r="C28" i="13"/>
  <c r="C29" i="13"/>
  <c r="E29" i="13" s="1"/>
  <c r="G29" i="13" s="1"/>
  <c r="C30" i="13"/>
  <c r="E30" i="13" s="1"/>
  <c r="G30" i="13" s="1"/>
  <c r="C31" i="13"/>
  <c r="E31" i="13" s="1"/>
  <c r="G31" i="13" s="1"/>
  <c r="C32" i="13"/>
  <c r="Q20" i="13" l="1"/>
  <c r="O20" i="13"/>
  <c r="P20" i="13" s="1"/>
  <c r="R20" i="13" s="1"/>
  <c r="Q19" i="13"/>
  <c r="O19" i="13"/>
  <c r="P19" i="13" s="1"/>
  <c r="R19" i="13" s="1"/>
  <c r="Q18" i="13"/>
  <c r="O18" i="13"/>
  <c r="P18" i="13" s="1"/>
  <c r="R18" i="13" s="1"/>
  <c r="Q17" i="13"/>
  <c r="O17" i="13"/>
  <c r="P17" i="13" s="1"/>
  <c r="R17" i="13" s="1"/>
  <c r="Q16" i="13"/>
  <c r="O16" i="13"/>
  <c r="P16" i="13" s="1"/>
  <c r="R16" i="13" s="1"/>
  <c r="Q15" i="13"/>
  <c r="O15" i="13"/>
  <c r="P15" i="13" s="1"/>
  <c r="R15" i="13" s="1"/>
  <c r="Q14" i="13"/>
  <c r="O14" i="13"/>
  <c r="P14" i="13" s="1"/>
  <c r="R14" i="13" s="1"/>
  <c r="Q13" i="13"/>
  <c r="O13" i="13"/>
  <c r="P13" i="13" s="1"/>
  <c r="R13" i="13" s="1"/>
  <c r="Q12" i="13"/>
  <c r="O12" i="13"/>
  <c r="P12" i="13" s="1"/>
  <c r="R12" i="13" s="1"/>
  <c r="Q11" i="13"/>
  <c r="O11" i="13"/>
  <c r="P11" i="13" s="1"/>
  <c r="R11" i="13" s="1"/>
  <c r="Q10" i="13"/>
  <c r="O10" i="13"/>
  <c r="P10" i="13" s="1"/>
  <c r="R10" i="13" s="1"/>
  <c r="Q9" i="13"/>
  <c r="O9" i="13"/>
  <c r="P9" i="13" s="1"/>
  <c r="R9" i="13" s="1"/>
  <c r="Q8" i="13"/>
  <c r="O8" i="13"/>
  <c r="P8" i="13" s="1"/>
  <c r="R8" i="13" s="1"/>
  <c r="Q7" i="13"/>
  <c r="O7" i="13"/>
  <c r="P7" i="13" s="1"/>
  <c r="R7" i="13" s="1"/>
  <c r="Q6" i="13"/>
  <c r="O6" i="13"/>
  <c r="P6" i="13" s="1"/>
  <c r="R6" i="13" s="1"/>
  <c r="Q5" i="13"/>
  <c r="O5" i="13"/>
  <c r="P5" i="13" s="1"/>
  <c r="R5" i="13" s="1"/>
  <c r="Q4" i="13"/>
  <c r="O4" i="13"/>
  <c r="P4" i="13" s="1"/>
  <c r="R4" i="13" s="1"/>
  <c r="Q3" i="13"/>
  <c r="O3" i="13"/>
  <c r="P3" i="13" s="1"/>
  <c r="R3" i="13" s="1"/>
  <c r="Q2" i="13"/>
  <c r="O2" i="13"/>
  <c r="P2" i="13" s="1"/>
  <c r="R2" i="13" s="1"/>
  <c r="AC20" i="13"/>
  <c r="AA20" i="13"/>
  <c r="AB20" i="13" s="1"/>
  <c r="AD20" i="13" s="1"/>
  <c r="AC19" i="13"/>
  <c r="AA19" i="13"/>
  <c r="AB19" i="13" s="1"/>
  <c r="AD19" i="13" s="1"/>
  <c r="AC18" i="13"/>
  <c r="AA18" i="13"/>
  <c r="AB18" i="13" s="1"/>
  <c r="AD18" i="13" s="1"/>
  <c r="AC17" i="13"/>
  <c r="AA17" i="13"/>
  <c r="AB17" i="13" s="1"/>
  <c r="AD17" i="13" s="1"/>
  <c r="AC16" i="13"/>
  <c r="AA16" i="13"/>
  <c r="AB16" i="13" s="1"/>
  <c r="AD16" i="13" s="1"/>
  <c r="AC15" i="13"/>
  <c r="AA15" i="13"/>
  <c r="AB15" i="13" s="1"/>
  <c r="AD15" i="13" s="1"/>
  <c r="AC14" i="13"/>
  <c r="AA14" i="13"/>
  <c r="AB14" i="13" s="1"/>
  <c r="AD14" i="13" s="1"/>
  <c r="AC13" i="13"/>
  <c r="AA13" i="13"/>
  <c r="AB13" i="13" s="1"/>
  <c r="AD13" i="13" s="1"/>
  <c r="AC12" i="13"/>
  <c r="AA12" i="13"/>
  <c r="AB12" i="13" s="1"/>
  <c r="AD12" i="13" s="1"/>
  <c r="AC11" i="13"/>
  <c r="AA11" i="13"/>
  <c r="AB11" i="13" s="1"/>
  <c r="AD11" i="13" s="1"/>
  <c r="AC10" i="13"/>
  <c r="AA10" i="13"/>
  <c r="AB10" i="13" s="1"/>
  <c r="AD10" i="13" s="1"/>
  <c r="AC9" i="13"/>
  <c r="AA9" i="13"/>
  <c r="AB9" i="13" s="1"/>
  <c r="AD9" i="13" s="1"/>
  <c r="AC8" i="13"/>
  <c r="AA8" i="13"/>
  <c r="AB8" i="13" s="1"/>
  <c r="AD8" i="13" s="1"/>
  <c r="AC7" i="13"/>
  <c r="AA7" i="13"/>
  <c r="AB7" i="13" s="1"/>
  <c r="AD7" i="13" s="1"/>
  <c r="AC6" i="13"/>
  <c r="AA6" i="13"/>
  <c r="AB6" i="13" s="1"/>
  <c r="AD6" i="13" s="1"/>
  <c r="AC5" i="13"/>
  <c r="AA5" i="13"/>
  <c r="AB5" i="13" s="1"/>
  <c r="AD5" i="13" s="1"/>
  <c r="AC4" i="13"/>
  <c r="AA4" i="13"/>
  <c r="AB4" i="13" s="1"/>
  <c r="AD4" i="13" s="1"/>
  <c r="AC3" i="13"/>
  <c r="AA3" i="13"/>
  <c r="AB3" i="13" s="1"/>
  <c r="AD3" i="13" s="1"/>
  <c r="AC2" i="13"/>
  <c r="AA2" i="13"/>
  <c r="AB2" i="13" s="1"/>
  <c r="AD2" i="13" s="1"/>
  <c r="AG2" i="13"/>
  <c r="AH2" i="13" s="1"/>
  <c r="AJ2" i="13" s="1"/>
  <c r="AI2" i="13"/>
  <c r="AG3" i="13"/>
  <c r="AH3" i="13"/>
  <c r="AJ3" i="13" s="1"/>
  <c r="AI3" i="13"/>
  <c r="AG4" i="13"/>
  <c r="AH4" i="13" s="1"/>
  <c r="AJ4" i="13" s="1"/>
  <c r="AI4" i="13"/>
  <c r="AG5" i="13"/>
  <c r="AH5" i="13" s="1"/>
  <c r="AJ5" i="13" s="1"/>
  <c r="AI5" i="13"/>
  <c r="AG6" i="13"/>
  <c r="AH6" i="13" s="1"/>
  <c r="AJ6" i="13" s="1"/>
  <c r="AI6" i="13"/>
  <c r="AG7" i="13"/>
  <c r="AH7" i="13" s="1"/>
  <c r="AJ7" i="13" s="1"/>
  <c r="AI7" i="13"/>
  <c r="AG8" i="13"/>
  <c r="AH8" i="13" s="1"/>
  <c r="AJ8" i="13" s="1"/>
  <c r="AI8" i="13"/>
  <c r="AG9" i="13"/>
  <c r="AH9" i="13" s="1"/>
  <c r="AJ9" i="13" s="1"/>
  <c r="AI9" i="13"/>
  <c r="AG10" i="13"/>
  <c r="AH10" i="13" s="1"/>
  <c r="AJ10" i="13" s="1"/>
  <c r="AI10" i="13"/>
  <c r="AG11" i="13"/>
  <c r="AH11" i="13" s="1"/>
  <c r="AJ11" i="13" s="1"/>
  <c r="AI11" i="13"/>
  <c r="AG12" i="13"/>
  <c r="AH12" i="13" s="1"/>
  <c r="AJ12" i="13" s="1"/>
  <c r="AI12" i="13"/>
  <c r="AG13" i="13"/>
  <c r="AH13" i="13" s="1"/>
  <c r="AJ13" i="13" s="1"/>
  <c r="AI13" i="13"/>
  <c r="AG14" i="13"/>
  <c r="AH14" i="13" s="1"/>
  <c r="AJ14" i="13" s="1"/>
  <c r="AI14" i="13"/>
  <c r="AG15" i="13"/>
  <c r="AH15" i="13" s="1"/>
  <c r="AJ15" i="13" s="1"/>
  <c r="AI15" i="13"/>
  <c r="AG16" i="13"/>
  <c r="AH16" i="13" s="1"/>
  <c r="AJ16" i="13" s="1"/>
  <c r="AI16" i="13"/>
  <c r="AG17" i="13"/>
  <c r="AH17" i="13" s="1"/>
  <c r="AJ17" i="13" s="1"/>
  <c r="AI17" i="13"/>
  <c r="AG18" i="13"/>
  <c r="AH18" i="13" s="1"/>
  <c r="AJ18" i="13" s="1"/>
  <c r="AI18" i="13"/>
  <c r="AG19" i="13"/>
  <c r="AH19" i="13" s="1"/>
  <c r="AJ19" i="13" s="1"/>
  <c r="AI19" i="13"/>
  <c r="AG20" i="13"/>
  <c r="AH20" i="13" s="1"/>
  <c r="AJ20" i="13" s="1"/>
  <c r="AI20" i="13"/>
  <c r="Z9" i="12"/>
  <c r="Y9" i="12"/>
  <c r="V9" i="12"/>
  <c r="U9" i="12"/>
  <c r="R9" i="12"/>
  <c r="Q9" i="12"/>
  <c r="P9" i="12"/>
  <c r="M9" i="12"/>
  <c r="L9" i="12"/>
  <c r="I9" i="12"/>
  <c r="H9" i="12"/>
  <c r="E9" i="12"/>
  <c r="D9" i="12"/>
  <c r="R3" i="12"/>
  <c r="R4" i="12"/>
  <c r="R5" i="12"/>
  <c r="R6" i="12"/>
  <c r="R7" i="12"/>
  <c r="R8" i="12"/>
  <c r="R10" i="12"/>
  <c r="R11" i="12"/>
  <c r="R12" i="12"/>
  <c r="R13" i="12"/>
  <c r="R14" i="12"/>
  <c r="R15" i="12"/>
  <c r="R16" i="12"/>
  <c r="R17" i="12"/>
  <c r="R18" i="12"/>
  <c r="R2" i="12"/>
  <c r="D16" i="12"/>
  <c r="E16" i="12"/>
  <c r="H16" i="12"/>
  <c r="I16" i="12"/>
  <c r="L16" i="12"/>
  <c r="M16" i="12"/>
  <c r="U16" i="12"/>
  <c r="V16" i="12"/>
  <c r="P16" i="12"/>
  <c r="Q16" i="12"/>
  <c r="Y16" i="12"/>
  <c r="Z16" i="12"/>
  <c r="D17" i="12"/>
  <c r="E17" i="12"/>
  <c r="H17" i="12"/>
  <c r="I17" i="12"/>
  <c r="L17" i="12"/>
  <c r="M17" i="12"/>
  <c r="U17" i="12"/>
  <c r="V17" i="12"/>
  <c r="P17" i="12"/>
  <c r="Q17" i="12"/>
  <c r="Y17" i="12"/>
  <c r="Z17" i="12"/>
  <c r="D18" i="12"/>
  <c r="E18" i="12"/>
  <c r="H18" i="12"/>
  <c r="I18" i="12"/>
  <c r="L18" i="12"/>
  <c r="M18" i="12"/>
  <c r="U18" i="12"/>
  <c r="V18" i="12"/>
  <c r="P18" i="12"/>
  <c r="Q18" i="12"/>
  <c r="Y18" i="12"/>
  <c r="Z18" i="12"/>
  <c r="C23" i="12"/>
  <c r="Q15" i="12"/>
  <c r="P15" i="12"/>
  <c r="Q14" i="12"/>
  <c r="P14" i="12"/>
  <c r="Q13" i="12"/>
  <c r="P13" i="12"/>
  <c r="Q12" i="12"/>
  <c r="P12" i="12"/>
  <c r="Q11" i="12"/>
  <c r="P11" i="12"/>
  <c r="Q10" i="12"/>
  <c r="P10" i="12"/>
  <c r="Q8" i="12"/>
  <c r="P8" i="12"/>
  <c r="Q7" i="12"/>
  <c r="P7" i="12"/>
  <c r="Q6" i="12"/>
  <c r="P6" i="12"/>
  <c r="Q5" i="12"/>
  <c r="P5" i="12"/>
  <c r="Q4" i="12"/>
  <c r="P4" i="12"/>
  <c r="Q3" i="12"/>
  <c r="P3" i="12"/>
  <c r="Q2" i="12"/>
  <c r="P2" i="12"/>
  <c r="Z3" i="12"/>
  <c r="Z4" i="12"/>
  <c r="Z5" i="12"/>
  <c r="Z6" i="12"/>
  <c r="Z7" i="12"/>
  <c r="Z8" i="12"/>
  <c r="Z10" i="12"/>
  <c r="Z11" i="12"/>
  <c r="Z12" i="12"/>
  <c r="Z13" i="12"/>
  <c r="Z14" i="12"/>
  <c r="Z15" i="12"/>
  <c r="Z2" i="12"/>
  <c r="V3" i="12"/>
  <c r="V4" i="12"/>
  <c r="V5" i="12"/>
  <c r="V6" i="12"/>
  <c r="V7" i="12"/>
  <c r="V8" i="12"/>
  <c r="V10" i="12"/>
  <c r="V11" i="12"/>
  <c r="V12" i="12"/>
  <c r="V13" i="12"/>
  <c r="V14" i="12"/>
  <c r="V15" i="12"/>
  <c r="V2" i="12"/>
  <c r="M3" i="12"/>
  <c r="M4" i="12"/>
  <c r="M5" i="12"/>
  <c r="M6" i="12"/>
  <c r="M7" i="12"/>
  <c r="M8" i="12"/>
  <c r="M10" i="12"/>
  <c r="M11" i="12"/>
  <c r="M12" i="12"/>
  <c r="M13" i="12"/>
  <c r="M14" i="12"/>
  <c r="M15" i="12"/>
  <c r="M2" i="12"/>
  <c r="I3" i="12"/>
  <c r="I4" i="12"/>
  <c r="I5" i="12"/>
  <c r="I6" i="12"/>
  <c r="I7" i="12"/>
  <c r="I8" i="12"/>
  <c r="I10" i="12"/>
  <c r="I11" i="12"/>
  <c r="I12" i="12"/>
  <c r="I13" i="12"/>
  <c r="I14" i="12"/>
  <c r="I15" i="12"/>
  <c r="I2" i="12"/>
  <c r="E3" i="12"/>
  <c r="E4" i="12"/>
  <c r="E5" i="12"/>
  <c r="E6" i="12"/>
  <c r="E7" i="12"/>
  <c r="E8" i="12"/>
  <c r="E10" i="12"/>
  <c r="E11" i="12"/>
  <c r="E12" i="12"/>
  <c r="E13" i="12"/>
  <c r="E14" i="12"/>
  <c r="E15" i="12"/>
  <c r="E2" i="12"/>
  <c r="Y15" i="12"/>
  <c r="Y14" i="12"/>
  <c r="Y13" i="12"/>
  <c r="Y12" i="12"/>
  <c r="Y11" i="12"/>
  <c r="Y10" i="12"/>
  <c r="Y8" i="12"/>
  <c r="Y7" i="12"/>
  <c r="Y6" i="12"/>
  <c r="Y5" i="12"/>
  <c r="Y4" i="12"/>
  <c r="Y3" i="12"/>
  <c r="Y2" i="12"/>
  <c r="U15" i="12"/>
  <c r="U14" i="12"/>
  <c r="U13" i="12"/>
  <c r="U12" i="12"/>
  <c r="U11" i="12"/>
  <c r="U10" i="12"/>
  <c r="U8" i="12"/>
  <c r="U7" i="12"/>
  <c r="U6" i="12"/>
  <c r="U5" i="12"/>
  <c r="U4" i="12"/>
  <c r="U3" i="12"/>
  <c r="U2" i="12"/>
  <c r="L15" i="12"/>
  <c r="L14" i="12"/>
  <c r="L13" i="12"/>
  <c r="L12" i="12"/>
  <c r="L11" i="12"/>
  <c r="L10" i="12"/>
  <c r="L8" i="12"/>
  <c r="L7" i="12"/>
  <c r="L6" i="12"/>
  <c r="L5" i="12"/>
  <c r="L4" i="12"/>
  <c r="L3" i="12"/>
  <c r="L2" i="12"/>
  <c r="H15" i="12"/>
  <c r="H14" i="12"/>
  <c r="H13" i="12"/>
  <c r="H12" i="12"/>
  <c r="H11" i="12"/>
  <c r="H10" i="12"/>
  <c r="H8" i="12"/>
  <c r="H7" i="12"/>
  <c r="H6" i="12"/>
  <c r="H5" i="12"/>
  <c r="H4" i="12"/>
  <c r="H3" i="12"/>
  <c r="H2" i="12"/>
  <c r="D3" i="12"/>
  <c r="D4" i="12"/>
  <c r="D5" i="12"/>
  <c r="D6" i="12"/>
  <c r="D7" i="12"/>
  <c r="D8" i="12"/>
  <c r="D10" i="12"/>
  <c r="D11" i="12"/>
  <c r="D12" i="12"/>
  <c r="D13" i="12"/>
  <c r="D14" i="12"/>
  <c r="D15" i="12"/>
  <c r="D2" i="12"/>
  <c r="AU20" i="13"/>
  <c r="AS20" i="13"/>
  <c r="AT20" i="13" s="1"/>
  <c r="AV20" i="13" s="1"/>
  <c r="AO20" i="13"/>
  <c r="AM20" i="13"/>
  <c r="AN20" i="13" s="1"/>
  <c r="AP20" i="13" s="1"/>
  <c r="W20" i="13"/>
  <c r="U20" i="13"/>
  <c r="V20" i="13" s="1"/>
  <c r="X20" i="13" s="1"/>
  <c r="K20" i="13"/>
  <c r="I20" i="13"/>
  <c r="J20" i="13" s="1"/>
  <c r="L20" i="13" s="1"/>
  <c r="E20" i="13"/>
  <c r="C20" i="13"/>
  <c r="D20" i="13" s="1"/>
  <c r="F20" i="13" s="1"/>
  <c r="AU19" i="13"/>
  <c r="AS19" i="13"/>
  <c r="AT19" i="13" s="1"/>
  <c r="AV19" i="13" s="1"/>
  <c r="AO19" i="13"/>
  <c r="AM19" i="13"/>
  <c r="AN19" i="13" s="1"/>
  <c r="AP19" i="13" s="1"/>
  <c r="W19" i="13"/>
  <c r="U19" i="13"/>
  <c r="V19" i="13" s="1"/>
  <c r="X19" i="13" s="1"/>
  <c r="K19" i="13"/>
  <c r="I19" i="13"/>
  <c r="J19" i="13" s="1"/>
  <c r="L19" i="13" s="1"/>
  <c r="E19" i="13"/>
  <c r="C19" i="13"/>
  <c r="D19" i="13" s="1"/>
  <c r="F19" i="13" s="1"/>
  <c r="AU18" i="13"/>
  <c r="AS18" i="13"/>
  <c r="AT18" i="13" s="1"/>
  <c r="AV18" i="13" s="1"/>
  <c r="AO18" i="13"/>
  <c r="AM18" i="13"/>
  <c r="AN18" i="13" s="1"/>
  <c r="AP18" i="13" s="1"/>
  <c r="W18" i="13"/>
  <c r="U18" i="13"/>
  <c r="V18" i="13" s="1"/>
  <c r="X18" i="13" s="1"/>
  <c r="K18" i="13"/>
  <c r="I18" i="13"/>
  <c r="J18" i="13" s="1"/>
  <c r="L18" i="13" s="1"/>
  <c r="E18" i="13"/>
  <c r="C18" i="13"/>
  <c r="D18" i="13" s="1"/>
  <c r="F18" i="13" s="1"/>
  <c r="AU17" i="13"/>
  <c r="AS17" i="13"/>
  <c r="AT17" i="13" s="1"/>
  <c r="AV17" i="13" s="1"/>
  <c r="AO17" i="13"/>
  <c r="AM17" i="13"/>
  <c r="AN17" i="13" s="1"/>
  <c r="AP17" i="13" s="1"/>
  <c r="W17" i="13"/>
  <c r="U17" i="13"/>
  <c r="V17" i="13" s="1"/>
  <c r="X17" i="13" s="1"/>
  <c r="K17" i="13"/>
  <c r="I17" i="13"/>
  <c r="J17" i="13" s="1"/>
  <c r="L17" i="13" s="1"/>
  <c r="E17" i="13"/>
  <c r="C17" i="13"/>
  <c r="D17" i="13" s="1"/>
  <c r="F17" i="13" s="1"/>
  <c r="AU16" i="13"/>
  <c r="AS16" i="13"/>
  <c r="AT16" i="13" s="1"/>
  <c r="AV16" i="13" s="1"/>
  <c r="AO16" i="13"/>
  <c r="AM16" i="13"/>
  <c r="AN16" i="13" s="1"/>
  <c r="AP16" i="13" s="1"/>
  <c r="W16" i="13"/>
  <c r="U16" i="13"/>
  <c r="V16" i="13" s="1"/>
  <c r="X16" i="13" s="1"/>
  <c r="K16" i="13"/>
  <c r="I16" i="13"/>
  <c r="J16" i="13" s="1"/>
  <c r="L16" i="13" s="1"/>
  <c r="E16" i="13"/>
  <c r="C16" i="13"/>
  <c r="D16" i="13" s="1"/>
  <c r="F16" i="13" s="1"/>
  <c r="AU15" i="13"/>
  <c r="AS15" i="13"/>
  <c r="AT15" i="13" s="1"/>
  <c r="AV15" i="13" s="1"/>
  <c r="AO15" i="13"/>
  <c r="AM15" i="13"/>
  <c r="AN15" i="13" s="1"/>
  <c r="AP15" i="13" s="1"/>
  <c r="W15" i="13"/>
  <c r="U15" i="13"/>
  <c r="V15" i="13" s="1"/>
  <c r="X15" i="13" s="1"/>
  <c r="K15" i="13"/>
  <c r="I15" i="13"/>
  <c r="J15" i="13" s="1"/>
  <c r="L15" i="13" s="1"/>
  <c r="E15" i="13"/>
  <c r="C15" i="13"/>
  <c r="D15" i="13" s="1"/>
  <c r="F15" i="13" s="1"/>
  <c r="AU14" i="13"/>
  <c r="AS14" i="13"/>
  <c r="AT14" i="13" s="1"/>
  <c r="AV14" i="13" s="1"/>
  <c r="AO14" i="13"/>
  <c r="AM14" i="13"/>
  <c r="AN14" i="13" s="1"/>
  <c r="AP14" i="13" s="1"/>
  <c r="W14" i="13"/>
  <c r="U14" i="13"/>
  <c r="V14" i="13" s="1"/>
  <c r="X14" i="13" s="1"/>
  <c r="K14" i="13"/>
  <c r="I14" i="13"/>
  <c r="J14" i="13" s="1"/>
  <c r="L14" i="13" s="1"/>
  <c r="E14" i="13"/>
  <c r="C14" i="13"/>
  <c r="D14" i="13" s="1"/>
  <c r="F14" i="13" s="1"/>
  <c r="AU13" i="13"/>
  <c r="AS13" i="13"/>
  <c r="AT13" i="13" s="1"/>
  <c r="AV13" i="13" s="1"/>
  <c r="AO13" i="13"/>
  <c r="AM13" i="13"/>
  <c r="AN13" i="13" s="1"/>
  <c r="AP13" i="13" s="1"/>
  <c r="W13" i="13"/>
  <c r="U13" i="13"/>
  <c r="V13" i="13" s="1"/>
  <c r="X13" i="13" s="1"/>
  <c r="K13" i="13"/>
  <c r="I13" i="13"/>
  <c r="J13" i="13" s="1"/>
  <c r="L13" i="13" s="1"/>
  <c r="E13" i="13"/>
  <c r="C13" i="13"/>
  <c r="D13" i="13" s="1"/>
  <c r="F13" i="13" s="1"/>
  <c r="AU12" i="13"/>
  <c r="AS12" i="13"/>
  <c r="AT12" i="13" s="1"/>
  <c r="AV12" i="13" s="1"/>
  <c r="AO12" i="13"/>
  <c r="AM12" i="13"/>
  <c r="AN12" i="13" s="1"/>
  <c r="AP12" i="13" s="1"/>
  <c r="W12" i="13"/>
  <c r="U12" i="13"/>
  <c r="V12" i="13" s="1"/>
  <c r="X12" i="13" s="1"/>
  <c r="K12" i="13"/>
  <c r="I12" i="13"/>
  <c r="J12" i="13" s="1"/>
  <c r="L12" i="13" s="1"/>
  <c r="E12" i="13"/>
  <c r="C12" i="13"/>
  <c r="D12" i="13" s="1"/>
  <c r="F12" i="13" s="1"/>
  <c r="AU11" i="13"/>
  <c r="AS11" i="13"/>
  <c r="AT11" i="13" s="1"/>
  <c r="AV11" i="13" s="1"/>
  <c r="AO11" i="13"/>
  <c r="AM11" i="13"/>
  <c r="AN11" i="13" s="1"/>
  <c r="AP11" i="13" s="1"/>
  <c r="W11" i="13"/>
  <c r="U11" i="13"/>
  <c r="V11" i="13" s="1"/>
  <c r="X11" i="13" s="1"/>
  <c r="K11" i="13"/>
  <c r="I11" i="13"/>
  <c r="J11" i="13" s="1"/>
  <c r="L11" i="13" s="1"/>
  <c r="E11" i="13"/>
  <c r="C11" i="13"/>
  <c r="D11" i="13" s="1"/>
  <c r="F11" i="13" s="1"/>
  <c r="AU10" i="13"/>
  <c r="AS10" i="13"/>
  <c r="AT10" i="13" s="1"/>
  <c r="AV10" i="13" s="1"/>
  <c r="AO10" i="13"/>
  <c r="AM10" i="13"/>
  <c r="AN10" i="13" s="1"/>
  <c r="AP10" i="13" s="1"/>
  <c r="W10" i="13"/>
  <c r="U10" i="13"/>
  <c r="V10" i="13" s="1"/>
  <c r="X10" i="13" s="1"/>
  <c r="K10" i="13"/>
  <c r="I10" i="13"/>
  <c r="J10" i="13" s="1"/>
  <c r="L10" i="13" s="1"/>
  <c r="E10" i="13"/>
  <c r="C10" i="13"/>
  <c r="D10" i="13" s="1"/>
  <c r="F10" i="13" s="1"/>
  <c r="AU9" i="13"/>
  <c r="AS9" i="13"/>
  <c r="AT9" i="13" s="1"/>
  <c r="AV9" i="13" s="1"/>
  <c r="AO9" i="13"/>
  <c r="AM9" i="13"/>
  <c r="AN9" i="13" s="1"/>
  <c r="AP9" i="13" s="1"/>
  <c r="W9" i="13"/>
  <c r="U9" i="13"/>
  <c r="V9" i="13" s="1"/>
  <c r="X9" i="13" s="1"/>
  <c r="K9" i="13"/>
  <c r="I9" i="13"/>
  <c r="J9" i="13" s="1"/>
  <c r="L9" i="13" s="1"/>
  <c r="E9" i="13"/>
  <c r="C9" i="13"/>
  <c r="D9" i="13" s="1"/>
  <c r="F9" i="13" s="1"/>
  <c r="AU8" i="13"/>
  <c r="AS8" i="13"/>
  <c r="AT8" i="13" s="1"/>
  <c r="AV8" i="13" s="1"/>
  <c r="AO8" i="13"/>
  <c r="AM8" i="13"/>
  <c r="AN8" i="13" s="1"/>
  <c r="AP8" i="13" s="1"/>
  <c r="W8" i="13"/>
  <c r="U8" i="13"/>
  <c r="V8" i="13" s="1"/>
  <c r="X8" i="13" s="1"/>
  <c r="K8" i="13"/>
  <c r="I8" i="13"/>
  <c r="J8" i="13" s="1"/>
  <c r="L8" i="13" s="1"/>
  <c r="E8" i="13"/>
  <c r="C8" i="13"/>
  <c r="D8" i="13" s="1"/>
  <c r="F8" i="13" s="1"/>
  <c r="AU7" i="13"/>
  <c r="AS7" i="13"/>
  <c r="AT7" i="13" s="1"/>
  <c r="AV7" i="13" s="1"/>
  <c r="AO7" i="13"/>
  <c r="AM7" i="13"/>
  <c r="AN7" i="13" s="1"/>
  <c r="AP7" i="13" s="1"/>
  <c r="W7" i="13"/>
  <c r="U7" i="13"/>
  <c r="V7" i="13" s="1"/>
  <c r="X7" i="13" s="1"/>
  <c r="K7" i="13"/>
  <c r="I7" i="13"/>
  <c r="J7" i="13" s="1"/>
  <c r="L7" i="13" s="1"/>
  <c r="E7" i="13"/>
  <c r="C7" i="13"/>
  <c r="D7" i="13" s="1"/>
  <c r="F7" i="13" s="1"/>
  <c r="AU6" i="13"/>
  <c r="AS6" i="13"/>
  <c r="AT6" i="13" s="1"/>
  <c r="AV6" i="13" s="1"/>
  <c r="AO6" i="13"/>
  <c r="AM6" i="13"/>
  <c r="AN6" i="13" s="1"/>
  <c r="AP6" i="13" s="1"/>
  <c r="W6" i="13"/>
  <c r="U6" i="13"/>
  <c r="V6" i="13" s="1"/>
  <c r="X6" i="13" s="1"/>
  <c r="K6" i="13"/>
  <c r="I6" i="13"/>
  <c r="J6" i="13" s="1"/>
  <c r="L6" i="13" s="1"/>
  <c r="E6" i="13"/>
  <c r="C6" i="13"/>
  <c r="D6" i="13" s="1"/>
  <c r="F6" i="13" s="1"/>
  <c r="AU5" i="13"/>
  <c r="AS5" i="13"/>
  <c r="AT5" i="13" s="1"/>
  <c r="AV5" i="13" s="1"/>
  <c r="AO5" i="13"/>
  <c r="AM5" i="13"/>
  <c r="AN5" i="13" s="1"/>
  <c r="AP5" i="13" s="1"/>
  <c r="W5" i="13"/>
  <c r="U5" i="13"/>
  <c r="V5" i="13" s="1"/>
  <c r="X5" i="13" s="1"/>
  <c r="K5" i="13"/>
  <c r="I5" i="13"/>
  <c r="J5" i="13" s="1"/>
  <c r="L5" i="13" s="1"/>
  <c r="E5" i="13"/>
  <c r="C5" i="13"/>
  <c r="D5" i="13" s="1"/>
  <c r="F5" i="13" s="1"/>
  <c r="AU4" i="13"/>
  <c r="AS4" i="13"/>
  <c r="AT4" i="13" s="1"/>
  <c r="AV4" i="13" s="1"/>
  <c r="AO4" i="13"/>
  <c r="AM4" i="13"/>
  <c r="AN4" i="13" s="1"/>
  <c r="AP4" i="13" s="1"/>
  <c r="W4" i="13"/>
  <c r="U4" i="13"/>
  <c r="V4" i="13" s="1"/>
  <c r="X4" i="13" s="1"/>
  <c r="K4" i="13"/>
  <c r="I4" i="13"/>
  <c r="J4" i="13" s="1"/>
  <c r="L4" i="13" s="1"/>
  <c r="E4" i="13"/>
  <c r="C4" i="13"/>
  <c r="D4" i="13" s="1"/>
  <c r="F4" i="13" s="1"/>
  <c r="AU3" i="13"/>
  <c r="AS3" i="13"/>
  <c r="AT3" i="13" s="1"/>
  <c r="AV3" i="13" s="1"/>
  <c r="AO3" i="13"/>
  <c r="AM3" i="13"/>
  <c r="AN3" i="13" s="1"/>
  <c r="AP3" i="13" s="1"/>
  <c r="W3" i="13"/>
  <c r="U3" i="13"/>
  <c r="V3" i="13" s="1"/>
  <c r="X3" i="13" s="1"/>
  <c r="K3" i="13"/>
  <c r="I3" i="13"/>
  <c r="J3" i="13" s="1"/>
  <c r="L3" i="13" s="1"/>
  <c r="E3" i="13"/>
  <c r="C3" i="13"/>
  <c r="D3" i="13" s="1"/>
  <c r="F3" i="13" s="1"/>
  <c r="AU2" i="13"/>
  <c r="AS2" i="13"/>
  <c r="AT2" i="13" s="1"/>
  <c r="AV2" i="13" s="1"/>
  <c r="AO2" i="13"/>
  <c r="AM2" i="13"/>
  <c r="AN2" i="13" s="1"/>
  <c r="AP2" i="13" s="1"/>
  <c r="W2" i="13"/>
  <c r="U2" i="13"/>
  <c r="V2" i="13" s="1"/>
  <c r="X2" i="13" s="1"/>
  <c r="K2" i="13"/>
  <c r="I2" i="13"/>
  <c r="J2" i="13" s="1"/>
  <c r="L2" i="13" s="1"/>
  <c r="E2" i="13"/>
  <c r="C2" i="13"/>
  <c r="D2" i="13" s="1"/>
  <c r="F2" i="13" s="1"/>
  <c r="AM19" i="5" l="1"/>
  <c r="AN19" i="5" s="1"/>
  <c r="AM18" i="5"/>
  <c r="AN18" i="5" s="1"/>
  <c r="AM17" i="5"/>
  <c r="AN17" i="5" s="1"/>
  <c r="AM16" i="5"/>
  <c r="AN16" i="5" s="1"/>
  <c r="AM15" i="5"/>
  <c r="AN15" i="5" s="1"/>
  <c r="AM14" i="5"/>
  <c r="AN14" i="5" s="1"/>
  <c r="AM13" i="5"/>
  <c r="AN13" i="5" s="1"/>
  <c r="AM12" i="5"/>
  <c r="AN12" i="5" s="1"/>
  <c r="AL12" i="5"/>
  <c r="AM11" i="5"/>
  <c r="AN11" i="5" s="1"/>
  <c r="AL11" i="5"/>
  <c r="AM10" i="5"/>
  <c r="AN10" i="5" s="1"/>
  <c r="AL10" i="5"/>
  <c r="AM9" i="5"/>
  <c r="AN9" i="5" s="1"/>
  <c r="AL9" i="5"/>
  <c r="AM8" i="5"/>
  <c r="AN8" i="5" s="1"/>
  <c r="AL8" i="5"/>
  <c r="AM7" i="5"/>
  <c r="AN7" i="5" s="1"/>
  <c r="AL7" i="5"/>
  <c r="AM6" i="5"/>
  <c r="AN6" i="5" s="1"/>
  <c r="AL6" i="5"/>
  <c r="AM5" i="5"/>
  <c r="AN5" i="5" s="1"/>
  <c r="AL5" i="5"/>
  <c r="AM4" i="5"/>
  <c r="AN4" i="5" s="1"/>
  <c r="AK4" i="5"/>
  <c r="AL4" i="5" s="1"/>
  <c r="AM3" i="5"/>
  <c r="AN3" i="5" s="1"/>
  <c r="AK3" i="5"/>
  <c r="AL3" i="5" s="1"/>
  <c r="AM2" i="5"/>
  <c r="AN2" i="5" s="1"/>
  <c r="AK2" i="5"/>
  <c r="AL2" i="5" s="1"/>
  <c r="E20" i="11" l="1"/>
  <c r="M20" i="11"/>
  <c r="I20" i="11"/>
  <c r="J20" i="11"/>
  <c r="E21" i="11"/>
  <c r="E22" i="11"/>
  <c r="E23" i="11"/>
  <c r="E24" i="11"/>
  <c r="E25" i="11"/>
  <c r="E26" i="11"/>
  <c r="E27" i="11"/>
  <c r="E28" i="11"/>
  <c r="F20" i="11"/>
  <c r="AC28" i="11" l="1"/>
  <c r="AD28" i="11" s="1"/>
  <c r="AC27" i="11"/>
  <c r="AD27" i="11" s="1"/>
  <c r="AC26" i="11"/>
  <c r="AD26" i="11" s="1"/>
  <c r="AC25" i="11"/>
  <c r="AD25" i="11" s="1"/>
  <c r="AC24" i="11"/>
  <c r="AD24" i="11" s="1"/>
  <c r="AC21" i="11"/>
  <c r="AD21" i="11" s="1"/>
  <c r="AC20" i="11"/>
  <c r="AD20" i="11" s="1"/>
  <c r="B3" i="11"/>
  <c r="C3" i="11" s="1"/>
  <c r="B4" i="11"/>
  <c r="C4" i="11" s="1"/>
  <c r="AG28" i="11"/>
  <c r="AH28" i="11" s="1"/>
  <c r="AG27" i="11"/>
  <c r="AH27" i="11" s="1"/>
  <c r="AG26" i="11"/>
  <c r="AH26" i="11" s="1"/>
  <c r="AG25" i="11"/>
  <c r="AH25" i="11" s="1"/>
  <c r="AG24" i="11"/>
  <c r="AH24" i="11" s="1"/>
  <c r="AG21" i="11"/>
  <c r="AH21" i="11" s="1"/>
  <c r="AG20" i="11"/>
  <c r="AH20" i="11" s="1"/>
  <c r="AS28" i="11"/>
  <c r="AT28" i="11" s="1"/>
  <c r="AS27" i="11"/>
  <c r="AT27" i="11" s="1"/>
  <c r="AS26" i="11"/>
  <c r="AT26" i="11" s="1"/>
  <c r="AS25" i="11"/>
  <c r="AT25" i="11" s="1"/>
  <c r="AS24" i="11"/>
  <c r="AT24" i="11" s="1"/>
  <c r="AS21" i="11"/>
  <c r="AT21" i="11" s="1"/>
  <c r="AS20" i="11"/>
  <c r="AT20" i="11" s="1"/>
  <c r="AK28" i="11"/>
  <c r="AL28" i="11" s="1"/>
  <c r="AK27" i="11"/>
  <c r="AL27" i="11" s="1"/>
  <c r="AK26" i="11"/>
  <c r="AL26" i="11" s="1"/>
  <c r="AK25" i="11"/>
  <c r="AL25" i="11" s="1"/>
  <c r="AK24" i="11"/>
  <c r="AL24" i="11" s="1"/>
  <c r="AK21" i="11"/>
  <c r="AL21" i="11" s="1"/>
  <c r="AK20" i="11"/>
  <c r="AL20" i="11" s="1"/>
  <c r="B7" i="11"/>
  <c r="C7" i="11" s="1"/>
  <c r="B5" i="11"/>
  <c r="C5" i="11" s="1"/>
  <c r="AO21" i="11"/>
  <c r="AP21" i="11" s="1"/>
  <c r="AO24" i="11"/>
  <c r="AP24" i="11" s="1"/>
  <c r="AO25" i="11"/>
  <c r="AP25" i="11" s="1"/>
  <c r="AO28" i="11"/>
  <c r="AP28" i="11" s="1"/>
  <c r="AO26" i="11"/>
  <c r="AP26" i="11" s="1"/>
  <c r="B6" i="11"/>
  <c r="C6" i="11" s="1"/>
  <c r="AO27" i="11" l="1"/>
  <c r="AP27" i="11" s="1"/>
  <c r="AO20" i="11"/>
  <c r="AP20" i="11" s="1"/>
  <c r="E14" i="5"/>
  <c r="E15" i="5"/>
  <c r="E16" i="5"/>
  <c r="E17" i="5"/>
  <c r="E18" i="5"/>
  <c r="F11" i="6" l="1"/>
  <c r="G11" i="6"/>
  <c r="F14" i="6"/>
  <c r="G14" i="6"/>
  <c r="F13" i="6"/>
  <c r="G13" i="6"/>
  <c r="B8" i="11"/>
  <c r="C8" i="11" s="1"/>
  <c r="B9" i="11"/>
  <c r="C9" i="11" s="1"/>
  <c r="B10" i="11"/>
  <c r="C10" i="11" s="1"/>
  <c r="B11" i="11"/>
  <c r="C11" i="11" s="1"/>
  <c r="B12" i="11"/>
  <c r="C12" i="11" s="1"/>
  <c r="B13" i="11"/>
  <c r="C13" i="11" s="1"/>
  <c r="B14" i="11"/>
  <c r="C14" i="11" s="1"/>
  <c r="B15" i="11"/>
  <c r="C15" i="11" s="1"/>
  <c r="B16" i="11"/>
  <c r="C16" i="11" s="1"/>
  <c r="B17" i="11"/>
  <c r="C17" i="11" s="1"/>
  <c r="Y28" i="11"/>
  <c r="Z28" i="11" s="1"/>
  <c r="Y27" i="11"/>
  <c r="Z27" i="11" s="1"/>
  <c r="Y26" i="11"/>
  <c r="Z26" i="11" s="1"/>
  <c r="Y25" i="11"/>
  <c r="Z25" i="11" s="1"/>
  <c r="Y24" i="11"/>
  <c r="Z24" i="11" s="1"/>
  <c r="Y21" i="11"/>
  <c r="Z21" i="11" s="1"/>
  <c r="Y20" i="11"/>
  <c r="Z20" i="11" s="1"/>
  <c r="U28" i="11"/>
  <c r="U27" i="11"/>
  <c r="U26" i="11"/>
  <c r="U25" i="11"/>
  <c r="U24" i="11"/>
  <c r="U21" i="11"/>
  <c r="U20" i="11"/>
  <c r="Q21" i="11"/>
  <c r="R21" i="11" s="1"/>
  <c r="Q24" i="11"/>
  <c r="R24" i="11" s="1"/>
  <c r="Q25" i="11"/>
  <c r="R25" i="11" s="1"/>
  <c r="Q27" i="11"/>
  <c r="R27" i="11" s="1"/>
  <c r="Q28" i="11"/>
  <c r="R28" i="11" s="1"/>
  <c r="Q26" i="11"/>
  <c r="R26" i="11" s="1"/>
  <c r="I21" i="11"/>
  <c r="J21" i="11" s="1"/>
  <c r="I24" i="11"/>
  <c r="J24" i="11" s="1"/>
  <c r="I25" i="11"/>
  <c r="J25" i="11" s="1"/>
  <c r="I26" i="11"/>
  <c r="J26" i="11" s="1"/>
  <c r="I27" i="11"/>
  <c r="J27" i="11" s="1"/>
  <c r="I28" i="11"/>
  <c r="J28" i="11" s="1"/>
  <c r="M21" i="11"/>
  <c r="N21" i="11" s="1"/>
  <c r="M24" i="11"/>
  <c r="N24" i="11" s="1"/>
  <c r="M25" i="11"/>
  <c r="N25" i="11" s="1"/>
  <c r="M26" i="11"/>
  <c r="N26" i="11" s="1"/>
  <c r="M27" i="11"/>
  <c r="N27" i="11" s="1"/>
  <c r="M28" i="11"/>
  <c r="N28" i="11" s="1"/>
  <c r="N20" i="11"/>
  <c r="F21" i="11"/>
  <c r="F24" i="11"/>
  <c r="F25" i="11"/>
  <c r="F26" i="11"/>
  <c r="F27" i="11"/>
  <c r="F28" i="11"/>
  <c r="B22" i="11"/>
  <c r="A22" i="11"/>
  <c r="B2" i="11"/>
  <c r="C2" i="11" s="1"/>
  <c r="AG22" i="11" l="1"/>
  <c r="AH22" i="11" s="1"/>
  <c r="AC22" i="11"/>
  <c r="AD22" i="11" s="1"/>
  <c r="V24" i="11"/>
  <c r="V20" i="11"/>
  <c r="V26" i="11"/>
  <c r="V28" i="11"/>
  <c r="AK22" i="11"/>
  <c r="AL22" i="11" s="1"/>
  <c r="AS22" i="11"/>
  <c r="AT22" i="11" s="1"/>
  <c r="V25" i="11"/>
  <c r="V21" i="11"/>
  <c r="V27" i="11"/>
  <c r="A23" i="11"/>
  <c r="AC23" i="11" s="1"/>
  <c r="AD23" i="11" s="1"/>
  <c r="AO22" i="11"/>
  <c r="AP22" i="11" s="1"/>
  <c r="I22" i="11"/>
  <c r="J22" i="11" s="1"/>
  <c r="U22" i="11"/>
  <c r="M22" i="11"/>
  <c r="N22" i="11" s="1"/>
  <c r="Q22" i="11"/>
  <c r="R22" i="11" s="1"/>
  <c r="Y22" i="11"/>
  <c r="Z22" i="11" s="1"/>
  <c r="Q20" i="11"/>
  <c r="R20" i="11" s="1"/>
  <c r="F22" i="11"/>
  <c r="B23" i="11"/>
  <c r="I101" i="9"/>
  <c r="G150" i="9"/>
  <c r="H150" i="9" s="1"/>
  <c r="F150" i="9"/>
  <c r="C150" i="9"/>
  <c r="G149" i="9"/>
  <c r="H149" i="9" s="1"/>
  <c r="F149" i="9"/>
  <c r="C149" i="9"/>
  <c r="G148" i="9"/>
  <c r="H148" i="9" s="1"/>
  <c r="F148" i="9"/>
  <c r="C148" i="9"/>
  <c r="G147" i="9"/>
  <c r="H147" i="9" s="1"/>
  <c r="F147" i="9"/>
  <c r="C147" i="9"/>
  <c r="G146" i="9"/>
  <c r="H146" i="9" s="1"/>
  <c r="F146" i="9"/>
  <c r="C146" i="9"/>
  <c r="G145" i="9"/>
  <c r="H145" i="9" s="1"/>
  <c r="F145" i="9"/>
  <c r="C145" i="9"/>
  <c r="G144" i="9"/>
  <c r="H144" i="9" s="1"/>
  <c r="F144" i="9"/>
  <c r="C144" i="9"/>
  <c r="G143" i="9"/>
  <c r="H143" i="9" s="1"/>
  <c r="F143" i="9"/>
  <c r="C143" i="9"/>
  <c r="G138" i="9"/>
  <c r="H138" i="9" s="1"/>
  <c r="F138" i="9"/>
  <c r="C138" i="9"/>
  <c r="G137" i="9"/>
  <c r="H137" i="9" s="1"/>
  <c r="F137" i="9"/>
  <c r="C137" i="9"/>
  <c r="G136" i="9"/>
  <c r="H136" i="9" s="1"/>
  <c r="F136" i="9"/>
  <c r="C136" i="9"/>
  <c r="G135" i="9"/>
  <c r="H135" i="9" s="1"/>
  <c r="F135" i="9"/>
  <c r="C135" i="9"/>
  <c r="G134" i="9"/>
  <c r="H134" i="9" s="1"/>
  <c r="F134" i="9"/>
  <c r="C134" i="9"/>
  <c r="G133" i="9"/>
  <c r="H133" i="9" s="1"/>
  <c r="F133" i="9"/>
  <c r="C133" i="9"/>
  <c r="G132" i="9"/>
  <c r="H132" i="9" s="1"/>
  <c r="F132" i="9"/>
  <c r="C132" i="9"/>
  <c r="G131" i="9"/>
  <c r="H131" i="9" s="1"/>
  <c r="F131" i="9"/>
  <c r="C131" i="9"/>
  <c r="G130" i="9"/>
  <c r="H130" i="9" s="1"/>
  <c r="F130" i="9"/>
  <c r="C130" i="9"/>
  <c r="G129" i="9"/>
  <c r="F129" i="9"/>
  <c r="C129" i="9"/>
  <c r="I124" i="9"/>
  <c r="H124" i="9"/>
  <c r="F124" i="9"/>
  <c r="G124" i="9" s="1"/>
  <c r="C124" i="9"/>
  <c r="J123" i="9"/>
  <c r="I123" i="9"/>
  <c r="H123" i="9"/>
  <c r="F123" i="9"/>
  <c r="G123" i="9" s="1"/>
  <c r="C123" i="9"/>
  <c r="I122" i="9"/>
  <c r="H122" i="9"/>
  <c r="F122" i="9"/>
  <c r="G122" i="9" s="1"/>
  <c r="C122" i="9"/>
  <c r="J121" i="9"/>
  <c r="I121" i="9"/>
  <c r="H121" i="9"/>
  <c r="F121" i="9"/>
  <c r="G121" i="9" s="1"/>
  <c r="C121" i="9"/>
  <c r="I120" i="9"/>
  <c r="H120" i="9"/>
  <c r="F120" i="9"/>
  <c r="G120" i="9" s="1"/>
  <c r="C120" i="9"/>
  <c r="J119" i="9"/>
  <c r="I119" i="9"/>
  <c r="H119" i="9"/>
  <c r="F119" i="9"/>
  <c r="G119" i="9" s="1"/>
  <c r="C119" i="9"/>
  <c r="I118" i="9"/>
  <c r="H118" i="9"/>
  <c r="J118" i="9" s="1"/>
  <c r="F118" i="9"/>
  <c r="G118" i="9" s="1"/>
  <c r="C118" i="9"/>
  <c r="I117" i="9"/>
  <c r="J117" i="9" s="1"/>
  <c r="H117" i="9"/>
  <c r="F117" i="9"/>
  <c r="G117" i="9" s="1"/>
  <c r="C117" i="9"/>
  <c r="I116" i="9"/>
  <c r="H116" i="9"/>
  <c r="F116" i="9"/>
  <c r="G116" i="9" s="1"/>
  <c r="C116" i="9"/>
  <c r="J115" i="9"/>
  <c r="I115" i="9"/>
  <c r="H115" i="9"/>
  <c r="F115" i="9"/>
  <c r="G115" i="9" s="1"/>
  <c r="C115" i="9"/>
  <c r="I114" i="9"/>
  <c r="H114" i="9"/>
  <c r="J114" i="9" s="1"/>
  <c r="F114" i="9"/>
  <c r="G114" i="9" s="1"/>
  <c r="C114" i="9"/>
  <c r="I110" i="9"/>
  <c r="J110" i="9" s="1"/>
  <c r="H110" i="9"/>
  <c r="F110" i="9"/>
  <c r="G110" i="9" s="1"/>
  <c r="C110" i="9"/>
  <c r="I109" i="9"/>
  <c r="H109" i="9"/>
  <c r="F109" i="9"/>
  <c r="G109" i="9" s="1"/>
  <c r="C109" i="9"/>
  <c r="J108" i="9"/>
  <c r="I108" i="9"/>
  <c r="H108" i="9"/>
  <c r="F108" i="9"/>
  <c r="G108" i="9" s="1"/>
  <c r="C108" i="9"/>
  <c r="I107" i="9"/>
  <c r="H107" i="9"/>
  <c r="J107" i="9" s="1"/>
  <c r="F107" i="9"/>
  <c r="G107" i="9" s="1"/>
  <c r="C107" i="9"/>
  <c r="I106" i="9"/>
  <c r="J106" i="9" s="1"/>
  <c r="H106" i="9"/>
  <c r="F106" i="9"/>
  <c r="G106" i="9" s="1"/>
  <c r="C106" i="9"/>
  <c r="I105" i="9"/>
  <c r="H105" i="9"/>
  <c r="F105" i="9"/>
  <c r="G105" i="9" s="1"/>
  <c r="C105" i="9"/>
  <c r="J104" i="9"/>
  <c r="I104" i="9"/>
  <c r="H104" i="9"/>
  <c r="F104" i="9"/>
  <c r="G104" i="9" s="1"/>
  <c r="C104" i="9"/>
  <c r="I103" i="9"/>
  <c r="H103" i="9"/>
  <c r="J103" i="9" s="1"/>
  <c r="F103" i="9"/>
  <c r="G103" i="9" s="1"/>
  <c r="C103" i="9"/>
  <c r="I102" i="9"/>
  <c r="J102" i="9" s="1"/>
  <c r="H102" i="9"/>
  <c r="F102" i="9"/>
  <c r="G102" i="9" s="1"/>
  <c r="C102" i="9"/>
  <c r="H101" i="9"/>
  <c r="F101" i="9"/>
  <c r="G101" i="9" s="1"/>
  <c r="C101" i="9"/>
  <c r="C89" i="9"/>
  <c r="Q23" i="11" l="1"/>
  <c r="R23" i="11" s="1"/>
  <c r="AG23" i="11"/>
  <c r="AH23" i="11" s="1"/>
  <c r="AS23" i="11"/>
  <c r="AT23" i="11" s="1"/>
  <c r="V22" i="11"/>
  <c r="AK23" i="11"/>
  <c r="AL23" i="11" s="1"/>
  <c r="AO23" i="11"/>
  <c r="AP23" i="11" s="1"/>
  <c r="M23" i="11"/>
  <c r="N23" i="11" s="1"/>
  <c r="F23" i="11"/>
  <c r="Y23" i="11"/>
  <c r="Z23" i="11" s="1"/>
  <c r="U23" i="11"/>
  <c r="I23" i="11"/>
  <c r="J23" i="11" s="1"/>
  <c r="H129" i="9"/>
  <c r="J120" i="9"/>
  <c r="J122" i="9"/>
  <c r="J116" i="9"/>
  <c r="J124" i="9"/>
  <c r="J109" i="9"/>
  <c r="J105" i="9"/>
  <c r="J101" i="9"/>
  <c r="I129" i="9"/>
  <c r="V23" i="11" l="1"/>
  <c r="BH2" i="5"/>
  <c r="BH19" i="5"/>
  <c r="BI19" i="5" s="1"/>
  <c r="AI29" i="5" s="1"/>
  <c r="BH18" i="5"/>
  <c r="BI18" i="5" s="1"/>
  <c r="BH17" i="5"/>
  <c r="BI17" i="5" s="1"/>
  <c r="BH16" i="5"/>
  <c r="BI16" i="5" s="1"/>
  <c r="BH15" i="5"/>
  <c r="BI15" i="5" s="1"/>
  <c r="AH29" i="5" s="1"/>
  <c r="BH14" i="5"/>
  <c r="BI14" i="5" s="1"/>
  <c r="BH13" i="5"/>
  <c r="BI13" i="5" s="1"/>
  <c r="BH12" i="5"/>
  <c r="BI12" i="5" s="1"/>
  <c r="BG12" i="5"/>
  <c r="BH11" i="5"/>
  <c r="BI11" i="5" s="1"/>
  <c r="BG11" i="5"/>
  <c r="BH10" i="5"/>
  <c r="BI10" i="5" s="1"/>
  <c r="BG10" i="5"/>
  <c r="BH9" i="5"/>
  <c r="BI9" i="5" s="1"/>
  <c r="BG9" i="5"/>
  <c r="BH8" i="5"/>
  <c r="BI8" i="5" s="1"/>
  <c r="BG8" i="5"/>
  <c r="BH7" i="5"/>
  <c r="BI7" i="5" s="1"/>
  <c r="BG7" i="5"/>
  <c r="BH6" i="5"/>
  <c r="BI6" i="5" s="1"/>
  <c r="BG6" i="5"/>
  <c r="BH5" i="5"/>
  <c r="BI5" i="5" s="1"/>
  <c r="BG5" i="5"/>
  <c r="BH4" i="5"/>
  <c r="BI4" i="5" s="1"/>
  <c r="BF4" i="5"/>
  <c r="BG4" i="5" s="1"/>
  <c r="BH3" i="5"/>
  <c r="BI3" i="5" s="1"/>
  <c r="BF3" i="5"/>
  <c r="BG3" i="5" s="1"/>
  <c r="BI2" i="5"/>
  <c r="BF2" i="5"/>
  <c r="BG2" i="5" s="1"/>
  <c r="I75" i="9"/>
  <c r="AJ29" i="5" l="1"/>
  <c r="J70" i="9"/>
  <c r="K21" i="5" l="1"/>
  <c r="L21" i="5" s="1"/>
  <c r="K22" i="5"/>
  <c r="L22" i="5" s="1"/>
  <c r="K23" i="5"/>
  <c r="L23" i="5" s="1"/>
  <c r="AH25" i="5" s="1"/>
  <c r="K24" i="5"/>
  <c r="L24" i="5" s="1"/>
  <c r="K25" i="5"/>
  <c r="L25" i="5" s="1"/>
  <c r="K26" i="5"/>
  <c r="L26" i="5" s="1"/>
  <c r="K27" i="5"/>
  <c r="L27" i="5" s="1"/>
  <c r="AI25" i="5" s="1"/>
  <c r="L4" i="5"/>
  <c r="K3" i="5"/>
  <c r="L3" i="5" s="1"/>
  <c r="K4" i="5"/>
  <c r="K5" i="5"/>
  <c r="L5" i="5" s="1"/>
  <c r="K6" i="5"/>
  <c r="L6" i="5" s="1"/>
  <c r="K7" i="5"/>
  <c r="L7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K17" i="5"/>
  <c r="L17" i="5" s="1"/>
  <c r="K18" i="5"/>
  <c r="L18" i="5" s="1"/>
  <c r="K19" i="5"/>
  <c r="L19" i="5" s="1"/>
  <c r="K20" i="5"/>
  <c r="L20" i="5" s="1"/>
  <c r="K2" i="5"/>
  <c r="L2" i="5" s="1"/>
  <c r="BA3" i="5"/>
  <c r="BB3" i="5" s="1"/>
  <c r="BA4" i="5"/>
  <c r="BB4" i="5" s="1"/>
  <c r="BA5" i="5"/>
  <c r="BB5" i="5" s="1"/>
  <c r="BA6" i="5"/>
  <c r="BB6" i="5" s="1"/>
  <c r="BA7" i="5"/>
  <c r="BB7" i="5" s="1"/>
  <c r="BA8" i="5"/>
  <c r="BB8" i="5" s="1"/>
  <c r="BA9" i="5"/>
  <c r="BB9" i="5" s="1"/>
  <c r="BA10" i="5"/>
  <c r="BB10" i="5" s="1"/>
  <c r="BA11" i="5"/>
  <c r="BB11" i="5" s="1"/>
  <c r="BA12" i="5"/>
  <c r="BB12" i="5" s="1"/>
  <c r="BA13" i="5"/>
  <c r="BB13" i="5" s="1"/>
  <c r="BA14" i="5"/>
  <c r="BB14" i="5" s="1"/>
  <c r="BA15" i="5"/>
  <c r="BB15" i="5" s="1"/>
  <c r="AH27" i="5" s="1"/>
  <c r="BA16" i="5"/>
  <c r="BB16" i="5" s="1"/>
  <c r="BA17" i="5"/>
  <c r="BB17" i="5" s="1"/>
  <c r="BA18" i="5"/>
  <c r="BB18" i="5" s="1"/>
  <c r="BA19" i="5"/>
  <c r="BB19" i="5" s="1"/>
  <c r="AI27" i="5" s="1"/>
  <c r="BA2" i="5"/>
  <c r="BB2" i="5" s="1"/>
  <c r="AT3" i="5"/>
  <c r="AU3" i="5" s="1"/>
  <c r="AT4" i="5"/>
  <c r="AU4" i="5" s="1"/>
  <c r="AT5" i="5"/>
  <c r="AU5" i="5" s="1"/>
  <c r="AT6" i="5"/>
  <c r="AU6" i="5" s="1"/>
  <c r="AT7" i="5"/>
  <c r="AU7" i="5" s="1"/>
  <c r="AT8" i="5"/>
  <c r="AU8" i="5" s="1"/>
  <c r="AT9" i="5"/>
  <c r="AU9" i="5" s="1"/>
  <c r="AT10" i="5"/>
  <c r="AU10" i="5" s="1"/>
  <c r="AT11" i="5"/>
  <c r="AU11" i="5" s="1"/>
  <c r="AT12" i="5"/>
  <c r="AU12" i="5" s="1"/>
  <c r="AT13" i="5"/>
  <c r="AU13" i="5" s="1"/>
  <c r="AT14" i="5"/>
  <c r="AU14" i="5" s="1"/>
  <c r="AT15" i="5"/>
  <c r="AU15" i="5" s="1"/>
  <c r="AH28" i="5" s="1"/>
  <c r="AT16" i="5"/>
  <c r="AU16" i="5" s="1"/>
  <c r="AT17" i="5"/>
  <c r="AU17" i="5" s="1"/>
  <c r="AT18" i="5"/>
  <c r="AU18" i="5" s="1"/>
  <c r="AT19" i="5"/>
  <c r="AU19" i="5" s="1"/>
  <c r="AI28" i="5" s="1"/>
  <c r="AT2" i="5"/>
  <c r="AU2" i="5" s="1"/>
  <c r="AF3" i="5"/>
  <c r="AG3" i="5" s="1"/>
  <c r="AF4" i="5"/>
  <c r="AG4" i="5" s="1"/>
  <c r="AF5" i="5"/>
  <c r="AG5" i="5" s="1"/>
  <c r="AF6" i="5"/>
  <c r="AG6" i="5" s="1"/>
  <c r="AF7" i="5"/>
  <c r="AG7" i="5" s="1"/>
  <c r="AF8" i="5"/>
  <c r="AG8" i="5" s="1"/>
  <c r="AF9" i="5"/>
  <c r="AG9" i="5" s="1"/>
  <c r="AF10" i="5"/>
  <c r="AG10" i="5" s="1"/>
  <c r="AF11" i="5"/>
  <c r="AG11" i="5" s="1"/>
  <c r="AF12" i="5"/>
  <c r="AG12" i="5" s="1"/>
  <c r="AF13" i="5"/>
  <c r="AG13" i="5" s="1"/>
  <c r="AF14" i="5"/>
  <c r="AG14" i="5" s="1"/>
  <c r="AF15" i="5"/>
  <c r="AG15" i="5" s="1"/>
  <c r="AH30" i="5" s="1"/>
  <c r="AF16" i="5"/>
  <c r="AG16" i="5" s="1"/>
  <c r="AF17" i="5"/>
  <c r="AG17" i="5" s="1"/>
  <c r="AF18" i="5"/>
  <c r="AG18" i="5" s="1"/>
  <c r="AF19" i="5"/>
  <c r="AG19" i="5" s="1"/>
  <c r="AI30" i="5" s="1"/>
  <c r="AF2" i="5"/>
  <c r="AG2" i="5" s="1"/>
  <c r="Y3" i="5"/>
  <c r="Z3" i="5" s="1"/>
  <c r="Y4" i="5"/>
  <c r="Z4" i="5" s="1"/>
  <c r="Y5" i="5"/>
  <c r="Z5" i="5" s="1"/>
  <c r="Y6" i="5"/>
  <c r="Z6" i="5" s="1"/>
  <c r="Y7" i="5"/>
  <c r="Z7" i="5" s="1"/>
  <c r="Y8" i="5"/>
  <c r="Z8" i="5" s="1"/>
  <c r="Y9" i="5"/>
  <c r="Z9" i="5" s="1"/>
  <c r="Y10" i="5"/>
  <c r="Z10" i="5" s="1"/>
  <c r="Y11" i="5"/>
  <c r="Z11" i="5" s="1"/>
  <c r="Y12" i="5"/>
  <c r="Z12" i="5" s="1"/>
  <c r="Y13" i="5"/>
  <c r="Z13" i="5" s="1"/>
  <c r="Y14" i="5"/>
  <c r="Z14" i="5" s="1"/>
  <c r="Y15" i="5"/>
  <c r="Z15" i="5" s="1"/>
  <c r="AH26" i="5" s="1"/>
  <c r="Y16" i="5"/>
  <c r="Z16" i="5" s="1"/>
  <c r="Y17" i="5"/>
  <c r="Z17" i="5" s="1"/>
  <c r="Y18" i="5"/>
  <c r="Z18" i="5" s="1"/>
  <c r="Y19" i="5"/>
  <c r="Z19" i="5" s="1"/>
  <c r="AI26" i="5" s="1"/>
  <c r="Y2" i="5"/>
  <c r="Z2" i="5" s="1"/>
  <c r="R3" i="5"/>
  <c r="S3" i="5" s="1"/>
  <c r="R4" i="5"/>
  <c r="S4" i="5" s="1"/>
  <c r="R5" i="5"/>
  <c r="S5" i="5" s="1"/>
  <c r="R6" i="5"/>
  <c r="S6" i="5" s="1"/>
  <c r="R7" i="5"/>
  <c r="S7" i="5" s="1"/>
  <c r="R8" i="5"/>
  <c r="S8" i="5" s="1"/>
  <c r="R9" i="5"/>
  <c r="S9" i="5" s="1"/>
  <c r="R10" i="5"/>
  <c r="S10" i="5" s="1"/>
  <c r="R11" i="5"/>
  <c r="S11" i="5" s="1"/>
  <c r="R12" i="5"/>
  <c r="S12" i="5" s="1"/>
  <c r="R13" i="5"/>
  <c r="S13" i="5" s="1"/>
  <c r="R14" i="5"/>
  <c r="S14" i="5" s="1"/>
  <c r="R15" i="5"/>
  <c r="S15" i="5" s="1"/>
  <c r="R16" i="5"/>
  <c r="S16" i="5" s="1"/>
  <c r="R17" i="5"/>
  <c r="S17" i="5" s="1"/>
  <c r="R18" i="5"/>
  <c r="S18" i="5" s="1"/>
  <c r="R19" i="5"/>
  <c r="S19" i="5" s="1"/>
  <c r="R2" i="5"/>
  <c r="S2" i="5" s="1"/>
  <c r="F2" i="5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F2" i="6"/>
  <c r="F89" i="9"/>
  <c r="F90" i="9"/>
  <c r="F91" i="9"/>
  <c r="F92" i="9"/>
  <c r="F93" i="9"/>
  <c r="F94" i="9"/>
  <c r="F96" i="9"/>
  <c r="F95" i="9"/>
  <c r="F84" i="9"/>
  <c r="C82" i="9"/>
  <c r="F82" i="9"/>
  <c r="G82" i="9"/>
  <c r="C83" i="9"/>
  <c r="F83" i="9"/>
  <c r="G83" i="9"/>
  <c r="H83" i="9" s="1"/>
  <c r="G96" i="9"/>
  <c r="C96" i="9"/>
  <c r="G95" i="9"/>
  <c r="C95" i="9"/>
  <c r="G94" i="9"/>
  <c r="C94" i="9"/>
  <c r="G93" i="9"/>
  <c r="C93" i="9"/>
  <c r="G92" i="9"/>
  <c r="H92" i="9" s="1"/>
  <c r="C92" i="9"/>
  <c r="G91" i="9"/>
  <c r="C91" i="9"/>
  <c r="G90" i="9"/>
  <c r="C90" i="9"/>
  <c r="G89" i="9"/>
  <c r="G75" i="9"/>
  <c r="H75" i="9" s="1"/>
  <c r="F81" i="9"/>
  <c r="F80" i="9"/>
  <c r="F79" i="9"/>
  <c r="F78" i="9"/>
  <c r="F75" i="9"/>
  <c r="F76" i="9"/>
  <c r="F77" i="9"/>
  <c r="G84" i="9"/>
  <c r="C84" i="9"/>
  <c r="G81" i="9"/>
  <c r="C81" i="9"/>
  <c r="G80" i="9"/>
  <c r="C80" i="9"/>
  <c r="G79" i="9"/>
  <c r="C79" i="9"/>
  <c r="G78" i="9"/>
  <c r="C78" i="9"/>
  <c r="G77" i="9"/>
  <c r="C77" i="9"/>
  <c r="G76" i="9"/>
  <c r="C76" i="9"/>
  <c r="C75" i="9"/>
  <c r="H70" i="9"/>
  <c r="G70" i="9" s="1"/>
  <c r="F70" i="9"/>
  <c r="C70" i="9"/>
  <c r="I70" i="9"/>
  <c r="F69" i="9"/>
  <c r="F68" i="9"/>
  <c r="F67" i="9"/>
  <c r="F66" i="9"/>
  <c r="F65" i="9"/>
  <c r="F64" i="9"/>
  <c r="F63" i="9"/>
  <c r="F62" i="9"/>
  <c r="F61" i="9"/>
  <c r="F60" i="9"/>
  <c r="I60" i="9"/>
  <c r="H60" i="9"/>
  <c r="H61" i="9"/>
  <c r="G61" i="9" s="1"/>
  <c r="H62" i="9"/>
  <c r="H63" i="9"/>
  <c r="H64" i="9"/>
  <c r="H65" i="9"/>
  <c r="H66" i="9"/>
  <c r="H67" i="9"/>
  <c r="G67" i="9" s="1"/>
  <c r="H69" i="9"/>
  <c r="H68" i="9"/>
  <c r="G68" i="9" s="1"/>
  <c r="I69" i="9"/>
  <c r="C69" i="9"/>
  <c r="I68" i="9"/>
  <c r="C68" i="9"/>
  <c r="I67" i="9"/>
  <c r="C67" i="9"/>
  <c r="I66" i="9"/>
  <c r="C66" i="9"/>
  <c r="I65" i="9"/>
  <c r="C65" i="9"/>
  <c r="I64" i="9"/>
  <c r="C64" i="9"/>
  <c r="I63" i="9"/>
  <c r="C63" i="9"/>
  <c r="I62" i="9"/>
  <c r="J62" i="9" s="1"/>
  <c r="C62" i="9"/>
  <c r="I61" i="9"/>
  <c r="C61" i="9"/>
  <c r="C60" i="9"/>
  <c r="F55" i="9"/>
  <c r="H55" i="9"/>
  <c r="C55" i="9"/>
  <c r="I55" i="9"/>
  <c r="H54" i="9"/>
  <c r="F54" i="9"/>
  <c r="C54" i="9"/>
  <c r="I54" i="9"/>
  <c r="C48" i="9"/>
  <c r="C49" i="9"/>
  <c r="C50" i="9"/>
  <c r="C51" i="9"/>
  <c r="C52" i="9"/>
  <c r="C53" i="9"/>
  <c r="C56" i="9"/>
  <c r="C47" i="9"/>
  <c r="F56" i="9"/>
  <c r="F53" i="9"/>
  <c r="F52" i="9"/>
  <c r="F51" i="9"/>
  <c r="F50" i="9"/>
  <c r="F49" i="9"/>
  <c r="F48" i="9"/>
  <c r="F47" i="9"/>
  <c r="I47" i="9"/>
  <c r="H47" i="9"/>
  <c r="H48" i="9"/>
  <c r="G48" i="9" s="1"/>
  <c r="H49" i="9"/>
  <c r="I48" i="9"/>
  <c r="I49" i="9"/>
  <c r="I50" i="9"/>
  <c r="I51" i="9"/>
  <c r="I52" i="9"/>
  <c r="I53" i="9"/>
  <c r="I56" i="9"/>
  <c r="H56" i="9"/>
  <c r="H53" i="9"/>
  <c r="H52" i="9"/>
  <c r="H51" i="9"/>
  <c r="H50" i="9"/>
  <c r="AJ25" i="5" l="1"/>
  <c r="AJ27" i="5"/>
  <c r="AJ28" i="5"/>
  <c r="AJ26" i="5"/>
  <c r="AJ30" i="5"/>
  <c r="G54" i="9"/>
  <c r="H82" i="9"/>
  <c r="J63" i="9"/>
  <c r="J61" i="9"/>
  <c r="H79" i="9"/>
  <c r="H91" i="9"/>
  <c r="H95" i="9"/>
  <c r="J47" i="9"/>
  <c r="H90" i="9"/>
  <c r="H94" i="9"/>
  <c r="H96" i="9"/>
  <c r="J60" i="9"/>
  <c r="H77" i="9"/>
  <c r="G47" i="9"/>
  <c r="J55" i="9"/>
  <c r="J64" i="9"/>
  <c r="H76" i="9"/>
  <c r="H80" i="9"/>
  <c r="H89" i="9"/>
  <c r="H93" i="9"/>
  <c r="H84" i="9"/>
  <c r="G63" i="9"/>
  <c r="G64" i="9"/>
  <c r="H78" i="9"/>
  <c r="G65" i="9"/>
  <c r="G69" i="9"/>
  <c r="H81" i="9"/>
  <c r="G66" i="9"/>
  <c r="G62" i="9"/>
  <c r="G60" i="9"/>
  <c r="J65" i="9"/>
  <c r="J66" i="9"/>
  <c r="J67" i="9"/>
  <c r="J69" i="9"/>
  <c r="J68" i="9"/>
  <c r="G55" i="9"/>
  <c r="J54" i="9"/>
  <c r="G51" i="9"/>
  <c r="J53" i="9"/>
  <c r="J50" i="9"/>
  <c r="J56" i="9"/>
  <c r="J49" i="9"/>
  <c r="G52" i="9"/>
  <c r="G49" i="9"/>
  <c r="G53" i="9"/>
  <c r="G50" i="9"/>
  <c r="G56" i="9"/>
  <c r="J51" i="9"/>
  <c r="J48" i="9"/>
  <c r="J52" i="9"/>
  <c r="G36" i="9"/>
  <c r="H36" i="9" s="1"/>
  <c r="G39" i="9"/>
  <c r="H39" i="9" s="1"/>
  <c r="G40" i="9"/>
  <c r="H40" i="9" s="1"/>
  <c r="G41" i="9"/>
  <c r="H41" i="9" s="1"/>
  <c r="G42" i="9"/>
  <c r="H42" i="9" s="1"/>
  <c r="G43" i="9"/>
  <c r="H43" i="9" s="1"/>
  <c r="G35" i="9"/>
  <c r="H35" i="9" s="1"/>
  <c r="H5" i="9"/>
  <c r="F35" i="9"/>
  <c r="F37" i="9"/>
  <c r="F38" i="9"/>
  <c r="F39" i="9"/>
  <c r="F40" i="9"/>
  <c r="F41" i="9"/>
  <c r="F42" i="9"/>
  <c r="F43" i="9"/>
  <c r="F36" i="9"/>
  <c r="B37" i="9"/>
  <c r="B38" i="9" s="1"/>
  <c r="A37" i="9"/>
  <c r="A38" i="9" s="1"/>
  <c r="G24" i="9"/>
  <c r="G25" i="9"/>
  <c r="G27" i="9"/>
  <c r="C25" i="9"/>
  <c r="C26" i="9" s="1"/>
  <c r="B25" i="9"/>
  <c r="B26" i="9" s="1"/>
  <c r="G26" i="9"/>
  <c r="G28" i="9"/>
  <c r="G29" i="9"/>
  <c r="G30" i="9"/>
  <c r="G31" i="9"/>
  <c r="G7" i="9"/>
  <c r="G19" i="9"/>
  <c r="G20" i="9"/>
  <c r="G15" i="9"/>
  <c r="G16" i="9"/>
  <c r="G17" i="9"/>
  <c r="G18" i="9"/>
  <c r="G10" i="9"/>
  <c r="G6" i="9"/>
  <c r="G8" i="9"/>
  <c r="G9" i="9"/>
  <c r="G11" i="9"/>
  <c r="G12" i="9"/>
  <c r="G13" i="9"/>
  <c r="G14" i="9"/>
  <c r="G5" i="9"/>
  <c r="G38" i="9" l="1"/>
  <c r="H38" i="9" s="1"/>
  <c r="G37" i="9"/>
  <c r="H37" i="9" s="1"/>
  <c r="AY4" i="5" l="1"/>
  <c r="AZ4" i="5" s="1"/>
  <c r="AY3" i="5"/>
  <c r="AZ3" i="5" s="1"/>
  <c r="AY2" i="5"/>
  <c r="AZ2" i="5" s="1"/>
  <c r="AZ12" i="5"/>
  <c r="AZ11" i="5"/>
  <c r="AZ10" i="5"/>
  <c r="AZ9" i="5"/>
  <c r="AZ8" i="5"/>
  <c r="AZ7" i="5"/>
  <c r="AZ6" i="5"/>
  <c r="AZ5" i="5"/>
  <c r="AS5" i="5"/>
  <c r="AR4" i="5"/>
  <c r="AS4" i="5" s="1"/>
  <c r="AR3" i="5"/>
  <c r="AS3" i="5" s="1"/>
  <c r="AR2" i="5"/>
  <c r="AS12" i="5"/>
  <c r="AS11" i="5"/>
  <c r="AS10" i="5"/>
  <c r="AS9" i="5"/>
  <c r="AS8" i="5"/>
  <c r="AS7" i="5"/>
  <c r="AS6" i="5"/>
  <c r="AS2" i="5"/>
  <c r="H2" i="6" l="1"/>
  <c r="G2" i="6"/>
  <c r="H3" i="6"/>
  <c r="F3" i="6"/>
  <c r="F4" i="6"/>
  <c r="H4" i="6" s="1"/>
  <c r="F5" i="6"/>
  <c r="H5" i="6" s="1"/>
  <c r="F6" i="6"/>
  <c r="H6" i="6" s="1"/>
  <c r="F7" i="6"/>
  <c r="H7" i="6" s="1"/>
  <c r="F8" i="6"/>
  <c r="H8" i="6" s="1"/>
  <c r="F9" i="6"/>
  <c r="F10" i="6"/>
  <c r="F12" i="6"/>
  <c r="F15" i="6"/>
  <c r="F16" i="6"/>
  <c r="F17" i="6"/>
  <c r="F18" i="6"/>
  <c r="A54" i="6"/>
  <c r="A55" i="6" s="1"/>
  <c r="B49" i="6"/>
  <c r="B43" i="6"/>
  <c r="P31" i="6"/>
  <c r="P32" i="6" s="1"/>
  <c r="P33" i="6" s="1"/>
  <c r="O31" i="6"/>
  <c r="O32" i="6" s="1"/>
  <c r="O33" i="6" s="1"/>
  <c r="N31" i="6"/>
  <c r="N32" i="6" s="1"/>
  <c r="N33" i="6" s="1"/>
  <c r="M31" i="6"/>
  <c r="M32" i="6" s="1"/>
  <c r="M33" i="6" s="1"/>
  <c r="L31" i="6"/>
  <c r="L32" i="6" s="1"/>
  <c r="L33" i="6" s="1"/>
  <c r="K31" i="6"/>
  <c r="K32" i="6" s="1"/>
  <c r="K33" i="6" s="1"/>
  <c r="J31" i="6"/>
  <c r="J32" i="6" s="1"/>
  <c r="J33" i="6" s="1"/>
  <c r="I31" i="6"/>
  <c r="I32" i="6" s="1"/>
  <c r="I33" i="6" s="1"/>
  <c r="H31" i="6"/>
  <c r="H32" i="6" s="1"/>
  <c r="H33" i="6" s="1"/>
  <c r="G34" i="6"/>
  <c r="G35" i="6" s="1"/>
  <c r="G36" i="6" s="1"/>
  <c r="F34" i="6"/>
  <c r="F35" i="6" s="1"/>
  <c r="F36" i="6" s="1"/>
  <c r="E34" i="6"/>
  <c r="E35" i="6" s="1"/>
  <c r="E36" i="6" s="1"/>
  <c r="D31" i="6"/>
  <c r="D32" i="6" s="1"/>
  <c r="D33" i="6" s="1"/>
  <c r="C31" i="6"/>
  <c r="C32" i="6" s="1"/>
  <c r="C33" i="6" s="1"/>
  <c r="B33" i="6"/>
  <c r="B34" i="6" s="1"/>
  <c r="B35" i="6" s="1"/>
  <c r="P30" i="6"/>
  <c r="P37" i="6" s="1"/>
  <c r="O30" i="6"/>
  <c r="O37" i="6" s="1"/>
  <c r="N30" i="6"/>
  <c r="N37" i="6" s="1"/>
  <c r="M30" i="6"/>
  <c r="M37" i="6" s="1"/>
  <c r="L30" i="6"/>
  <c r="L37" i="6" s="1"/>
  <c r="K30" i="6"/>
  <c r="K37" i="6" s="1"/>
  <c r="J30" i="6"/>
  <c r="J37" i="6" s="1"/>
  <c r="I30" i="6"/>
  <c r="I37" i="6" s="1"/>
  <c r="H30" i="6"/>
  <c r="H37" i="6" s="1"/>
  <c r="G33" i="6"/>
  <c r="G40" i="6" s="1"/>
  <c r="F33" i="6"/>
  <c r="F40" i="6" s="1"/>
  <c r="E33" i="6"/>
  <c r="E40" i="6" s="1"/>
  <c r="D30" i="6"/>
  <c r="D37" i="6" s="1"/>
  <c r="C30" i="6"/>
  <c r="C37" i="6" s="1"/>
  <c r="B32" i="6"/>
  <c r="B39" i="6" s="1"/>
  <c r="G18" i="6"/>
  <c r="G17" i="6"/>
  <c r="G16" i="6"/>
  <c r="G15" i="6"/>
  <c r="G12" i="6"/>
  <c r="G10" i="6"/>
  <c r="G9" i="6"/>
  <c r="G8" i="6"/>
  <c r="G7" i="6"/>
  <c r="G6" i="6"/>
  <c r="G5" i="6"/>
  <c r="G4" i="6"/>
  <c r="G3" i="6"/>
  <c r="I2" i="6" l="1"/>
  <c r="I42" i="6"/>
  <c r="B44" i="6"/>
  <c r="F45" i="6"/>
  <c r="J42" i="6"/>
  <c r="I8" i="6"/>
  <c r="I4" i="6"/>
  <c r="E45" i="6"/>
  <c r="C42" i="6"/>
  <c r="G45" i="6"/>
  <c r="I7" i="6"/>
  <c r="I5" i="6"/>
  <c r="D42" i="6"/>
  <c r="H42" i="6"/>
  <c r="I6" i="6"/>
  <c r="H48" i="6"/>
  <c r="I3" i="6"/>
  <c r="J3" i="6"/>
  <c r="J2" i="6"/>
  <c r="E51" i="6"/>
  <c r="I48" i="6"/>
  <c r="C48" i="6"/>
  <c r="G51" i="6"/>
  <c r="J4" i="6"/>
  <c r="J5" i="6"/>
  <c r="J6" i="6"/>
  <c r="J7" i="6"/>
  <c r="J8" i="6"/>
  <c r="B40" i="6"/>
  <c r="B50" i="6"/>
  <c r="F51" i="6"/>
  <c r="J48" i="6"/>
  <c r="D48" i="6"/>
  <c r="AE12" i="5"/>
  <c r="AE11" i="5"/>
  <c r="AE10" i="5"/>
  <c r="AE9" i="5"/>
  <c r="AE8" i="5"/>
  <c r="AE7" i="5"/>
  <c r="AE6" i="5"/>
  <c r="AE5" i="5"/>
  <c r="AE4" i="5"/>
  <c r="AE3" i="5"/>
  <c r="AE2" i="5"/>
  <c r="X12" i="5"/>
  <c r="X11" i="5"/>
  <c r="X10" i="5"/>
  <c r="X9" i="5"/>
  <c r="X8" i="5"/>
  <c r="X7" i="5"/>
  <c r="X6" i="5"/>
  <c r="X5" i="5"/>
  <c r="X4" i="5"/>
  <c r="X3" i="5"/>
  <c r="X2" i="5"/>
  <c r="J19" i="5"/>
  <c r="J20" i="5"/>
  <c r="Q12" i="5"/>
  <c r="Q11" i="5"/>
  <c r="Q9" i="5"/>
  <c r="Q10" i="5"/>
  <c r="Q8" i="5"/>
  <c r="Q7" i="5"/>
  <c r="Q6" i="5"/>
  <c r="Q5" i="5"/>
  <c r="Q4" i="5"/>
  <c r="Q3" i="5"/>
  <c r="Q2" i="5"/>
  <c r="J14" i="5"/>
  <c r="J15" i="5"/>
  <c r="J16" i="5"/>
  <c r="J17" i="5"/>
  <c r="J18" i="5"/>
  <c r="J3" i="5"/>
  <c r="J4" i="5"/>
  <c r="J5" i="5"/>
  <c r="J6" i="5"/>
  <c r="J7" i="5"/>
  <c r="J8" i="5"/>
  <c r="J9" i="5"/>
  <c r="J10" i="5"/>
  <c r="J11" i="5"/>
  <c r="J12" i="5"/>
  <c r="J13" i="5"/>
  <c r="J2" i="5"/>
  <c r="D4" i="5"/>
  <c r="D3" i="5"/>
  <c r="D5" i="5"/>
  <c r="D6" i="5"/>
  <c r="D7" i="5"/>
  <c r="D8" i="5"/>
  <c r="D9" i="5"/>
  <c r="D10" i="5"/>
  <c r="D11" i="5"/>
  <c r="D12" i="5"/>
  <c r="D13" i="5"/>
  <c r="D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Tiffany Hamstreet</author>
  </authors>
  <commentList>
    <comment ref="F1" authorId="0" shapeId="0" xr:uid="{B18AFD87-AB2B-4C7D-A670-EEE52D876B5D}">
      <text>
        <r>
          <rPr>
            <b/>
            <sz val="9"/>
            <color indexed="81"/>
            <rFont val="Tahoma"/>
            <family val="2"/>
          </rPr>
          <t>Tiffany Hamstreet:</t>
        </r>
        <r>
          <rPr>
            <sz val="9"/>
            <color indexed="81"/>
            <rFont val="Tahoma"/>
            <family val="2"/>
          </rPr>
          <t xml:space="preserve">
Depends on Cm,2-Cm,1</t>
        </r>
      </text>
    </comment>
    <comment ref="G1" authorId="0" shapeId="0" xr:uid="{A3DF2241-06D0-481E-9C00-FBB442390F38}">
      <text>
        <r>
          <rPr>
            <b/>
            <sz val="9"/>
            <color indexed="81"/>
            <rFont val="Tahoma"/>
            <family val="2"/>
          </rPr>
          <t>Tiffany Hamstreet:</t>
        </r>
        <r>
          <rPr>
            <sz val="9"/>
            <color indexed="81"/>
            <rFont val="Tahoma"/>
            <family val="2"/>
          </rPr>
          <t xml:space="preserve">
Depends exclusively on Cm,2</t>
        </r>
      </text>
    </comment>
    <comment ref="H1" authorId="0" shapeId="0" xr:uid="{C958BDD2-4019-4B95-A601-FE12E472D6BA}">
      <text>
        <r>
          <rPr>
            <b/>
            <sz val="9"/>
            <color indexed="81"/>
            <rFont val="Tahoma"/>
            <family val="2"/>
          </rPr>
          <t>Tiffany Hamstreet:</t>
        </r>
        <r>
          <rPr>
            <sz val="9"/>
            <color indexed="81"/>
            <rFont val="Tahoma"/>
            <family val="2"/>
          </rPr>
          <t xml:space="preserve">
"corrective" ksyn to get back to kd = 1 depends on kd</t>
        </r>
      </text>
    </comment>
    <comment ref="I1" authorId="0" shapeId="0" xr:uid="{561814BF-8016-418C-A333-9353511F34B4}">
      <text>
        <r>
          <rPr>
            <b/>
            <sz val="9"/>
            <color indexed="81"/>
            <rFont val="Tahoma"/>
            <family val="2"/>
          </rPr>
          <t>Tiffany Hamstreet:</t>
        </r>
        <r>
          <rPr>
            <sz val="9"/>
            <color indexed="81"/>
            <rFont val="Tahoma"/>
            <family val="2"/>
          </rPr>
          <t xml:space="preserve">
Depends on ksyn</t>
        </r>
      </text>
    </comment>
    <comment ref="J1" authorId="0" shapeId="0" xr:uid="{CA791B21-0B8E-4A48-BFCA-165A0391DD86}">
      <text>
        <r>
          <rPr>
            <b/>
            <sz val="9"/>
            <color indexed="81"/>
            <rFont val="Tahoma"/>
            <family val="2"/>
          </rPr>
          <t>Tiffany Hamstreet:</t>
        </r>
        <r>
          <rPr>
            <sz val="9"/>
            <color indexed="81"/>
            <rFont val="Tahoma"/>
            <family val="2"/>
          </rPr>
          <t xml:space="preserve">
Depends on ksyn</t>
        </r>
      </text>
    </comment>
    <comment ref="I48" authorId="0" shapeId="0" xr:uid="{C8ACBD4C-1A23-4970-9010-082EEA7CABAF}">
      <text>
        <r>
          <rPr>
            <b/>
            <sz val="9"/>
            <color indexed="81"/>
            <rFont val="Tahoma"/>
            <family val="2"/>
          </rPr>
          <t>Tiffany Hamstreet:</t>
        </r>
        <r>
          <rPr>
            <sz val="9"/>
            <color indexed="81"/>
            <rFont val="Tahoma"/>
            <family val="2"/>
          </rPr>
          <t xml:space="preserve">
max conductance in Animatlab is 100uS/size</t>
        </r>
      </text>
    </comment>
  </commentList>
</comments>
</file>

<file path=xl/sharedStrings.xml><?xml version="1.0" encoding="utf-8"?>
<sst xmlns="http://schemas.openxmlformats.org/spreadsheetml/2006/main" count="392" uniqueCount="104">
  <si>
    <r>
      <t>E</t>
    </r>
    <r>
      <rPr>
        <vertAlign val="subscript"/>
        <sz val="11"/>
        <color theme="1"/>
        <rFont val="Calibri"/>
        <family val="2"/>
        <scheme val="minor"/>
      </rPr>
      <t>resting</t>
    </r>
    <r>
      <rPr>
        <sz val="11"/>
        <color theme="1"/>
        <rFont val="Calibri"/>
        <family val="2"/>
        <scheme val="minor"/>
      </rPr>
      <t xml:space="preserve"> (mV)</t>
    </r>
  </si>
  <si>
    <r>
      <t>E</t>
    </r>
    <r>
      <rPr>
        <vertAlign val="subscript"/>
        <sz val="11"/>
        <color theme="1"/>
        <rFont val="Calibri"/>
        <family val="2"/>
        <scheme val="minor"/>
      </rPr>
      <t>reversal</t>
    </r>
    <r>
      <rPr>
        <sz val="11"/>
        <color theme="1"/>
        <rFont val="Calibri"/>
        <family val="2"/>
        <scheme val="minor"/>
      </rPr>
      <t xml:space="preserve"> (mV)</t>
    </r>
  </si>
  <si>
    <r>
      <rPr>
        <sz val="11"/>
        <color theme="1"/>
        <rFont val="Calibri"/>
        <family val="2"/>
      </rPr>
      <t>∆</t>
    </r>
    <r>
      <rPr>
        <sz val="11"/>
        <color theme="1"/>
        <rFont val="Calibri"/>
        <family val="2"/>
        <scheme val="minor"/>
      </rPr>
      <t xml:space="preserve"> E</t>
    </r>
  </si>
  <si>
    <t>R (mV)</t>
  </si>
  <si>
    <r>
      <t>k</t>
    </r>
    <r>
      <rPr>
        <vertAlign val="subscript"/>
        <sz val="11"/>
        <color theme="1"/>
        <rFont val="Calibri"/>
        <family val="2"/>
        <scheme val="minor"/>
      </rPr>
      <t>syn</t>
    </r>
    <r>
      <rPr>
        <sz val="11"/>
        <color theme="1"/>
        <rFont val="Calibri"/>
        <family val="2"/>
        <scheme val="minor"/>
      </rPr>
      <t xml:space="preserve"> max</t>
    </r>
  </si>
  <si>
    <t>Input</t>
  </si>
  <si>
    <t>Output</t>
  </si>
  <si>
    <t>Derivative</t>
  </si>
  <si>
    <r>
      <t>k</t>
    </r>
    <r>
      <rPr>
        <vertAlign val="subscript"/>
        <sz val="11"/>
        <color theme="1"/>
        <rFont val="Calibri"/>
        <family val="2"/>
        <scheme val="minor"/>
      </rPr>
      <t>d-Subnetwork</t>
    </r>
  </si>
  <si>
    <r>
      <t>C</t>
    </r>
    <r>
      <rPr>
        <vertAlign val="subscript"/>
        <sz val="11"/>
        <color theme="1"/>
        <rFont val="Calibri"/>
        <family val="2"/>
        <scheme val="minor"/>
      </rPr>
      <t>m,1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</rPr>
      <t>τ</t>
    </r>
    <r>
      <rPr>
        <vertAlign val="subscript"/>
        <sz val="11"/>
        <color theme="1"/>
        <rFont val="Calibri"/>
        <family val="2"/>
      </rPr>
      <t xml:space="preserve">1 </t>
    </r>
    <r>
      <rPr>
        <sz val="11"/>
        <color theme="1"/>
        <rFont val="Calibri"/>
        <family val="2"/>
      </rPr>
      <t>(ms)</t>
    </r>
  </si>
  <si>
    <r>
      <t>C</t>
    </r>
    <r>
      <rPr>
        <vertAlign val="subscript"/>
        <sz val="11"/>
        <color theme="1"/>
        <rFont val="Calibri"/>
        <family val="2"/>
        <scheme val="minor"/>
      </rPr>
      <t>m,2</t>
    </r>
    <r>
      <rPr>
        <sz val="11"/>
        <color theme="1"/>
        <rFont val="Calibri"/>
        <family val="2"/>
        <scheme val="minor"/>
      </rPr>
      <t xml:space="preserve"> = τ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(ms)</t>
    </r>
  </si>
  <si>
    <r>
      <t>τ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(s)</t>
    </r>
  </si>
  <si>
    <r>
      <t>ω</t>
    </r>
    <r>
      <rPr>
        <vertAlign val="subscript"/>
        <sz val="11"/>
        <color theme="1"/>
        <rFont val="Calibri"/>
        <family val="2"/>
      </rPr>
      <t xml:space="preserve">c </t>
    </r>
    <r>
      <rPr>
        <sz val="11"/>
        <color theme="1"/>
        <rFont val="Calibri"/>
        <family val="2"/>
      </rPr>
      <t>(rad/s)</t>
    </r>
  </si>
  <si>
    <t>Hz</t>
  </si>
  <si>
    <r>
      <t>f</t>
    </r>
    <r>
      <rPr>
        <vertAlign val="subscript"/>
        <sz val="11"/>
        <color theme="1"/>
        <rFont val="Calibri"/>
        <family val="2"/>
      </rPr>
      <t xml:space="preserve">c </t>
    </r>
    <r>
      <rPr>
        <sz val="11"/>
        <color theme="1"/>
        <rFont val="Calibri"/>
        <family val="2"/>
      </rPr>
      <t>(Hz)</t>
    </r>
  </si>
  <si>
    <r>
      <t>k</t>
    </r>
    <r>
      <rPr>
        <vertAlign val="subscript"/>
        <sz val="11"/>
        <color theme="1"/>
        <rFont val="Calibri"/>
        <family val="2"/>
        <scheme val="minor"/>
      </rPr>
      <t>syn</t>
    </r>
  </si>
  <si>
    <t>Synapse Exc</t>
  </si>
  <si>
    <t>Synapse Inh</t>
  </si>
  <si>
    <r>
      <t>g</t>
    </r>
    <r>
      <rPr>
        <vertAlign val="subscript"/>
        <sz val="11"/>
        <color theme="1"/>
        <rFont val="Calibri"/>
        <family val="2"/>
        <scheme val="minor"/>
      </rPr>
      <t>s,1</t>
    </r>
    <r>
      <rPr>
        <sz val="11"/>
        <color theme="1"/>
        <rFont val="Calibri"/>
        <family val="2"/>
        <scheme val="minor"/>
      </rPr>
      <t xml:space="preserve"> (uS)</t>
    </r>
  </si>
  <si>
    <r>
      <t>g</t>
    </r>
    <r>
      <rPr>
        <vertAlign val="subscript"/>
        <sz val="11"/>
        <color theme="1"/>
        <rFont val="Calibri"/>
        <family val="2"/>
        <scheme val="minor"/>
      </rPr>
      <t>s,2</t>
    </r>
    <r>
      <rPr>
        <sz val="11"/>
        <color theme="1"/>
        <rFont val="Calibri"/>
        <family val="2"/>
        <scheme val="minor"/>
      </rPr>
      <t xml:space="preserve"> (uS)</t>
    </r>
  </si>
  <si>
    <t>how much to increase ksyn to get kd back to 1</t>
  </si>
  <si>
    <t>m/s</t>
  </si>
  <si>
    <t>rotations/s</t>
  </si>
  <si>
    <t>length to COM</t>
  </si>
  <si>
    <t>circumference</t>
  </si>
  <si>
    <t>r (m)</t>
  </si>
  <si>
    <t>c (m)</t>
  </si>
  <si>
    <t>terminal velocity of falling human (approximate)</t>
  </si>
  <si>
    <t>takes 3 seconds to get to 50% terminal velocity</t>
  </si>
  <si>
    <t>takes 8 seconds to get to 90% terminal velocity</t>
  </si>
  <si>
    <t>So! 10 Hz bandwidth is PLENTY for derivative network</t>
  </si>
  <si>
    <t>Derivative in-network gain (kd) -&gt;</t>
  </si>
  <si>
    <r>
      <t>theoretical k</t>
    </r>
    <r>
      <rPr>
        <vertAlign val="subscript"/>
        <sz val="11"/>
        <color theme="1"/>
        <rFont val="Calibri"/>
        <family val="2"/>
        <scheme val="minor"/>
      </rPr>
      <t>d</t>
    </r>
  </si>
  <si>
    <t>Desired Gain</t>
  </si>
  <si>
    <t>gs (uS)</t>
  </si>
  <si>
    <t>Gain</t>
  </si>
  <si>
    <t>distortion before gain of 160</t>
  </si>
  <si>
    <t>Chose Cm,2 = 15 because it gets us a cutoff frequency of 10 Hz, but for smaller values, kd attenuation is more severely attenuated</t>
  </si>
  <si>
    <t>gs,1 (uS)</t>
  </si>
  <si>
    <t>gs,2 (uS)</t>
  </si>
  <si>
    <t>Theoretical step output is input ramp amplitude*delta Cm</t>
  </si>
  <si>
    <r>
      <t>actual k</t>
    </r>
    <r>
      <rPr>
        <vertAlign val="subscript"/>
        <sz val="11"/>
        <color theme="1"/>
        <rFont val="Calibri"/>
        <family val="2"/>
        <scheme val="minor"/>
      </rPr>
      <t>d Input offset 1</t>
    </r>
  </si>
  <si>
    <r>
      <t>actual k</t>
    </r>
    <r>
      <rPr>
        <vertAlign val="subscript"/>
        <sz val="11"/>
        <color theme="1"/>
        <rFont val="Calibri"/>
        <family val="2"/>
        <scheme val="minor"/>
      </rPr>
      <t>d Input offset 2</t>
    </r>
    <r>
      <rPr>
        <sz val="11"/>
        <color theme="1"/>
        <rFont val="Calibri"/>
        <family val="2"/>
        <scheme val="minor"/>
      </rPr>
      <t/>
    </r>
  </si>
  <si>
    <t>Offset</t>
  </si>
  <si>
    <t>Input 1</t>
  </si>
  <si>
    <t>Input 2</t>
  </si>
  <si>
    <t>Baseline Output</t>
  </si>
  <si>
    <t>Subtraction Network shows no zero-proximity error when subtraction synapses are not used to boost gain</t>
  </si>
  <si>
    <t>Input Amp Varied --&gt;</t>
  </si>
  <si>
    <t>&lt;-- Input Offset Varied</t>
  </si>
  <si>
    <t>When used to boost gain, subtraction error shows zero-proximity error, nearly identical whether zero offset with varied input amplitude or constant input amplitude with varied offset</t>
  </si>
  <si>
    <t>When difference between signals is very close to zero we see distortion</t>
  </si>
  <si>
    <t>this is likely our situation as we're driving the difference to zero</t>
  </si>
  <si>
    <t>Sine Wave Inputs</t>
  </si>
  <si>
    <t>DC Inputs</t>
  </si>
  <si>
    <t>Theoretical Output</t>
  </si>
  <si>
    <t>ksyn</t>
  </si>
  <si>
    <r>
      <rPr>
        <sz val="11"/>
        <color theme="1"/>
        <rFont val="Calibri"/>
        <family val="2"/>
      </rPr>
      <t>∆</t>
    </r>
    <r>
      <rPr>
        <sz val="11"/>
        <color theme="1"/>
        <rFont val="Calibri"/>
        <family val="2"/>
        <scheme val="minor"/>
      </rPr>
      <t xml:space="preserve"> Es1</t>
    </r>
  </si>
  <si>
    <r>
      <rPr>
        <sz val="11"/>
        <color theme="1"/>
        <rFont val="Calibri"/>
        <family val="2"/>
      </rPr>
      <t>∆</t>
    </r>
    <r>
      <rPr>
        <sz val="11"/>
        <color theme="1"/>
        <rFont val="Calibri"/>
        <family val="2"/>
        <scheme val="minor"/>
      </rPr>
      <t xml:space="preserve"> Es2</t>
    </r>
    <r>
      <rPr>
        <sz val="11"/>
        <color theme="1"/>
        <rFont val="Calibri"/>
        <family val="2"/>
        <scheme val="minor"/>
      </rPr>
      <t/>
    </r>
  </si>
  <si>
    <t>R</t>
  </si>
  <si>
    <t>Theoretical Gain</t>
  </si>
  <si>
    <t>DC Inputs - Small Difference between inputs but far out in lower gain range</t>
  </si>
  <si>
    <t>Baseline Outputs collected with base addition and subtraction synapses</t>
  </si>
  <si>
    <t>Input Difference (In1-In2)</t>
  </si>
  <si>
    <t>&lt;- maybe this theory works if offset is big enough to avoid zero-proximity error (&gt;~3nA)</t>
  </si>
  <si>
    <t>Gain at Input = 10 mV</t>
  </si>
  <si>
    <t>Gain at Input = 20 mV</t>
  </si>
  <si>
    <t>Approximate Slope (Gain Change/mV)</t>
  </si>
  <si>
    <t>gs</t>
  </si>
  <si>
    <r>
      <rPr>
        <sz val="11"/>
        <color theme="1"/>
        <rFont val="Calibri"/>
        <family val="2"/>
      </rPr>
      <t>∆</t>
    </r>
    <r>
      <rPr>
        <sz val="11"/>
        <color theme="1"/>
        <rFont val="Calibri"/>
        <family val="2"/>
        <scheme val="minor"/>
      </rPr>
      <t xml:space="preserve"> E1</t>
    </r>
  </si>
  <si>
    <r>
      <rPr>
        <sz val="11"/>
        <color theme="1"/>
        <rFont val="Calibri"/>
        <family val="2"/>
      </rPr>
      <t>∆</t>
    </r>
    <r>
      <rPr>
        <sz val="11"/>
        <color theme="1"/>
        <rFont val="Calibri"/>
        <family val="2"/>
        <scheme val="minor"/>
      </rPr>
      <t xml:space="preserve"> E2</t>
    </r>
    <r>
      <rPr>
        <sz val="11"/>
        <color theme="1"/>
        <rFont val="Calibri"/>
        <family val="2"/>
        <scheme val="minor"/>
      </rPr>
      <t/>
    </r>
  </si>
  <si>
    <t>Theoretical Base Output</t>
  </si>
  <si>
    <t>gs1</t>
  </si>
  <si>
    <t>gs2 &amp; gs3</t>
  </si>
  <si>
    <t>Upre1</t>
  </si>
  <si>
    <t>Upre2</t>
  </si>
  <si>
    <t>Uinter</t>
  </si>
  <si>
    <t>Upost</t>
  </si>
  <si>
    <r>
      <rPr>
        <sz val="11"/>
        <color theme="1"/>
        <rFont val="Calibri"/>
        <family val="2"/>
      </rPr>
      <t>∆</t>
    </r>
    <r>
      <rPr>
        <sz val="11"/>
        <color theme="1"/>
        <rFont val="Calibri"/>
        <family val="2"/>
        <scheme val="minor"/>
      </rPr>
      <t xml:space="preserve"> Es2&amp;∆ Es3</t>
    </r>
  </si>
  <si>
    <t>Actual Gain</t>
  </si>
  <si>
    <t>ksyn = 1.2</t>
  </si>
  <si>
    <t>ksyn = 1</t>
  </si>
  <si>
    <t>Ideal Output (1 gain)</t>
  </si>
  <si>
    <t>ksyn = 1.3</t>
  </si>
  <si>
    <t>ksyn = 1.4</t>
  </si>
  <si>
    <t>ksyn = 1.6</t>
  </si>
  <si>
    <t>ksyn = 1.1</t>
  </si>
  <si>
    <t>ksyn = 1.01</t>
  </si>
  <si>
    <t>Input (nA)</t>
  </si>
  <si>
    <r>
      <rPr>
        <sz val="11"/>
        <color theme="1"/>
        <rFont val="Calibri"/>
        <family val="2"/>
      </rPr>
      <t>∆</t>
    </r>
    <r>
      <rPr>
        <sz val="11"/>
        <color theme="1"/>
        <rFont val="Calibri"/>
        <family val="2"/>
        <scheme val="minor"/>
      </rPr>
      <t xml:space="preserve"> Es2</t>
    </r>
  </si>
  <si>
    <t>gs2</t>
  </si>
  <si>
    <t>csyn</t>
  </si>
  <si>
    <t>gs,2</t>
  </si>
  <si>
    <t>Theoretical Division</t>
  </si>
  <si>
    <t>Choosing csyn</t>
  </si>
  <si>
    <t>Numerator</t>
  </si>
  <si>
    <t>Upre,1</t>
  </si>
  <si>
    <t>Denominator</t>
  </si>
  <si>
    <t>Upre,2</t>
  </si>
  <si>
    <t>Result</t>
  </si>
  <si>
    <t>put in equation</t>
  </si>
  <si>
    <t>Theoretical Scaling</t>
  </si>
  <si>
    <t>Inverse Scaling</t>
  </si>
  <si>
    <t>Input Data Lost (Offset Needed - set at 0.2nA)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</si>
</sst>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9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0006"/>
      <name val="Calibri"/>
      <family val="2"/>
      <scheme val="minor"/>
    </font>
    <font>
      <vertAlign val="subscript"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4" fontId="3" fillId="2" borderId="0" xfId="1" applyNumberFormat="1" applyAlignment="1">
      <alignment horizontal="center"/>
    </xf>
    <xf numFmtId="2" fontId="3" fillId="2" borderId="0" xfId="1" applyNumberFormat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3" fillId="0" borderId="0" xfId="1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166" fontId="0" fillId="0" borderId="0" xfId="0" applyNumberFormat="1" applyAlignment="1">
      <alignment horizontal="center"/>
    </xf>
    <xf numFmtId="164" fontId="0" fillId="0" borderId="0" xfId="0" applyNumberForma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0" fillId="7" borderId="0" xfId="0" applyFill="1" applyAlignment="1">
      <alignment horizontal="center" wrapText="1"/>
    </xf>
    <xf numFmtId="164" fontId="0" fillId="7" borderId="0" xfId="0" applyNumberFormat="1" applyFill="1"/>
    <xf numFmtId="0" fontId="0" fillId="8" borderId="0" xfId="0" applyFill="1" applyAlignment="1">
      <alignment horizontal="center" wrapText="1"/>
    </xf>
    <xf numFmtId="164" fontId="0" fillId="8" borderId="0" xfId="0" applyNumberFormat="1" applyFill="1"/>
    <xf numFmtId="0" fontId="8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167" fontId="8" fillId="6" borderId="0" xfId="0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2" fontId="0" fillId="10" borderId="0" xfId="0" applyNumberFormat="1" applyFill="1" applyAlignment="1">
      <alignment horizontal="center"/>
    </xf>
    <xf numFmtId="0" fontId="0" fillId="10" borderId="0" xfId="0" applyFill="1"/>
    <xf numFmtId="164" fontId="0" fillId="5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164" fontId="0" fillId="12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164" fontId="0" fillId="13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Subtraction Network Gain is</a:t>
            </a:r>
            <a:r>
              <a:rPr lang="en-US" baseline="0">
                <a:solidFill>
                  <a:sysClr val="windowText" lastClr="000000"/>
                </a:solidFill>
              </a:rPr>
              <a:t> Non-Linearly Related to Input and Nearly Linear and Flat above 10 mV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956993401525744"/>
          <c:w val="0.81232174103237098"/>
          <c:h val="0.66632325164961848"/>
        </c:manualLayout>
      </c:layout>
      <c:scatterChart>
        <c:scatterStyle val="lineMarker"/>
        <c:varyColors val="0"/>
        <c:ser>
          <c:idx val="0"/>
          <c:order val="0"/>
          <c:tx>
            <c:v>Sine Input Amplitude 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'Subtraction Network Vary Input'!$B$24:$B$31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15</c:v>
                </c:pt>
                <c:pt idx="7">
                  <c:v>19</c:v>
                </c:pt>
              </c:numCache>
            </c:numRef>
          </c:xVal>
          <c:yVal>
            <c:numRef>
              <c:f>'Subtraction Network Vary Input'!$G$24:$G$31</c:f>
              <c:numCache>
                <c:formatCode>0.0</c:formatCode>
                <c:ptCount val="8"/>
                <c:pt idx="0">
                  <c:v>34.333333333333336</c:v>
                </c:pt>
                <c:pt idx="1">
                  <c:v>15.3</c:v>
                </c:pt>
                <c:pt idx="2">
                  <c:v>9.8333333333333339</c:v>
                </c:pt>
                <c:pt idx="3">
                  <c:v>5.7</c:v>
                </c:pt>
                <c:pt idx="4">
                  <c:v>3.666666666666667</c:v>
                </c:pt>
                <c:pt idx="5">
                  <c:v>2.3333333333333335</c:v>
                </c:pt>
                <c:pt idx="6">
                  <c:v>1.8333333333333335</c:v>
                </c:pt>
                <c:pt idx="7">
                  <c:v>1.3333333333333335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8C-43BF-A5D0-9386EA4A0AD8}"/>
            </c:ext>
          </c:extLst>
        </c:ser>
        <c:ser>
          <c:idx val="2"/>
          <c:order val="1"/>
          <c:tx>
            <c:v>DC Input Theoretical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'Subtraction Network Vary Input'!$A$35:$A$43</c:f>
              <c:numCache>
                <c:formatCode>General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15</c:v>
                </c:pt>
                <c:pt idx="8">
                  <c:v>19</c:v>
                </c:pt>
              </c:numCache>
            </c:numRef>
          </c:xVal>
          <c:yVal>
            <c:numRef>
              <c:f>'Subtraction Network Vary Input'!$H$35:$H$43</c:f>
              <c:numCache>
                <c:formatCode>General</c:formatCode>
                <c:ptCount val="9"/>
                <c:pt idx="0">
                  <c:v>73.98638650488293</c:v>
                </c:pt>
                <c:pt idx="1">
                  <c:v>37.504562410684976</c:v>
                </c:pt>
                <c:pt idx="2">
                  <c:v>16.797694455825706</c:v>
                </c:pt>
                <c:pt idx="3">
                  <c:v>10.82244803328226</c:v>
                </c:pt>
                <c:pt idx="4">
                  <c:v>6.3236048041664379</c:v>
                </c:pt>
                <c:pt idx="5">
                  <c:v>3.894940680856521</c:v>
                </c:pt>
                <c:pt idx="6">
                  <c:v>2.5758753289087473</c:v>
                </c:pt>
                <c:pt idx="7">
                  <c:v>2.0541337514674396</c:v>
                </c:pt>
                <c:pt idx="8">
                  <c:v>1.617344549678946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8C-43BF-A5D0-9386EA4A0AD8}"/>
            </c:ext>
          </c:extLst>
        </c:ser>
        <c:ser>
          <c:idx val="1"/>
          <c:order val="2"/>
          <c:tx>
            <c:v>DC Input 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'Subtraction Network Vary Input'!$A$35:$A$43</c:f>
              <c:numCache>
                <c:formatCode>General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15</c:v>
                </c:pt>
                <c:pt idx="8">
                  <c:v>19</c:v>
                </c:pt>
              </c:numCache>
            </c:numRef>
          </c:xVal>
          <c:yVal>
            <c:numRef>
              <c:f>'Subtraction Network Vary Input'!$F$35:$F$43</c:f>
              <c:numCache>
                <c:formatCode>0.0</c:formatCode>
                <c:ptCount val="9"/>
                <c:pt idx="0">
                  <c:v>73.944954128440358</c:v>
                </c:pt>
                <c:pt idx="1">
                  <c:v>37.431192660550451</c:v>
                </c:pt>
                <c:pt idx="2">
                  <c:v>16.844036697247706</c:v>
                </c:pt>
                <c:pt idx="3">
                  <c:v>10.825688073394495</c:v>
                </c:pt>
                <c:pt idx="4">
                  <c:v>7.1559633027522933</c:v>
                </c:pt>
                <c:pt idx="5">
                  <c:v>3.9449541284403664</c:v>
                </c:pt>
                <c:pt idx="6">
                  <c:v>2.568807339449541</c:v>
                </c:pt>
                <c:pt idx="7">
                  <c:v>2.1100917431192658</c:v>
                </c:pt>
                <c:pt idx="8">
                  <c:v>1.4678899082568808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8C-43BF-A5D0-9386EA4A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076176"/>
        <c:axId val="1918868608"/>
      </c:scatterChart>
      <c:valAx>
        <c:axId val="20230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Input 1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68608"/>
        <c:crosses val="autoZero"/>
        <c:crossBetween val="midCat"/>
      </c:valAx>
      <c:valAx>
        <c:axId val="19188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Gain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7452933745431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7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311986001749782"/>
          <c:y val="0.2099001643486153"/>
          <c:w val="0.41521347331583558"/>
          <c:h val="0.266062317560772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Derivative Gain Attenuates Dramatically as Cutoff Frequency Increases (design fc highlighted</a:t>
            </a:r>
            <a:r>
              <a:rPr lang="en-US" baseline="0">
                <a:solidFill>
                  <a:sysClr val="windowText" lastClr="000000"/>
                </a:solidFill>
              </a:rPr>
              <a:t> red)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21077550853018373"/>
          <c:w val="0.81862729658792655"/>
          <c:h val="0.623873578302712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5AE-4368-BD64-17490F98A591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5AE-4368-BD64-17490F98A591}"/>
              </c:ext>
            </c:extLst>
          </c:dPt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73-46C6-9024-46DED42752D2}"/>
                </c:ext>
              </c:extLst>
            </c:dLbl>
            <c:dLbl>
              <c:idx val="9"/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AE-4368-BD64-17490F98A5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'Derivative kd Gain Zero Error'!$G$2:$G$18</c:f>
              <c:numCache>
                <c:formatCode>General</c:formatCode>
                <c:ptCount val="17"/>
                <c:pt idx="0">
                  <c:v>0.15915494309189535</c:v>
                </c:pt>
                <c:pt idx="1">
                  <c:v>0.31830988618379069</c:v>
                </c:pt>
                <c:pt idx="2">
                  <c:v>0.79577471545947676</c:v>
                </c:pt>
                <c:pt idx="3">
                  <c:v>0.90945681766797337</c:v>
                </c:pt>
                <c:pt idx="4">
                  <c:v>1.0610329539459689</c:v>
                </c:pt>
                <c:pt idx="5">
                  <c:v>1.2732395447351628</c:v>
                </c:pt>
                <c:pt idx="6">
                  <c:v>1.4468631190172305</c:v>
                </c:pt>
                <c:pt idx="7">
                  <c:v>1.5915494309189535</c:v>
                </c:pt>
                <c:pt idx="8">
                  <c:v>3.183098861837907</c:v>
                </c:pt>
                <c:pt idx="9">
                  <c:v>4.9735919716217287</c:v>
                </c:pt>
                <c:pt idx="10">
                  <c:v>6.366197723675814</c:v>
                </c:pt>
                <c:pt idx="11">
                  <c:v>8.8419412828830755</c:v>
                </c:pt>
                <c:pt idx="12">
                  <c:v>9.3620554759938432</c:v>
                </c:pt>
                <c:pt idx="13">
                  <c:v>9.9471839432434574</c:v>
                </c:pt>
                <c:pt idx="14">
                  <c:v>10.610329539459689</c:v>
                </c:pt>
                <c:pt idx="15">
                  <c:v>15.915494309189533</c:v>
                </c:pt>
                <c:pt idx="16">
                  <c:v>19.894367886486915</c:v>
                </c:pt>
              </c:numCache>
            </c:numRef>
          </c:xVal>
          <c:yVal>
            <c:numRef>
              <c:f>'Derivative kd Gain Zero Error'!$F$2:$F$18</c:f>
              <c:numCache>
                <c:formatCode>General</c:formatCode>
                <c:ptCount val="17"/>
                <c:pt idx="0">
                  <c:v>0.99990000000000001</c:v>
                </c:pt>
                <c:pt idx="1">
                  <c:v>0.49989999999999996</c:v>
                </c:pt>
                <c:pt idx="2">
                  <c:v>0.19989999999999999</c:v>
                </c:pt>
                <c:pt idx="3">
                  <c:v>0.1749</c:v>
                </c:pt>
                <c:pt idx="4">
                  <c:v>0.14990000000000001</c:v>
                </c:pt>
                <c:pt idx="5">
                  <c:v>0.12490000000000001</c:v>
                </c:pt>
                <c:pt idx="6">
                  <c:v>0.10990000000000001</c:v>
                </c:pt>
                <c:pt idx="7">
                  <c:v>9.9900000000000003E-2</c:v>
                </c:pt>
                <c:pt idx="8">
                  <c:v>4.99E-2</c:v>
                </c:pt>
                <c:pt idx="9" formatCode="0.00000">
                  <c:v>3.1899999999999998E-2</c:v>
                </c:pt>
                <c:pt idx="10">
                  <c:v>2.4899999999999999E-2</c:v>
                </c:pt>
                <c:pt idx="11">
                  <c:v>1.7899999999999999E-2</c:v>
                </c:pt>
                <c:pt idx="12">
                  <c:v>1.6899999999999998E-2</c:v>
                </c:pt>
                <c:pt idx="13">
                  <c:v>1.5900000000000001E-2</c:v>
                </c:pt>
                <c:pt idx="14">
                  <c:v>1.49E-2</c:v>
                </c:pt>
                <c:pt idx="15">
                  <c:v>9.9000000000000008E-3</c:v>
                </c:pt>
                <c:pt idx="16">
                  <c:v>7.9000000000000008E-3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C7-4D5C-9822-14C6DD1EF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229808"/>
        <c:axId val="1925716864"/>
      </c:scatterChart>
      <c:valAx>
        <c:axId val="189622980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Cutoff Frequency (Hz)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7815004668040658"/>
              <c:y val="0.90237028655875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16864"/>
        <c:crosses val="autoZero"/>
        <c:crossBetween val="midCat"/>
      </c:valAx>
      <c:valAx>
        <c:axId val="19257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</a:rPr>
                  <a:t>Derivative Circuit Gain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6567780821469081E-2"/>
              <c:y val="0.27453521434820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2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Theoretical Multiplication Network Gain (Attenuation)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92686495100986E-2"/>
          <c:y val="0.13033851439279004"/>
          <c:w val="0.85470643970333582"/>
          <c:h val="0.77757397142277651"/>
        </c:manualLayout>
      </c:layout>
      <c:scatterChart>
        <c:scatterStyle val="lineMarker"/>
        <c:varyColors val="0"/>
        <c:ser>
          <c:idx val="0"/>
          <c:order val="0"/>
          <c:tx>
            <c:v>Upre2 =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'Multiplication Baseline'!$A$2:$A$20</c:f>
              <c:numCache>
                <c:formatCode>General</c:formatCode>
                <c:ptCount val="1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  <c:pt idx="7">
                  <c:v>1.3</c:v>
                </c:pt>
                <c:pt idx="8">
                  <c:v>1.6</c:v>
                </c:pt>
                <c:pt idx="9">
                  <c:v>1.9</c:v>
                </c:pt>
                <c:pt idx="10">
                  <c:v>2.5</c:v>
                </c:pt>
                <c:pt idx="11">
                  <c:v>3.5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13</c:v>
                </c:pt>
                <c:pt idx="16">
                  <c:v>15</c:v>
                </c:pt>
                <c:pt idx="17">
                  <c:v>18</c:v>
                </c:pt>
                <c:pt idx="18">
                  <c:v>20</c:v>
                </c:pt>
              </c:numCache>
            </c:numRef>
          </c:xVal>
          <c:yVal>
            <c:numRef>
              <c:f>'Multiplication Baseline'!$F$2:$F$20</c:f>
              <c:numCache>
                <c:formatCode>0.00</c:formatCode>
                <c:ptCount val="19"/>
                <c:pt idx="0">
                  <c:v>1.1154358624379097</c:v>
                </c:pt>
                <c:pt idx="1">
                  <c:v>1.115179385926546</c:v>
                </c:pt>
                <c:pt idx="2">
                  <c:v>1.1148589561002422</c:v>
                </c:pt>
                <c:pt idx="3">
                  <c:v>1.1142186485541627</c:v>
                </c:pt>
                <c:pt idx="4">
                  <c:v>1.112940237453856</c:v>
                </c:pt>
                <c:pt idx="5">
                  <c:v>1.1110281118498044</c:v>
                </c:pt>
                <c:pt idx="6">
                  <c:v>1.1091225453641562</c:v>
                </c:pt>
                <c:pt idx="7">
                  <c:v>1.1072235043053178</c:v>
                </c:pt>
                <c:pt idx="8">
                  <c:v>1.1053309552120489</c:v>
                </c:pt>
                <c:pt idx="9">
                  <c:v>1.1034448648514972</c:v>
                </c:pt>
                <c:pt idx="10">
                  <c:v>1.0996919285274183</c:v>
                </c:pt>
                <c:pt idx="11">
                  <c:v>1.0934934444308295</c:v>
                </c:pt>
                <c:pt idx="12">
                  <c:v>1.084325637910085</c:v>
                </c:pt>
                <c:pt idx="13">
                  <c:v>1.0664435946462714</c:v>
                </c:pt>
                <c:pt idx="14">
                  <c:v>1.0548463356973994</c:v>
                </c:pt>
                <c:pt idx="15">
                  <c:v>1.0379157943707837</c:v>
                </c:pt>
                <c:pt idx="16">
                  <c:v>1.0269275028768698</c:v>
                </c:pt>
                <c:pt idx="17">
                  <c:v>1.0108744902582694</c:v>
                </c:pt>
                <c:pt idx="18">
                  <c:v>1.0004484304932735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4-4634-9F45-1D7A4AB26E17}"/>
            </c:ext>
          </c:extLst>
        </c:ser>
        <c:ser>
          <c:idx val="1"/>
          <c:order val="1"/>
          <c:tx>
            <c:v>Upre2 = 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'Multiplication Baseline'!$G$2:$G$20</c:f>
              <c:numCache>
                <c:formatCode>General</c:formatCode>
                <c:ptCount val="1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  <c:pt idx="7">
                  <c:v>1.3</c:v>
                </c:pt>
                <c:pt idx="8">
                  <c:v>1.6</c:v>
                </c:pt>
                <c:pt idx="9">
                  <c:v>1.9</c:v>
                </c:pt>
                <c:pt idx="10">
                  <c:v>2.5</c:v>
                </c:pt>
                <c:pt idx="11">
                  <c:v>3.5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13</c:v>
                </c:pt>
                <c:pt idx="16">
                  <c:v>15</c:v>
                </c:pt>
                <c:pt idx="17">
                  <c:v>18</c:v>
                </c:pt>
                <c:pt idx="18">
                  <c:v>20</c:v>
                </c:pt>
              </c:numCache>
            </c:numRef>
          </c:xVal>
          <c:yVal>
            <c:numRef>
              <c:f>'Multiplication Baseline'!$L$2:$L$20</c:f>
              <c:numCache>
                <c:formatCode>0.00</c:formatCode>
                <c:ptCount val="19"/>
                <c:pt idx="0">
                  <c:v>-22.958613241705599</c:v>
                </c:pt>
                <c:pt idx="1">
                  <c:v>-3.9111432733782117</c:v>
                </c:pt>
                <c:pt idx="2">
                  <c:v>-1.5303771680977858</c:v>
                </c:pt>
                <c:pt idx="3">
                  <c:v>-0.34027328436036997</c:v>
                </c:pt>
                <c:pt idx="4">
                  <c:v>0.25422117432309094</c:v>
                </c:pt>
                <c:pt idx="5">
                  <c:v>0.50821019621460173</c:v>
                </c:pt>
                <c:pt idx="6">
                  <c:v>0.60914090650483599</c:v>
                </c:pt>
                <c:pt idx="7">
                  <c:v>0.66297875688205055</c:v>
                </c:pt>
                <c:pt idx="8">
                  <c:v>0.69621510176288104</c:v>
                </c:pt>
                <c:pt idx="9">
                  <c:v>0.71860990671135383</c:v>
                </c:pt>
                <c:pt idx="10">
                  <c:v>0.74649081488459723</c:v>
                </c:pt>
                <c:pt idx="11">
                  <c:v>0.77006981387433504</c:v>
                </c:pt>
                <c:pt idx="12">
                  <c:v>0.78508853681267465</c:v>
                </c:pt>
                <c:pt idx="13">
                  <c:v>0.79237210158262783</c:v>
                </c:pt>
                <c:pt idx="14">
                  <c:v>0.79142335766423355</c:v>
                </c:pt>
                <c:pt idx="15">
                  <c:v>0.78678070892884366</c:v>
                </c:pt>
                <c:pt idx="16">
                  <c:v>0.78260351504319325</c:v>
                </c:pt>
                <c:pt idx="17">
                  <c:v>0.77552181418706856</c:v>
                </c:pt>
                <c:pt idx="18">
                  <c:v>0.77049036777583191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E4-4634-9F45-1D7A4AB26E17}"/>
            </c:ext>
          </c:extLst>
        </c:ser>
        <c:ser>
          <c:idx val="2"/>
          <c:order val="2"/>
          <c:tx>
            <c:v>Upre2 =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'Multiplication Baseline'!$S$2:$S$20</c:f>
              <c:numCache>
                <c:formatCode>General</c:formatCode>
                <c:ptCount val="1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  <c:pt idx="7">
                  <c:v>1.3</c:v>
                </c:pt>
                <c:pt idx="8">
                  <c:v>1.6</c:v>
                </c:pt>
                <c:pt idx="9">
                  <c:v>1.9</c:v>
                </c:pt>
                <c:pt idx="10">
                  <c:v>2.5</c:v>
                </c:pt>
                <c:pt idx="11">
                  <c:v>3.5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13</c:v>
                </c:pt>
                <c:pt idx="16">
                  <c:v>15</c:v>
                </c:pt>
                <c:pt idx="17">
                  <c:v>18</c:v>
                </c:pt>
                <c:pt idx="18">
                  <c:v>20</c:v>
                </c:pt>
              </c:numCache>
            </c:numRef>
          </c:xVal>
          <c:yVal>
            <c:numRef>
              <c:f>'Multiplication Baseline'!$X$2:$X$20</c:f>
              <c:numCache>
                <c:formatCode>0.00</c:formatCode>
                <c:ptCount val="19"/>
                <c:pt idx="0">
                  <c:v>-47.033321496388254</c:v>
                </c:pt>
                <c:pt idx="1">
                  <c:v>-8.9381539565767767</c:v>
                </c:pt>
                <c:pt idx="2">
                  <c:v>-4.1763373650555247</c:v>
                </c:pt>
                <c:pt idx="3">
                  <c:v>-1.795561245249885</c:v>
                </c:pt>
                <c:pt idx="4">
                  <c:v>-0.60543725892139466</c:v>
                </c:pt>
                <c:pt idx="5">
                  <c:v>-9.5760689580148814E-2</c:v>
                </c:pt>
                <c:pt idx="6">
                  <c:v>0.1077943812089777</c:v>
                </c:pt>
                <c:pt idx="7">
                  <c:v>0.21715887709633627</c:v>
                </c:pt>
                <c:pt idx="8">
                  <c:v>0.28531552707902863</c:v>
                </c:pt>
                <c:pt idx="9">
                  <c:v>0.331784282339666</c:v>
                </c:pt>
                <c:pt idx="10">
                  <c:v>0.39089002451776789</c:v>
                </c:pt>
                <c:pt idx="11">
                  <c:v>0.44357903966435452</c:v>
                </c:pt>
                <c:pt idx="12">
                  <c:v>0.48181551633143715</c:v>
                </c:pt>
                <c:pt idx="13">
                  <c:v>0.5124383892867107</c:v>
                </c:pt>
                <c:pt idx="14">
                  <c:v>0.52099849763087946</c:v>
                </c:pt>
                <c:pt idx="15">
                  <c:v>0.52704323480709969</c:v>
                </c:pt>
                <c:pt idx="16">
                  <c:v>0.52867855041099532</c:v>
                </c:pt>
                <c:pt idx="17">
                  <c:v>0.5291661334076132</c:v>
                </c:pt>
                <c:pt idx="18">
                  <c:v>0.5286548394340892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E4-4634-9F45-1D7A4AB26E17}"/>
            </c:ext>
          </c:extLst>
        </c:ser>
        <c:ser>
          <c:idx val="3"/>
          <c:order val="3"/>
          <c:tx>
            <c:v>Upre2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'Multiplication Baseline'!$AE$2:$AE$20</c:f>
              <c:numCache>
                <c:formatCode>General</c:formatCode>
                <c:ptCount val="1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  <c:pt idx="7">
                  <c:v>1.3</c:v>
                </c:pt>
                <c:pt idx="8">
                  <c:v>1.6</c:v>
                </c:pt>
                <c:pt idx="9">
                  <c:v>1.9</c:v>
                </c:pt>
                <c:pt idx="10">
                  <c:v>2.5</c:v>
                </c:pt>
                <c:pt idx="11">
                  <c:v>3.5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13</c:v>
                </c:pt>
                <c:pt idx="16">
                  <c:v>15</c:v>
                </c:pt>
                <c:pt idx="17">
                  <c:v>18</c:v>
                </c:pt>
                <c:pt idx="18">
                  <c:v>20</c:v>
                </c:pt>
              </c:numCache>
            </c:numRef>
          </c:xVal>
          <c:yVal>
            <c:numRef>
              <c:f>'Multiplication Baseline'!$AJ$2:$AJ$20</c:f>
              <c:numCache>
                <c:formatCode>0.00</c:formatCode>
                <c:ptCount val="19"/>
                <c:pt idx="0">
                  <c:v>-71.108688928681886</c:v>
                </c:pt>
                <c:pt idx="1">
                  <c:v>-13.965852804948161</c:v>
                </c:pt>
                <c:pt idx="2">
                  <c:v>-6.8230219321111534</c:v>
                </c:pt>
                <c:pt idx="3">
                  <c:v>-3.2516458877797292</c:v>
                </c:pt>
                <c:pt idx="4">
                  <c:v>-1.4660366045170314</c:v>
                </c:pt>
                <c:pt idx="5">
                  <c:v>-0.70088785651602703</c:v>
                </c:pt>
                <c:pt idx="6">
                  <c:v>-0.39492262711260073</c:v>
                </c:pt>
                <c:pt idx="7">
                  <c:v>-0.23024452721029315</c:v>
                </c:pt>
                <c:pt idx="8">
                  <c:v>-0.12737945970591588</c:v>
                </c:pt>
                <c:pt idx="9">
                  <c:v>-5.7047494231352351E-2</c:v>
                </c:pt>
                <c:pt idx="10">
                  <c:v>3.2865018673306046E-2</c:v>
                </c:pt>
                <c:pt idx="11">
                  <c:v>0.1139772836800641</c:v>
                </c:pt>
                <c:pt idx="12">
                  <c:v>0.17442437123627347</c:v>
                </c:pt>
                <c:pt idx="13">
                  <c:v>0.22645234066553863</c:v>
                </c:pt>
                <c:pt idx="14">
                  <c:v>0.24328882642304986</c:v>
                </c:pt>
                <c:pt idx="15">
                  <c:v>0.25825367024052248</c:v>
                </c:pt>
                <c:pt idx="16">
                  <c:v>0.2645753456488904</c:v>
                </c:pt>
                <c:pt idx="17">
                  <c:v>0.271017375082867</c:v>
                </c:pt>
                <c:pt idx="18">
                  <c:v>0.27399723374827106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E4-4634-9F45-1D7A4AB26E17}"/>
            </c:ext>
          </c:extLst>
        </c:ser>
        <c:ser>
          <c:idx val="4"/>
          <c:order val="4"/>
          <c:tx>
            <c:v>Upre2 =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'Multiplication Baseline'!$AK$2:$AK$20</c:f>
              <c:numCache>
                <c:formatCode>General</c:formatCode>
                <c:ptCount val="1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  <c:pt idx="7">
                  <c:v>1.3</c:v>
                </c:pt>
                <c:pt idx="8">
                  <c:v>1.6</c:v>
                </c:pt>
                <c:pt idx="9">
                  <c:v>1.9</c:v>
                </c:pt>
                <c:pt idx="10">
                  <c:v>2.5</c:v>
                </c:pt>
                <c:pt idx="11">
                  <c:v>3.5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13</c:v>
                </c:pt>
                <c:pt idx="16">
                  <c:v>15</c:v>
                </c:pt>
                <c:pt idx="17">
                  <c:v>18</c:v>
                </c:pt>
                <c:pt idx="18">
                  <c:v>20</c:v>
                </c:pt>
              </c:numCache>
            </c:numRef>
          </c:xVal>
          <c:yVal>
            <c:numRef>
              <c:f>'Multiplication Baseline'!$AP$2:$AP$20</c:f>
              <c:numCache>
                <c:formatCode>0.00</c:formatCode>
                <c:ptCount val="19"/>
                <c:pt idx="0">
                  <c:v>-90.36945750058986</c:v>
                </c:pt>
                <c:pt idx="1">
                  <c:v>-17.988507457533895</c:v>
                </c:pt>
                <c:pt idx="2">
                  <c:v>-8.9408913321413355</c:v>
                </c:pt>
                <c:pt idx="3">
                  <c:v>-4.4170876523047466</c:v>
                </c:pt>
                <c:pt idx="4">
                  <c:v>-2.155194576426116</c:v>
                </c:pt>
                <c:pt idx="5">
                  <c:v>-1.1858243455654927</c:v>
                </c:pt>
                <c:pt idx="6">
                  <c:v>-0.79808676201127937</c:v>
                </c:pt>
                <c:pt idx="7">
                  <c:v>-0.5893130659546949</c:v>
                </c:pt>
                <c:pt idx="8">
                  <c:v>-0.45883606744566663</c:v>
                </c:pt>
                <c:pt idx="9">
                  <c:v>-0.36956785439911333</c:v>
                </c:pt>
                <c:pt idx="10">
                  <c:v>-0.25531712536408491</c:v>
                </c:pt>
                <c:pt idx="11">
                  <c:v>-0.15197402257917222</c:v>
                </c:pt>
                <c:pt idx="12">
                  <c:v>-7.4510269500178083E-2</c:v>
                </c:pt>
                <c:pt idx="13">
                  <c:v>-6.8272330741513433E-3</c:v>
                </c:pt>
                <c:pt idx="14">
                  <c:v>1.5676059673218088E-2</c:v>
                </c:pt>
                <c:pt idx="15">
                  <c:v>3.6382020305990144E-2</c:v>
                </c:pt>
                <c:pt idx="16">
                  <c:v>4.5546502932262749E-2</c:v>
                </c:pt>
                <c:pt idx="17">
                  <c:v>5.5427191231406825E-2</c:v>
                </c:pt>
                <c:pt idx="18">
                  <c:v>6.0339142722562397E-2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E4-4634-9F45-1D7A4AB26E17}"/>
            </c:ext>
          </c:extLst>
        </c:ser>
        <c:ser>
          <c:idx val="5"/>
          <c:order val="5"/>
          <c:tx>
            <c:v>Upre2 = 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'Multiplication Baseline'!$AQ$2:$AQ$20</c:f>
              <c:numCache>
                <c:formatCode>General</c:formatCode>
                <c:ptCount val="1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  <c:pt idx="7">
                  <c:v>1.3</c:v>
                </c:pt>
                <c:pt idx="8">
                  <c:v>1.6</c:v>
                </c:pt>
                <c:pt idx="9">
                  <c:v>1.9</c:v>
                </c:pt>
                <c:pt idx="10">
                  <c:v>2.5</c:v>
                </c:pt>
                <c:pt idx="11">
                  <c:v>3.5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13</c:v>
                </c:pt>
                <c:pt idx="16">
                  <c:v>15</c:v>
                </c:pt>
                <c:pt idx="17">
                  <c:v>18</c:v>
                </c:pt>
                <c:pt idx="18">
                  <c:v>20</c:v>
                </c:pt>
              </c:numCache>
            </c:numRef>
          </c:xVal>
          <c:yVal>
            <c:numRef>
              <c:f>'Multiplication Baseline'!$AV$2:$AV$20</c:f>
              <c:numCache>
                <c:formatCode>0.00</c:formatCode>
                <c:ptCount val="19"/>
                <c:pt idx="0">
                  <c:v>-94.221661843111093</c:v>
                </c:pt>
                <c:pt idx="1">
                  <c:v>-18.793091256357933</c:v>
                </c:pt>
                <c:pt idx="2">
                  <c:v>-9.3645208800282251</c:v>
                </c:pt>
                <c:pt idx="3">
                  <c:v>-4.6502372701222496</c:v>
                </c:pt>
                <c:pt idx="4">
                  <c:v>-2.2930986213240541</c:v>
                </c:pt>
                <c:pt idx="5">
                  <c:v>-1.2829008511715778</c:v>
                </c:pt>
                <c:pt idx="6">
                  <c:v>-0.87882552875483766</c:v>
                </c:pt>
                <c:pt idx="7">
                  <c:v>-0.66124942016525468</c:v>
                </c:pt>
                <c:pt idx="8">
                  <c:v>-0.52526671692595883</c:v>
                </c:pt>
                <c:pt idx="9">
                  <c:v>-0.43222791065096727</c:v>
                </c:pt>
                <c:pt idx="10">
                  <c:v>-0.31314277557720438</c:v>
                </c:pt>
                <c:pt idx="11">
                  <c:v>-0.20540867797950724</c:v>
                </c:pt>
                <c:pt idx="12">
                  <c:v>-0.12462383227554732</c:v>
                </c:pt>
                <c:pt idx="13">
                  <c:v>-5.3972415365325439E-2</c:v>
                </c:pt>
                <c:pt idx="14">
                  <c:v>-3.044283069913143E-2</c:v>
                </c:pt>
                <c:pt idx="15">
                  <c:v>-8.7472521219800689E-3</c:v>
                </c:pt>
                <c:pt idx="16">
                  <c:v>8.8137038879805964E-4</c:v>
                </c:pt>
                <c:pt idx="17">
                  <c:v>1.1295102299732063E-2</c:v>
                </c:pt>
                <c:pt idx="18">
                  <c:v>1.6491626454726082E-2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E4-4634-9F45-1D7A4AB26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793408"/>
        <c:axId val="208685216"/>
      </c:scatterChart>
      <c:valAx>
        <c:axId val="189079340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Input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5216"/>
        <c:crosses val="autoZero"/>
        <c:crossBetween val="midCat"/>
      </c:valAx>
      <c:valAx>
        <c:axId val="2086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Gain</a:t>
                </a:r>
              </a:p>
            </c:rich>
          </c:tx>
          <c:layout>
            <c:manualLayout>
              <c:xMode val="edge"/>
              <c:yMode val="edge"/>
              <c:x val="6.9156293222683261E-3"/>
              <c:y val="0.47581389801928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08556503051228"/>
          <c:y val="0.54012994476752463"/>
          <c:w val="0.18007451064342733"/>
          <c:h val="0.355806604156007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03895708730411"/>
          <c:y val="0.12750165448872922"/>
          <c:w val="0.65408229420177988"/>
          <c:h val="0.78507065904926554"/>
        </c:manualLayout>
      </c:layout>
      <c:scatterChart>
        <c:scatterStyle val="lineMarker"/>
        <c:varyColors val="0"/>
        <c:ser>
          <c:idx val="0"/>
          <c:order val="0"/>
          <c:tx>
            <c:v>U2 = 20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'Multiplication Baseline'!$A$2:$A$20</c:f>
              <c:numCache>
                <c:formatCode>General</c:formatCode>
                <c:ptCount val="1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  <c:pt idx="7">
                  <c:v>1.3</c:v>
                </c:pt>
                <c:pt idx="8">
                  <c:v>1.6</c:v>
                </c:pt>
                <c:pt idx="9">
                  <c:v>1.9</c:v>
                </c:pt>
                <c:pt idx="10">
                  <c:v>2.5</c:v>
                </c:pt>
                <c:pt idx="11">
                  <c:v>3.5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13</c:v>
                </c:pt>
                <c:pt idx="16">
                  <c:v>15</c:v>
                </c:pt>
                <c:pt idx="17">
                  <c:v>18</c:v>
                </c:pt>
                <c:pt idx="18">
                  <c:v>20</c:v>
                </c:pt>
              </c:numCache>
            </c:numRef>
          </c:xVal>
          <c:yVal>
            <c:numRef>
              <c:f>'Multiplication Baseline'!$F$2:$F$20</c:f>
              <c:numCache>
                <c:formatCode>0.00</c:formatCode>
                <c:ptCount val="19"/>
                <c:pt idx="0">
                  <c:v>1.1154358624379097</c:v>
                </c:pt>
                <c:pt idx="1">
                  <c:v>1.115179385926546</c:v>
                </c:pt>
                <c:pt idx="2">
                  <c:v>1.1148589561002422</c:v>
                </c:pt>
                <c:pt idx="3">
                  <c:v>1.1142186485541627</c:v>
                </c:pt>
                <c:pt idx="4">
                  <c:v>1.112940237453856</c:v>
                </c:pt>
                <c:pt idx="5">
                  <c:v>1.1110281118498044</c:v>
                </c:pt>
                <c:pt idx="6">
                  <c:v>1.1091225453641562</c:v>
                </c:pt>
                <c:pt idx="7">
                  <c:v>1.1072235043053178</c:v>
                </c:pt>
                <c:pt idx="8">
                  <c:v>1.1053309552120489</c:v>
                </c:pt>
                <c:pt idx="9">
                  <c:v>1.1034448648514972</c:v>
                </c:pt>
                <c:pt idx="10">
                  <c:v>1.0996919285274183</c:v>
                </c:pt>
                <c:pt idx="11">
                  <c:v>1.0934934444308295</c:v>
                </c:pt>
                <c:pt idx="12">
                  <c:v>1.084325637910085</c:v>
                </c:pt>
                <c:pt idx="13">
                  <c:v>1.0664435946462714</c:v>
                </c:pt>
                <c:pt idx="14">
                  <c:v>1.0548463356973994</c:v>
                </c:pt>
                <c:pt idx="15">
                  <c:v>1.0379157943707837</c:v>
                </c:pt>
                <c:pt idx="16">
                  <c:v>1.0269275028768698</c:v>
                </c:pt>
                <c:pt idx="17">
                  <c:v>1.0108744902582694</c:v>
                </c:pt>
                <c:pt idx="18">
                  <c:v>1.0004484304932735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4-4B02-9F6F-191E8720A34D}"/>
            </c:ext>
          </c:extLst>
        </c:ser>
        <c:ser>
          <c:idx val="1"/>
          <c:order val="1"/>
          <c:tx>
            <c:v>U2 = 15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'Multiplication Baseline'!$G$2:$G$20</c:f>
              <c:numCache>
                <c:formatCode>General</c:formatCode>
                <c:ptCount val="1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  <c:pt idx="7">
                  <c:v>1.3</c:v>
                </c:pt>
                <c:pt idx="8">
                  <c:v>1.6</c:v>
                </c:pt>
                <c:pt idx="9">
                  <c:v>1.9</c:v>
                </c:pt>
                <c:pt idx="10">
                  <c:v>2.5</c:v>
                </c:pt>
                <c:pt idx="11">
                  <c:v>3.5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13</c:v>
                </c:pt>
                <c:pt idx="16">
                  <c:v>15</c:v>
                </c:pt>
                <c:pt idx="17">
                  <c:v>18</c:v>
                </c:pt>
                <c:pt idx="18">
                  <c:v>20</c:v>
                </c:pt>
              </c:numCache>
            </c:numRef>
          </c:xVal>
          <c:yVal>
            <c:numRef>
              <c:f>'Multiplication Baseline'!$L$2:$L$20</c:f>
              <c:numCache>
                <c:formatCode>0.00</c:formatCode>
                <c:ptCount val="19"/>
                <c:pt idx="0">
                  <c:v>-22.958613241705599</c:v>
                </c:pt>
                <c:pt idx="1">
                  <c:v>-3.9111432733782117</c:v>
                </c:pt>
                <c:pt idx="2">
                  <c:v>-1.5303771680977858</c:v>
                </c:pt>
                <c:pt idx="3">
                  <c:v>-0.34027328436036997</c:v>
                </c:pt>
                <c:pt idx="4">
                  <c:v>0.25422117432309094</c:v>
                </c:pt>
                <c:pt idx="5">
                  <c:v>0.50821019621460173</c:v>
                </c:pt>
                <c:pt idx="6">
                  <c:v>0.60914090650483599</c:v>
                </c:pt>
                <c:pt idx="7">
                  <c:v>0.66297875688205055</c:v>
                </c:pt>
                <c:pt idx="8">
                  <c:v>0.69621510176288104</c:v>
                </c:pt>
                <c:pt idx="9">
                  <c:v>0.71860990671135383</c:v>
                </c:pt>
                <c:pt idx="10">
                  <c:v>0.74649081488459723</c:v>
                </c:pt>
                <c:pt idx="11">
                  <c:v>0.77006981387433504</c:v>
                </c:pt>
                <c:pt idx="12">
                  <c:v>0.78508853681267465</c:v>
                </c:pt>
                <c:pt idx="13">
                  <c:v>0.79237210158262783</c:v>
                </c:pt>
                <c:pt idx="14">
                  <c:v>0.79142335766423355</c:v>
                </c:pt>
                <c:pt idx="15">
                  <c:v>0.78678070892884366</c:v>
                </c:pt>
                <c:pt idx="16">
                  <c:v>0.78260351504319325</c:v>
                </c:pt>
                <c:pt idx="17">
                  <c:v>0.77552181418706856</c:v>
                </c:pt>
                <c:pt idx="18">
                  <c:v>0.77049036777583191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4-4B02-9F6F-191E8720A34D}"/>
            </c:ext>
          </c:extLst>
        </c:ser>
        <c:ser>
          <c:idx val="7"/>
          <c:order val="2"/>
          <c:tx>
            <c:v>U2 = 12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'Multiplication Baseline'!$M$2:$M$20</c:f>
              <c:numCache>
                <c:formatCode>General</c:formatCode>
                <c:ptCount val="1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  <c:pt idx="7">
                  <c:v>1.3</c:v>
                </c:pt>
                <c:pt idx="8">
                  <c:v>1.6</c:v>
                </c:pt>
                <c:pt idx="9">
                  <c:v>1.9</c:v>
                </c:pt>
                <c:pt idx="10">
                  <c:v>2.5</c:v>
                </c:pt>
                <c:pt idx="11">
                  <c:v>3.5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13</c:v>
                </c:pt>
                <c:pt idx="16">
                  <c:v>15</c:v>
                </c:pt>
                <c:pt idx="17">
                  <c:v>18</c:v>
                </c:pt>
                <c:pt idx="18">
                  <c:v>20</c:v>
                </c:pt>
              </c:numCache>
            </c:numRef>
          </c:xVal>
          <c:yVal>
            <c:numRef>
              <c:f>'Multiplication Baseline'!$R$2:$R$20</c:f>
              <c:numCache>
                <c:formatCode>0.00</c:formatCode>
                <c:ptCount val="19"/>
                <c:pt idx="0">
                  <c:v>-37.403359094717935</c:v>
                </c:pt>
                <c:pt idx="1">
                  <c:v>-6.9272671113891038</c:v>
                </c:pt>
                <c:pt idx="2">
                  <c:v>-3.1178663785152665</c:v>
                </c:pt>
                <c:pt idx="3">
                  <c:v>-1.2133504957185244</c:v>
                </c:pt>
                <c:pt idx="4">
                  <c:v>-0.26146106258232332</c:v>
                </c:pt>
                <c:pt idx="5">
                  <c:v>0.14596623277612186</c:v>
                </c:pt>
                <c:pt idx="6">
                  <c:v>0.30849713519733324</c:v>
                </c:pt>
                <c:pt idx="7">
                  <c:v>0.3956763806601522</c:v>
                </c:pt>
                <c:pt idx="8">
                  <c:v>0.44989014943464828</c:v>
                </c:pt>
                <c:pt idx="9">
                  <c:v>0.48675439955304767</c:v>
                </c:pt>
                <c:pt idx="10">
                  <c:v>0.5334198648927696</c:v>
                </c:pt>
                <c:pt idx="11">
                  <c:v>0.57454619363692638</c:v>
                </c:pt>
                <c:pt idx="12">
                  <c:v>0.60361424644716055</c:v>
                </c:pt>
                <c:pt idx="13">
                  <c:v>0.62512732660431514</c:v>
                </c:pt>
                <c:pt idx="14">
                  <c:v>0.63002643982066897</c:v>
                </c:pt>
                <c:pt idx="15">
                  <c:v>0.63199860660235907</c:v>
                </c:pt>
                <c:pt idx="16">
                  <c:v>0.63143659000583885</c:v>
                </c:pt>
                <c:pt idx="17">
                  <c:v>0.62907769150636839</c:v>
                </c:pt>
                <c:pt idx="18">
                  <c:v>0.6268726383640808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24-4B02-9F6F-191E8720A34D}"/>
            </c:ext>
          </c:extLst>
        </c:ser>
        <c:ser>
          <c:idx val="2"/>
          <c:order val="3"/>
          <c:tx>
            <c:v>U2 = 10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'Multiplication Baseline'!$S$2:$S$20</c:f>
              <c:numCache>
                <c:formatCode>General</c:formatCode>
                <c:ptCount val="1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  <c:pt idx="7">
                  <c:v>1.3</c:v>
                </c:pt>
                <c:pt idx="8">
                  <c:v>1.6</c:v>
                </c:pt>
                <c:pt idx="9">
                  <c:v>1.9</c:v>
                </c:pt>
                <c:pt idx="10">
                  <c:v>2.5</c:v>
                </c:pt>
                <c:pt idx="11">
                  <c:v>3.5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13</c:v>
                </c:pt>
                <c:pt idx="16">
                  <c:v>15</c:v>
                </c:pt>
                <c:pt idx="17">
                  <c:v>18</c:v>
                </c:pt>
                <c:pt idx="18">
                  <c:v>20</c:v>
                </c:pt>
              </c:numCache>
            </c:numRef>
          </c:xVal>
          <c:yVal>
            <c:numRef>
              <c:f>'Multiplication Baseline'!$X$2:$X$20</c:f>
              <c:numCache>
                <c:formatCode>0.00</c:formatCode>
                <c:ptCount val="19"/>
                <c:pt idx="0">
                  <c:v>-47.033321496388254</c:v>
                </c:pt>
                <c:pt idx="1">
                  <c:v>-8.9381539565767767</c:v>
                </c:pt>
                <c:pt idx="2">
                  <c:v>-4.1763373650555247</c:v>
                </c:pt>
                <c:pt idx="3">
                  <c:v>-1.795561245249885</c:v>
                </c:pt>
                <c:pt idx="4">
                  <c:v>-0.60543725892139466</c:v>
                </c:pt>
                <c:pt idx="5">
                  <c:v>-9.5760689580148814E-2</c:v>
                </c:pt>
                <c:pt idx="6">
                  <c:v>0.1077943812089777</c:v>
                </c:pt>
                <c:pt idx="7">
                  <c:v>0.21715887709633627</c:v>
                </c:pt>
                <c:pt idx="8">
                  <c:v>0.28531552707902863</c:v>
                </c:pt>
                <c:pt idx="9">
                  <c:v>0.331784282339666</c:v>
                </c:pt>
                <c:pt idx="10">
                  <c:v>0.39089002451776789</c:v>
                </c:pt>
                <c:pt idx="11">
                  <c:v>0.44357903966435452</c:v>
                </c:pt>
                <c:pt idx="12">
                  <c:v>0.48181551633143715</c:v>
                </c:pt>
                <c:pt idx="13">
                  <c:v>0.5124383892867107</c:v>
                </c:pt>
                <c:pt idx="14">
                  <c:v>0.52099849763087946</c:v>
                </c:pt>
                <c:pt idx="15">
                  <c:v>0.52704323480709969</c:v>
                </c:pt>
                <c:pt idx="16">
                  <c:v>0.52867855041099532</c:v>
                </c:pt>
                <c:pt idx="17">
                  <c:v>0.5291661334076132</c:v>
                </c:pt>
                <c:pt idx="18">
                  <c:v>0.5286548394340892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24-4B02-9F6F-191E8720A34D}"/>
            </c:ext>
          </c:extLst>
        </c:ser>
        <c:ser>
          <c:idx val="6"/>
          <c:order val="4"/>
          <c:tx>
            <c:v>U2 = 8</c:v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'Multiplication Baseline'!$Y$2:$Y$20</c:f>
              <c:numCache>
                <c:formatCode>General</c:formatCode>
                <c:ptCount val="1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  <c:pt idx="7">
                  <c:v>1.3</c:v>
                </c:pt>
                <c:pt idx="8">
                  <c:v>1.6</c:v>
                </c:pt>
                <c:pt idx="9">
                  <c:v>1.9</c:v>
                </c:pt>
                <c:pt idx="10">
                  <c:v>2.5</c:v>
                </c:pt>
                <c:pt idx="11">
                  <c:v>3.5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13</c:v>
                </c:pt>
                <c:pt idx="16">
                  <c:v>15</c:v>
                </c:pt>
                <c:pt idx="17">
                  <c:v>18</c:v>
                </c:pt>
                <c:pt idx="18">
                  <c:v>20</c:v>
                </c:pt>
              </c:numCache>
            </c:numRef>
          </c:xVal>
          <c:yVal>
            <c:numRef>
              <c:f>'Multiplication Baseline'!$AD$2:$AD$20</c:f>
              <c:numCache>
                <c:formatCode>0.00</c:formatCode>
                <c:ptCount val="19"/>
                <c:pt idx="0">
                  <c:v>-56.663389366476324</c:v>
                </c:pt>
                <c:pt idx="1">
                  <c:v>-10.949150908191669</c:v>
                </c:pt>
                <c:pt idx="2">
                  <c:v>-5.2349242508096214</c:v>
                </c:pt>
                <c:pt idx="3">
                  <c:v>-2.3778994638356807</c:v>
                </c:pt>
                <c:pt idx="4">
                  <c:v>-0.94956400119881834</c:v>
                </c:pt>
                <c:pt idx="5">
                  <c:v>-0.33767261677687627</c:v>
                </c:pt>
                <c:pt idx="6">
                  <c:v>-9.3127649720332051E-2</c:v>
                </c:pt>
                <c:pt idx="7">
                  <c:v>3.8388010278062552E-2</c:v>
                </c:pt>
                <c:pt idx="8">
                  <c:v>0.12045363993397465</c:v>
                </c:pt>
                <c:pt idx="9">
                  <c:v>0.17649318257803825</c:v>
                </c:pt>
                <c:pt idx="10">
                  <c:v>0.24797231342621356</c:v>
                </c:pt>
                <c:pt idx="11">
                  <c:v>0.3121141380086549</c:v>
                </c:pt>
                <c:pt idx="12">
                  <c:v>0.35935791144822721</c:v>
                </c:pt>
                <c:pt idx="13">
                  <c:v>0.39878117119641365</c:v>
                </c:pt>
                <c:pt idx="14">
                  <c:v>0.4108051585918438</c:v>
                </c:pt>
                <c:pt idx="15">
                  <c:v>0.42063988542861791</c:v>
                </c:pt>
                <c:pt idx="16">
                  <c:v>0.42429252052120997</c:v>
                </c:pt>
                <c:pt idx="17">
                  <c:v>0.42736854904285321</c:v>
                </c:pt>
                <c:pt idx="18">
                  <c:v>0.42838665759019739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24-4B02-9F6F-191E8720A34D}"/>
            </c:ext>
          </c:extLst>
        </c:ser>
        <c:ser>
          <c:idx val="3"/>
          <c:order val="5"/>
          <c:tx>
            <c:v>U2 = 5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'Multiplication Baseline'!$AE$2:$AE$20</c:f>
              <c:numCache>
                <c:formatCode>General</c:formatCode>
                <c:ptCount val="1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  <c:pt idx="7">
                  <c:v>1.3</c:v>
                </c:pt>
                <c:pt idx="8">
                  <c:v>1.6</c:v>
                </c:pt>
                <c:pt idx="9">
                  <c:v>1.9</c:v>
                </c:pt>
                <c:pt idx="10">
                  <c:v>2.5</c:v>
                </c:pt>
                <c:pt idx="11">
                  <c:v>3.5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13</c:v>
                </c:pt>
                <c:pt idx="16">
                  <c:v>15</c:v>
                </c:pt>
                <c:pt idx="17">
                  <c:v>18</c:v>
                </c:pt>
                <c:pt idx="18">
                  <c:v>20</c:v>
                </c:pt>
              </c:numCache>
            </c:numRef>
          </c:xVal>
          <c:yVal>
            <c:numRef>
              <c:f>'Multiplication Baseline'!$AJ$2:$AJ$20</c:f>
              <c:numCache>
                <c:formatCode>0.00</c:formatCode>
                <c:ptCount val="19"/>
                <c:pt idx="0">
                  <c:v>-71.108688928681886</c:v>
                </c:pt>
                <c:pt idx="1">
                  <c:v>-13.965852804948161</c:v>
                </c:pt>
                <c:pt idx="2">
                  <c:v>-6.8230219321111534</c:v>
                </c:pt>
                <c:pt idx="3">
                  <c:v>-3.2516458877797292</c:v>
                </c:pt>
                <c:pt idx="4">
                  <c:v>-1.4660366045170314</c:v>
                </c:pt>
                <c:pt idx="5">
                  <c:v>-0.70088785651602703</c:v>
                </c:pt>
                <c:pt idx="6">
                  <c:v>-0.39492262711260073</c:v>
                </c:pt>
                <c:pt idx="7">
                  <c:v>-0.23024452721029315</c:v>
                </c:pt>
                <c:pt idx="8">
                  <c:v>-0.12737945970591588</c:v>
                </c:pt>
                <c:pt idx="9">
                  <c:v>-5.7047494231352351E-2</c:v>
                </c:pt>
                <c:pt idx="10">
                  <c:v>3.2865018673306046E-2</c:v>
                </c:pt>
                <c:pt idx="11">
                  <c:v>0.1139772836800641</c:v>
                </c:pt>
                <c:pt idx="12">
                  <c:v>0.17442437123627347</c:v>
                </c:pt>
                <c:pt idx="13">
                  <c:v>0.22645234066553863</c:v>
                </c:pt>
                <c:pt idx="14">
                  <c:v>0.24328882642304986</c:v>
                </c:pt>
                <c:pt idx="15">
                  <c:v>0.25825367024052248</c:v>
                </c:pt>
                <c:pt idx="16">
                  <c:v>0.2645753456488904</c:v>
                </c:pt>
                <c:pt idx="17">
                  <c:v>0.271017375082867</c:v>
                </c:pt>
                <c:pt idx="18">
                  <c:v>0.27399723374827106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24-4B02-9F6F-191E8720A34D}"/>
            </c:ext>
          </c:extLst>
        </c:ser>
        <c:ser>
          <c:idx val="4"/>
          <c:order val="6"/>
          <c:tx>
            <c:v>U2 = 1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'Multiplication Baseline'!$AK$2:$AK$20</c:f>
              <c:numCache>
                <c:formatCode>General</c:formatCode>
                <c:ptCount val="1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  <c:pt idx="7">
                  <c:v>1.3</c:v>
                </c:pt>
                <c:pt idx="8">
                  <c:v>1.6</c:v>
                </c:pt>
                <c:pt idx="9">
                  <c:v>1.9</c:v>
                </c:pt>
                <c:pt idx="10">
                  <c:v>2.5</c:v>
                </c:pt>
                <c:pt idx="11">
                  <c:v>3.5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13</c:v>
                </c:pt>
                <c:pt idx="16">
                  <c:v>15</c:v>
                </c:pt>
                <c:pt idx="17">
                  <c:v>18</c:v>
                </c:pt>
                <c:pt idx="18">
                  <c:v>20</c:v>
                </c:pt>
              </c:numCache>
            </c:numRef>
          </c:xVal>
          <c:yVal>
            <c:numRef>
              <c:f>'Multiplication Baseline'!$AP$2:$AP$20</c:f>
              <c:numCache>
                <c:formatCode>0.00</c:formatCode>
                <c:ptCount val="19"/>
                <c:pt idx="0">
                  <c:v>-90.36945750058986</c:v>
                </c:pt>
                <c:pt idx="1">
                  <c:v>-17.988507457533895</c:v>
                </c:pt>
                <c:pt idx="2">
                  <c:v>-8.9408913321413355</c:v>
                </c:pt>
                <c:pt idx="3">
                  <c:v>-4.4170876523047466</c:v>
                </c:pt>
                <c:pt idx="4">
                  <c:v>-2.155194576426116</c:v>
                </c:pt>
                <c:pt idx="5">
                  <c:v>-1.1858243455654927</c:v>
                </c:pt>
                <c:pt idx="6">
                  <c:v>-0.79808676201127937</c:v>
                </c:pt>
                <c:pt idx="7">
                  <c:v>-0.5893130659546949</c:v>
                </c:pt>
                <c:pt idx="8">
                  <c:v>-0.45883606744566663</c:v>
                </c:pt>
                <c:pt idx="9">
                  <c:v>-0.36956785439911333</c:v>
                </c:pt>
                <c:pt idx="10">
                  <c:v>-0.25531712536408491</c:v>
                </c:pt>
                <c:pt idx="11">
                  <c:v>-0.15197402257917222</c:v>
                </c:pt>
                <c:pt idx="12">
                  <c:v>-7.4510269500178083E-2</c:v>
                </c:pt>
                <c:pt idx="13">
                  <c:v>-6.8272330741513433E-3</c:v>
                </c:pt>
                <c:pt idx="14">
                  <c:v>1.5676059673218088E-2</c:v>
                </c:pt>
                <c:pt idx="15">
                  <c:v>3.6382020305990144E-2</c:v>
                </c:pt>
                <c:pt idx="16">
                  <c:v>4.5546502932262749E-2</c:v>
                </c:pt>
                <c:pt idx="17">
                  <c:v>5.5427191231406825E-2</c:v>
                </c:pt>
                <c:pt idx="18">
                  <c:v>6.0339142722562397E-2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24-4B02-9F6F-191E8720A34D}"/>
            </c:ext>
          </c:extLst>
        </c:ser>
        <c:ser>
          <c:idx val="5"/>
          <c:order val="7"/>
          <c:tx>
            <c:v>U2 = 0.2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'Multiplication Baseline'!$AQ$2:$AQ$20</c:f>
              <c:numCache>
                <c:formatCode>General</c:formatCode>
                <c:ptCount val="1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  <c:pt idx="7">
                  <c:v>1.3</c:v>
                </c:pt>
                <c:pt idx="8">
                  <c:v>1.6</c:v>
                </c:pt>
                <c:pt idx="9">
                  <c:v>1.9</c:v>
                </c:pt>
                <c:pt idx="10">
                  <c:v>2.5</c:v>
                </c:pt>
                <c:pt idx="11">
                  <c:v>3.5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13</c:v>
                </c:pt>
                <c:pt idx="16">
                  <c:v>15</c:v>
                </c:pt>
                <c:pt idx="17">
                  <c:v>18</c:v>
                </c:pt>
                <c:pt idx="18">
                  <c:v>20</c:v>
                </c:pt>
              </c:numCache>
            </c:numRef>
          </c:xVal>
          <c:yVal>
            <c:numRef>
              <c:f>'Multiplication Baseline'!$AV$2:$AV$20</c:f>
              <c:numCache>
                <c:formatCode>0.00</c:formatCode>
                <c:ptCount val="19"/>
                <c:pt idx="0">
                  <c:v>-94.221661843111093</c:v>
                </c:pt>
                <c:pt idx="1">
                  <c:v>-18.793091256357933</c:v>
                </c:pt>
                <c:pt idx="2">
                  <c:v>-9.3645208800282251</c:v>
                </c:pt>
                <c:pt idx="3">
                  <c:v>-4.6502372701222496</c:v>
                </c:pt>
                <c:pt idx="4">
                  <c:v>-2.2930986213240541</c:v>
                </c:pt>
                <c:pt idx="5">
                  <c:v>-1.2829008511715778</c:v>
                </c:pt>
                <c:pt idx="6">
                  <c:v>-0.87882552875483766</c:v>
                </c:pt>
                <c:pt idx="7">
                  <c:v>-0.66124942016525468</c:v>
                </c:pt>
                <c:pt idx="8">
                  <c:v>-0.52526671692595883</c:v>
                </c:pt>
                <c:pt idx="9">
                  <c:v>-0.43222791065096727</c:v>
                </c:pt>
                <c:pt idx="10">
                  <c:v>-0.31314277557720438</c:v>
                </c:pt>
                <c:pt idx="11">
                  <c:v>-0.20540867797950724</c:v>
                </c:pt>
                <c:pt idx="12">
                  <c:v>-0.12462383227554732</c:v>
                </c:pt>
                <c:pt idx="13">
                  <c:v>-5.3972415365325439E-2</c:v>
                </c:pt>
                <c:pt idx="14">
                  <c:v>-3.044283069913143E-2</c:v>
                </c:pt>
                <c:pt idx="15">
                  <c:v>-8.7472521219800689E-3</c:v>
                </c:pt>
                <c:pt idx="16">
                  <c:v>8.8137038879805964E-4</c:v>
                </c:pt>
                <c:pt idx="17">
                  <c:v>1.1295102299732063E-2</c:v>
                </c:pt>
                <c:pt idx="18">
                  <c:v>1.6491626454726082E-2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24-4B02-9F6F-191E8720A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793408"/>
        <c:axId val="208685216"/>
      </c:scatterChart>
      <c:valAx>
        <c:axId val="189079340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Input U</a:t>
                </a:r>
                <a:r>
                  <a:rPr lang="en-US" sz="1200" baseline="-25000">
                    <a:solidFill>
                      <a:sysClr val="windowText" lastClr="000000"/>
                    </a:solidFill>
                  </a:rPr>
                  <a:t>1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5216"/>
        <c:crosses val="autoZero"/>
        <c:crossBetween val="midCat"/>
        <c:majorUnit val="2"/>
        <c:minorUnit val="0.5"/>
      </c:valAx>
      <c:valAx>
        <c:axId val="208685216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30540407568127"/>
          <c:y val="0.24470360258487317"/>
          <c:w val="0.20169729892635918"/>
          <c:h val="0.57372629050959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Scaling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F2-4B15-B6FC-09E9F6D82D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'Multiplication Baseline'!$A$25:$A$32</c:f>
              <c:numCache>
                <c:formatCode>General</c:formatCode>
                <c:ptCount val="8"/>
                <c:pt idx="0">
                  <c:v>0.2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</c:numCache>
            </c:numRef>
          </c:xVal>
          <c:yVal>
            <c:numRef>
              <c:f>'Multiplication Baseline'!$B$25:$B$32</c:f>
              <c:numCache>
                <c:formatCode>General</c:formatCode>
                <c:ptCount val="8"/>
                <c:pt idx="0">
                  <c:v>0.01</c:v>
                </c:pt>
                <c:pt idx="1">
                  <c:v>0.05</c:v>
                </c:pt>
                <c:pt idx="2">
                  <c:v>0.25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0.75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F2-4B15-B6FC-09E9F6D82D4B}"/>
            </c:ext>
          </c:extLst>
        </c:ser>
        <c:ser>
          <c:idx val="1"/>
          <c:order val="1"/>
          <c:tx>
            <c:v>Offset Needed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2.540650406504065E-2"/>
                  <c:y val="5.4507337526205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F2-4B15-B6FC-09E9F6D82D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'Multiplication Baseline'!$A$25:$A$32</c:f>
              <c:numCache>
                <c:formatCode>General</c:formatCode>
                <c:ptCount val="8"/>
                <c:pt idx="0">
                  <c:v>0.2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</c:numCache>
            </c:numRef>
          </c:xVal>
          <c:yVal>
            <c:numRef>
              <c:f>'Multiplication Baseline'!$D$25:$D$32</c:f>
              <c:numCache>
                <c:formatCode>General</c:formatCode>
                <c:ptCount val="8"/>
                <c:pt idx="0">
                  <c:v>14</c:v>
                </c:pt>
                <c:pt idx="1">
                  <c:v>8.1999999999999993</c:v>
                </c:pt>
                <c:pt idx="2">
                  <c:v>2.25</c:v>
                </c:pt>
                <c:pt idx="3">
                  <c:v>1.2</c:v>
                </c:pt>
                <c:pt idx="4">
                  <c:v>0.82</c:v>
                </c:pt>
                <c:pt idx="5">
                  <c:v>0.55000000000000004</c:v>
                </c:pt>
                <c:pt idx="6">
                  <c:v>0.28000000000000003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F2-4B15-B6FC-09E9F6D82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415487"/>
        <c:axId val="1491621119"/>
      </c:scatterChart>
      <c:valAx>
        <c:axId val="151341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Upre2 (Scaling Value out of 20)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621119"/>
        <c:crosses val="autoZero"/>
        <c:crossBetween val="midCat"/>
      </c:valAx>
      <c:valAx>
        <c:axId val="1491621119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1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Theoretical Division Network Upost = Upre1/Upre2 (where Upre1&lt;Upre2)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92686495100986E-2"/>
          <c:y val="0.13033851439279004"/>
          <c:w val="0.85470643970333582"/>
          <c:h val="0.77757397142277651"/>
        </c:manualLayout>
      </c:layout>
      <c:scatterChart>
        <c:scatterStyle val="lineMarker"/>
        <c:varyColors val="0"/>
        <c:ser>
          <c:idx val="1"/>
          <c:order val="0"/>
          <c:tx>
            <c:v>Theoretical Perfect Division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'Division Network Error'!$A$2:$A$18</c:f>
              <c:numCache>
                <c:formatCode>General</c:formatCode>
                <c:ptCount val="1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1.3</c:v>
                </c:pt>
                <c:pt idx="10">
                  <c:v>1.5</c:v>
                </c:pt>
                <c:pt idx="11">
                  <c:v>1.7</c:v>
                </c:pt>
                <c:pt idx="12">
                  <c:v>1.9</c:v>
                </c:pt>
                <c:pt idx="13">
                  <c:v>2.1</c:v>
                </c:pt>
                <c:pt idx="14">
                  <c:v>2.2999999999999998</c:v>
                </c:pt>
                <c:pt idx="15">
                  <c:v>2.5</c:v>
                </c:pt>
                <c:pt idx="16">
                  <c:v>2.7</c:v>
                </c:pt>
              </c:numCache>
            </c:numRef>
          </c:xVal>
          <c:yVal>
            <c:numRef>
              <c:f>'Division Network Error'!$R$2:$R$18</c:f>
              <c:numCache>
                <c:formatCode>0.000</c:formatCode>
                <c:ptCount val="17"/>
                <c:pt idx="0">
                  <c:v>4.3478260869565218E-3</c:v>
                </c:pt>
                <c:pt idx="1">
                  <c:v>2.1739130434782612E-2</c:v>
                </c:pt>
                <c:pt idx="2">
                  <c:v>4.3478260869565223E-2</c:v>
                </c:pt>
                <c:pt idx="3">
                  <c:v>0.13043478260869565</c:v>
                </c:pt>
                <c:pt idx="4">
                  <c:v>0.21739130434782611</c:v>
                </c:pt>
                <c:pt idx="5">
                  <c:v>0.30434782608695654</c:v>
                </c:pt>
                <c:pt idx="6">
                  <c:v>0.39130434782608697</c:v>
                </c:pt>
                <c:pt idx="7">
                  <c:v>0.43478260869565222</c:v>
                </c:pt>
                <c:pt idx="8">
                  <c:v>0.47826086956521746</c:v>
                </c:pt>
                <c:pt idx="9">
                  <c:v>0.56521739130434789</c:v>
                </c:pt>
                <c:pt idx="10">
                  <c:v>0.65217391304347827</c:v>
                </c:pt>
                <c:pt idx="11">
                  <c:v>0.73913043478260876</c:v>
                </c:pt>
                <c:pt idx="12">
                  <c:v>0.82608695652173914</c:v>
                </c:pt>
                <c:pt idx="13">
                  <c:v>0.91304347826086962</c:v>
                </c:pt>
                <c:pt idx="14">
                  <c:v>1</c:v>
                </c:pt>
                <c:pt idx="15">
                  <c:v>1.0869565217391306</c:v>
                </c:pt>
                <c:pt idx="16">
                  <c:v>1.173913043478261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FC-4424-BD3D-762C408C2003}"/>
            </c:ext>
          </c:extLst>
        </c:ser>
        <c:ser>
          <c:idx val="0"/>
          <c:order val="1"/>
          <c:tx>
            <c:v>Upre2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'Division Network Error'!$A$2:$A$18</c:f>
              <c:numCache>
                <c:formatCode>General</c:formatCode>
                <c:ptCount val="1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1.3</c:v>
                </c:pt>
                <c:pt idx="10">
                  <c:v>1.5</c:v>
                </c:pt>
                <c:pt idx="11">
                  <c:v>1.7</c:v>
                </c:pt>
                <c:pt idx="12">
                  <c:v>1.9</c:v>
                </c:pt>
                <c:pt idx="13">
                  <c:v>2.1</c:v>
                </c:pt>
                <c:pt idx="14">
                  <c:v>2.2999999999999998</c:v>
                </c:pt>
                <c:pt idx="15">
                  <c:v>2.5</c:v>
                </c:pt>
                <c:pt idx="16">
                  <c:v>2.7</c:v>
                </c:pt>
              </c:numCache>
            </c:numRef>
          </c:xVal>
          <c:yVal>
            <c:numRef>
              <c:f>'Division Network Error'!$E$2:$E$18</c:f>
              <c:numCache>
                <c:formatCode>0.000</c:formatCode>
                <c:ptCount val="17"/>
                <c:pt idx="0">
                  <c:v>2.5812879679865419E-3</c:v>
                </c:pt>
                <c:pt idx="1">
                  <c:v>1.29057529643689E-2</c:v>
                </c:pt>
                <c:pt idx="2">
                  <c:v>2.5809788945437843E-2</c:v>
                </c:pt>
                <c:pt idx="3">
                  <c:v>7.7408769887722509E-2</c:v>
                </c:pt>
                <c:pt idx="4">
                  <c:v>0.12898030649031017</c:v>
                </c:pt>
                <c:pt idx="5">
                  <c:v>0.18052442064292185</c:v>
                </c:pt>
                <c:pt idx="6">
                  <c:v>0.23204113421200565</c:v>
                </c:pt>
                <c:pt idx="7">
                  <c:v>0.25778922260463355</c:v>
                </c:pt>
                <c:pt idx="8">
                  <c:v>0.28353046904076767</c:v>
                </c:pt>
                <c:pt idx="9">
                  <c:v>0.33499244694920283</c:v>
                </c:pt>
                <c:pt idx="10">
                  <c:v>0.38642708973412576</c:v>
                </c:pt>
                <c:pt idx="11">
                  <c:v>0.43783441916920157</c:v>
                </c:pt>
                <c:pt idx="12">
                  <c:v>0.48921445700497668</c:v>
                </c:pt>
                <c:pt idx="13">
                  <c:v>0.5405672249689093</c:v>
                </c:pt>
                <c:pt idx="14">
                  <c:v>0.59189274476539988</c:v>
                </c:pt>
                <c:pt idx="15">
                  <c:v>0.64319103807582223</c:v>
                </c:pt>
                <c:pt idx="16">
                  <c:v>0.69446212655855377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FC-4424-BD3D-762C408C2003}"/>
            </c:ext>
          </c:extLst>
        </c:ser>
        <c:ser>
          <c:idx val="2"/>
          <c:order val="2"/>
          <c:tx>
            <c:v>Upre2 =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'Division Network Error'!$A$2:$A$18</c:f>
              <c:numCache>
                <c:formatCode>General</c:formatCode>
                <c:ptCount val="1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1.3</c:v>
                </c:pt>
                <c:pt idx="10">
                  <c:v>1.5</c:v>
                </c:pt>
                <c:pt idx="11">
                  <c:v>1.7</c:v>
                </c:pt>
                <c:pt idx="12">
                  <c:v>1.9</c:v>
                </c:pt>
                <c:pt idx="13">
                  <c:v>2.1</c:v>
                </c:pt>
                <c:pt idx="14">
                  <c:v>2.2999999999999998</c:v>
                </c:pt>
                <c:pt idx="15">
                  <c:v>2.5</c:v>
                </c:pt>
                <c:pt idx="16">
                  <c:v>2.7</c:v>
                </c:pt>
              </c:numCache>
            </c:numRef>
          </c:xVal>
          <c:yVal>
            <c:numRef>
              <c:f>'Division Network Error'!$I$2:$I$18</c:f>
              <c:numCache>
                <c:formatCode>0.000</c:formatCode>
                <c:ptCount val="17"/>
                <c:pt idx="0">
                  <c:v>3.0501473560816091E-3</c:v>
                </c:pt>
                <c:pt idx="1">
                  <c:v>1.5249777727434516E-2</c:v>
                </c:pt>
                <c:pt idx="2">
                  <c:v>3.0497158161656227E-2</c:v>
                </c:pt>
                <c:pt idx="3">
                  <c:v>9.1462718268629159E-2</c:v>
                </c:pt>
                <c:pt idx="4">
                  <c:v>0.15238996687174636</c:v>
                </c:pt>
                <c:pt idx="5">
                  <c:v>0.213278940072791</c:v>
                </c:pt>
                <c:pt idx="6">
                  <c:v>0.2741296739282012</c:v>
                </c:pt>
                <c:pt idx="7">
                  <c:v>0.30454071235654884</c:v>
                </c:pt>
                <c:pt idx="8">
                  <c:v>0.33494220444914125</c:v>
                </c:pt>
                <c:pt idx="9">
                  <c:v>0.39571656760157226</c:v>
                </c:pt>
                <c:pt idx="10">
                  <c:v>0.45645279930632349</c:v>
                </c:pt>
                <c:pt idx="11">
                  <c:v>0.51715093543916302</c:v>
                </c:pt>
                <c:pt idx="12">
                  <c:v>0.57781101183086847</c:v>
                </c:pt>
                <c:pt idx="13">
                  <c:v>0.63843306426729718</c:v>
                </c:pt>
                <c:pt idx="14">
                  <c:v>0.69901712848945663</c:v>
                </c:pt>
                <c:pt idx="15">
                  <c:v>0.75956324019357513</c:v>
                </c:pt>
                <c:pt idx="16">
                  <c:v>0.82007143503117141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FC-4424-BD3D-762C408C2003}"/>
            </c:ext>
          </c:extLst>
        </c:ser>
        <c:ser>
          <c:idx val="3"/>
          <c:order val="3"/>
          <c:tx>
            <c:v>Upre2 =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'Division Network Error'!$A$2:$A$18</c:f>
              <c:numCache>
                <c:formatCode>General</c:formatCode>
                <c:ptCount val="1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1.3</c:v>
                </c:pt>
                <c:pt idx="10">
                  <c:v>1.5</c:v>
                </c:pt>
                <c:pt idx="11">
                  <c:v>1.7</c:v>
                </c:pt>
                <c:pt idx="12">
                  <c:v>1.9</c:v>
                </c:pt>
                <c:pt idx="13">
                  <c:v>2.1</c:v>
                </c:pt>
                <c:pt idx="14">
                  <c:v>2.2999999999999998</c:v>
                </c:pt>
                <c:pt idx="15">
                  <c:v>2.5</c:v>
                </c:pt>
                <c:pt idx="16">
                  <c:v>2.7</c:v>
                </c:pt>
              </c:numCache>
            </c:numRef>
          </c:xVal>
          <c:yVal>
            <c:numRef>
              <c:f>'Division Network Error'!$M$2:$M$18</c:f>
              <c:numCache>
                <c:formatCode>0.000</c:formatCode>
                <c:ptCount val="17"/>
                <c:pt idx="0">
                  <c:v>3.7271360299641026E-3</c:v>
                </c:pt>
                <c:pt idx="1">
                  <c:v>1.8634248142034088E-2</c:v>
                </c:pt>
                <c:pt idx="2">
                  <c:v>3.7264916883510454E-2</c:v>
                </c:pt>
                <c:pt idx="3">
                  <c:v>0.11175181846262834</c:v>
                </c:pt>
                <c:pt idx="4">
                  <c:v>0.18618153206049085</c:v>
                </c:pt>
                <c:pt idx="5">
                  <c:v>0.26055412351169732</c:v>
                </c:pt>
                <c:pt idx="6">
                  <c:v>0.33486965854983447</c:v>
                </c:pt>
                <c:pt idx="7">
                  <c:v>0.37200605042817503</c:v>
                </c:pt>
                <c:pt idx="8">
                  <c:v>0.40912820280767026</c:v>
                </c:pt>
                <c:pt idx="9">
                  <c:v>0.48332982181734652</c:v>
                </c:pt>
                <c:pt idx="10">
                  <c:v>0.55747458101057223</c:v>
                </c:pt>
                <c:pt idx="11">
                  <c:v>0.63156254571881576</c:v>
                </c:pt>
                <c:pt idx="12">
                  <c:v>0.7055937811734968</c:v>
                </c:pt>
                <c:pt idx="13">
                  <c:v>0.77956835250617751</c:v>
                </c:pt>
                <c:pt idx="14">
                  <c:v>0.85348632474875352</c:v>
                </c:pt>
                <c:pt idx="15">
                  <c:v>0.92734776283364517</c:v>
                </c:pt>
                <c:pt idx="16">
                  <c:v>1.001152731593987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FC-4424-BD3D-762C408C2003}"/>
            </c:ext>
          </c:extLst>
        </c:ser>
        <c:ser>
          <c:idx val="6"/>
          <c:order val="4"/>
          <c:tx>
            <c:v>Upre2 = 2.5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'Division Network Error'!$A$2:$A$18</c:f>
              <c:numCache>
                <c:formatCode>General</c:formatCode>
                <c:ptCount val="1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1.3</c:v>
                </c:pt>
                <c:pt idx="10">
                  <c:v>1.5</c:v>
                </c:pt>
                <c:pt idx="11">
                  <c:v>1.7</c:v>
                </c:pt>
                <c:pt idx="12">
                  <c:v>1.9</c:v>
                </c:pt>
                <c:pt idx="13">
                  <c:v>2.1</c:v>
                </c:pt>
                <c:pt idx="14">
                  <c:v>2.2999999999999998</c:v>
                </c:pt>
                <c:pt idx="15">
                  <c:v>2.5</c:v>
                </c:pt>
                <c:pt idx="16">
                  <c:v>2.7</c:v>
                </c:pt>
              </c:numCache>
            </c:numRef>
          </c:xVal>
          <c:yVal>
            <c:numRef>
              <c:f>'Division Network Error'!$Q$2:$Q$18</c:f>
              <c:numCache>
                <c:formatCode>0.000</c:formatCode>
                <c:ptCount val="17"/>
                <c:pt idx="0">
                  <c:v>4.4127281083320936E-3</c:v>
                </c:pt>
                <c:pt idx="1">
                  <c:v>2.2061633284148948E-2</c:v>
                </c:pt>
                <c:pt idx="2">
                  <c:v>4.4118249451594087E-2</c:v>
                </c:pt>
                <c:pt idx="3">
                  <c:v>0.13229457716760107</c:v>
                </c:pt>
                <c:pt idx="4">
                  <c:v>0.22039076777612351</c:v>
                </c:pt>
                <c:pt idx="5">
                  <c:v>0.30840693047380058</c:v>
                </c:pt>
                <c:pt idx="6">
                  <c:v>0.3963431742589697</c:v>
                </c:pt>
                <c:pt idx="7">
                  <c:v>0.44028136056723194</c:v>
                </c:pt>
                <c:pt idx="8">
                  <c:v>0.4841996079321168</c:v>
                </c:pt>
                <c:pt idx="9">
                  <c:v>0.57197634009632448</c:v>
                </c:pt>
                <c:pt idx="10">
                  <c:v>0.6596734791577199</c:v>
                </c:pt>
                <c:pt idx="11">
                  <c:v>0.74729113332592112</c:v>
                </c:pt>
                <c:pt idx="12">
                  <c:v>0.8348294106144819</c:v>
                </c:pt>
                <c:pt idx="13">
                  <c:v>0.92228841884133594</c:v>
                </c:pt>
                <c:pt idx="14">
                  <c:v>1.0096682656292384</c:v>
                </c:pt>
                <c:pt idx="15">
                  <c:v>1.0969690584062095</c:v>
                </c:pt>
                <c:pt idx="16">
                  <c:v>1.1841909044059726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FC-4424-BD3D-762C408C2003}"/>
            </c:ext>
          </c:extLst>
        </c:ser>
        <c:ser>
          <c:idx val="4"/>
          <c:order val="5"/>
          <c:tx>
            <c:v>Upre2 =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'Division Network Error'!$A$2:$A$18</c:f>
              <c:numCache>
                <c:formatCode>General</c:formatCode>
                <c:ptCount val="1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1.3</c:v>
                </c:pt>
                <c:pt idx="10">
                  <c:v>1.5</c:v>
                </c:pt>
                <c:pt idx="11">
                  <c:v>1.7</c:v>
                </c:pt>
                <c:pt idx="12">
                  <c:v>1.9</c:v>
                </c:pt>
                <c:pt idx="13">
                  <c:v>2.1</c:v>
                </c:pt>
                <c:pt idx="14">
                  <c:v>2.2999999999999998</c:v>
                </c:pt>
                <c:pt idx="15">
                  <c:v>2.5</c:v>
                </c:pt>
                <c:pt idx="16">
                  <c:v>2.7</c:v>
                </c:pt>
              </c:numCache>
            </c:numRef>
          </c:xVal>
          <c:yVal>
            <c:numRef>
              <c:f>'Division Network Error'!$V$2:$V$18</c:f>
              <c:numCache>
                <c:formatCode>0.000</c:formatCode>
                <c:ptCount val="17"/>
                <c:pt idx="0">
                  <c:v>4.7903725076727409E-3</c:v>
                </c:pt>
                <c:pt idx="1">
                  <c:v>2.3949497032958358E-2</c:v>
                </c:pt>
                <c:pt idx="2">
                  <c:v>4.7893081616349344E-2</c:v>
                </c:pt>
                <c:pt idx="3">
                  <c:v>0.14360833922109847</c:v>
                </c:pt>
                <c:pt idx="4">
                  <c:v>0.2392291725706758</c:v>
                </c:pt>
                <c:pt idx="5">
                  <c:v>0.33475572132219311</c:v>
                </c:pt>
                <c:pt idx="6">
                  <c:v>0.43018812485748698</c:v>
                </c:pt>
                <c:pt idx="7">
                  <c:v>0.47786906565077036</c:v>
                </c:pt>
                <c:pt idx="8">
                  <c:v>0.5255265222837967</c:v>
                </c:pt>
                <c:pt idx="9">
                  <c:v>0.62077105243443986</c:v>
                </c:pt>
                <c:pt idx="10">
                  <c:v>0.71592185386948648</c:v>
                </c:pt>
                <c:pt idx="11">
                  <c:v>0.81097906487643123</c:v>
                </c:pt>
                <c:pt idx="12">
                  <c:v>0.90594282347086275</c:v>
                </c:pt>
                <c:pt idx="13">
                  <c:v>1.0008132673971324</c:v>
                </c:pt>
                <c:pt idx="14">
                  <c:v>1.0955905341290186</c:v>
                </c:pt>
                <c:pt idx="15">
                  <c:v>1.1902747608703936</c:v>
                </c:pt>
                <c:pt idx="16">
                  <c:v>1.2848660845558828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FC-4424-BD3D-762C408C2003}"/>
            </c:ext>
          </c:extLst>
        </c:ser>
        <c:ser>
          <c:idx val="5"/>
          <c:order val="6"/>
          <c:tx>
            <c:v>Upre2 =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'Division Network Error'!$A$2:$A$18</c:f>
              <c:numCache>
                <c:formatCode>General</c:formatCode>
                <c:ptCount val="1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1.3</c:v>
                </c:pt>
                <c:pt idx="10">
                  <c:v>1.5</c:v>
                </c:pt>
                <c:pt idx="11">
                  <c:v>1.7</c:v>
                </c:pt>
                <c:pt idx="12">
                  <c:v>1.9</c:v>
                </c:pt>
                <c:pt idx="13">
                  <c:v>2.1</c:v>
                </c:pt>
                <c:pt idx="14">
                  <c:v>2.2999999999999998</c:v>
                </c:pt>
                <c:pt idx="15">
                  <c:v>2.5</c:v>
                </c:pt>
                <c:pt idx="16">
                  <c:v>2.7</c:v>
                </c:pt>
              </c:numCache>
            </c:numRef>
          </c:xVal>
          <c:yVal>
            <c:numRef>
              <c:f>'Division Network Error'!$Z$2:$Z$18</c:f>
              <c:numCache>
                <c:formatCode>0.000</c:formatCode>
                <c:ptCount val="17"/>
                <c:pt idx="0">
                  <c:v>6.7023435456414491E-3</c:v>
                </c:pt>
                <c:pt idx="1">
                  <c:v>3.3507087295005906E-2</c:v>
                </c:pt>
                <c:pt idx="2">
                  <c:v>6.7002602105281223E-2</c:v>
                </c:pt>
                <c:pt idx="3">
                  <c:v>0.20086905632145222</c:v>
                </c:pt>
                <c:pt idx="4">
                  <c:v>0.33455082957551868</c:v>
                </c:pt>
                <c:pt idx="5">
                  <c:v>0.4680483037803424</c:v>
                </c:pt>
                <c:pt idx="6">
                  <c:v>0.60136185979646983</c:v>
                </c:pt>
                <c:pt idx="7">
                  <c:v>0.66794978721584231</c:v>
                </c:pt>
                <c:pt idx="8">
                  <c:v>0.73449187743575395</c:v>
                </c:pt>
                <c:pt idx="9">
                  <c:v>0.8674387354649612</c:v>
                </c:pt>
                <c:pt idx="10">
                  <c:v>1.0002028116093635</c:v>
                </c:pt>
                <c:pt idx="11">
                  <c:v>1.132784482556316</c:v>
                </c:pt>
                <c:pt idx="12">
                  <c:v>1.2651841239588195</c:v>
                </c:pt>
                <c:pt idx="13">
                  <c:v>1.3974021104390677</c:v>
                </c:pt>
                <c:pt idx="14">
                  <c:v>1.5294388155919805</c:v>
                </c:pt>
                <c:pt idx="15">
                  <c:v>1.661294611988724</c:v>
                </c:pt>
                <c:pt idx="16">
                  <c:v>1.7929698711802138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FC-4424-BD3D-762C408C2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793408"/>
        <c:axId val="208685216"/>
      </c:scatterChart>
      <c:valAx>
        <c:axId val="18907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Input 1 (Numerator)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5216"/>
        <c:crosses val="autoZero"/>
        <c:crossBetween val="midCat"/>
      </c:valAx>
      <c:valAx>
        <c:axId val="20868521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Output Signal</a:t>
                </a:r>
              </a:p>
            </c:rich>
          </c:tx>
          <c:layout>
            <c:manualLayout>
              <c:xMode val="edge"/>
              <c:yMode val="edge"/>
              <c:x val="1.5099002683898429E-2"/>
              <c:y val="0.38137529503460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9283783637933248E-2"/>
          <c:y val="0.13789139421580698"/>
          <c:w val="0.26846988272035616"/>
          <c:h val="0.3687406088980892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Subtraction</a:t>
            </a:r>
            <a:r>
              <a:rPr lang="en-US" baseline="0">
                <a:solidFill>
                  <a:sysClr val="windowText" lastClr="000000"/>
                </a:solidFill>
              </a:rPr>
              <a:t> Network - Gain Small Difference Error 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7061467859995763"/>
          <c:y val="2.4764684586840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89705238620123"/>
          <c:y val="9.594209341960043E-2"/>
          <c:w val="0.81194685039370074"/>
          <c:h val="0.79256199656077475"/>
        </c:manualLayout>
      </c:layout>
      <c:scatterChart>
        <c:scatterStyle val="lineMarker"/>
        <c:varyColors val="0"/>
        <c:ser>
          <c:idx val="3"/>
          <c:order val="0"/>
          <c:tx>
            <c:v>Actual Gain Input ~1nA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'Subtraction Network Vary Input'!$C$60:$C$70</c:f>
              <c:numCache>
                <c:formatCode>General</c:formatCode>
                <c:ptCount val="11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0.19999999999999996</c:v>
                </c:pt>
                <c:pt idx="5">
                  <c:v>9.9999999999999978E-2</c:v>
                </c:pt>
                <c:pt idx="6">
                  <c:v>5.0000000000000044E-2</c:v>
                </c:pt>
                <c:pt idx="7">
                  <c:v>3.0000000000000027E-2</c:v>
                </c:pt>
                <c:pt idx="8">
                  <c:v>2.0000000000000018E-2</c:v>
                </c:pt>
                <c:pt idx="9">
                  <c:v>1.0000000000000009E-2</c:v>
                </c:pt>
                <c:pt idx="10">
                  <c:v>1.0000000000000009E-3</c:v>
                </c:pt>
              </c:numCache>
            </c:numRef>
          </c:xVal>
          <c:yVal>
            <c:numRef>
              <c:f>'Subtraction Network Vary Input'!$G$60:$G$70</c:f>
              <c:numCache>
                <c:formatCode>0.0</c:formatCode>
                <c:ptCount val="11"/>
                <c:pt idx="0">
                  <c:v>75.375270484708736</c:v>
                </c:pt>
                <c:pt idx="1">
                  <c:v>53.457894140315339</c:v>
                </c:pt>
                <c:pt idx="2">
                  <c:v>41.523534507652265</c:v>
                </c:pt>
                <c:pt idx="3">
                  <c:v>34.022334839138693</c:v>
                </c:pt>
                <c:pt idx="4">
                  <c:v>28.891053457667716</c:v>
                </c:pt>
                <c:pt idx="5">
                  <c:v>26.933562215829951</c:v>
                </c:pt>
                <c:pt idx="6">
                  <c:v>26.151764047043248</c:v>
                </c:pt>
                <c:pt idx="7">
                  <c:v>25.972439711870098</c:v>
                </c:pt>
                <c:pt idx="8">
                  <c:v>26.011363636364226</c:v>
                </c:pt>
                <c:pt idx="9">
                  <c:v>26.475775193795403</c:v>
                </c:pt>
                <c:pt idx="10">
                  <c:v>46.500000000271775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F0-400C-B174-BCC6B0655733}"/>
            </c:ext>
          </c:extLst>
        </c:ser>
        <c:ser>
          <c:idx val="2"/>
          <c:order val="1"/>
          <c:tx>
            <c:v>Theoretical Gain Input ~1nA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'Subtraction Network Vary Input'!$C$60:$C$70</c:f>
              <c:numCache>
                <c:formatCode>General</c:formatCode>
                <c:ptCount val="11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0.19999999999999996</c:v>
                </c:pt>
                <c:pt idx="5">
                  <c:v>9.9999999999999978E-2</c:v>
                </c:pt>
                <c:pt idx="6">
                  <c:v>5.0000000000000044E-2</c:v>
                </c:pt>
                <c:pt idx="7">
                  <c:v>3.0000000000000027E-2</c:v>
                </c:pt>
                <c:pt idx="8">
                  <c:v>2.0000000000000018E-2</c:v>
                </c:pt>
                <c:pt idx="9">
                  <c:v>1.0000000000000009E-2</c:v>
                </c:pt>
                <c:pt idx="10">
                  <c:v>1.0000000000000009E-3</c:v>
                </c:pt>
              </c:numCache>
            </c:numRef>
          </c:xVal>
          <c:yVal>
            <c:numRef>
              <c:f>'Subtraction Network Vary Input'!$J$60:$J$70</c:f>
              <c:numCache>
                <c:formatCode>0.000</c:formatCode>
                <c:ptCount val="11"/>
                <c:pt idx="0">
                  <c:v>75.374232910992262</c:v>
                </c:pt>
                <c:pt idx="1">
                  <c:v>53.456478322065266</c:v>
                </c:pt>
                <c:pt idx="2">
                  <c:v>41.521795463562682</c:v>
                </c:pt>
                <c:pt idx="3">
                  <c:v>34.019982339823812</c:v>
                </c:pt>
                <c:pt idx="4">
                  <c:v>28.886801567652682</c:v>
                </c:pt>
                <c:pt idx="5">
                  <c:v>26.92548023037417</c:v>
                </c:pt>
                <c:pt idx="6">
                  <c:v>26.135808553555496</c:v>
                </c:pt>
                <c:pt idx="7">
                  <c:v>25.946068208388994</c:v>
                </c:pt>
                <c:pt idx="8">
                  <c:v>25.971516796557388</c:v>
                </c:pt>
                <c:pt idx="9">
                  <c:v>26.39453196725885</c:v>
                </c:pt>
                <c:pt idx="10">
                  <c:v>45.122050495106748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0-400C-B174-BCC6B0655733}"/>
            </c:ext>
          </c:extLst>
        </c:ser>
        <c:ser>
          <c:idx val="5"/>
          <c:order val="2"/>
          <c:tx>
            <c:v>Theoretical Gain Input ~3nA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'Subtraction Network Vary Input'!$C$89:$C$96</c:f>
              <c:numCache>
                <c:formatCode>General</c:formatCode>
                <c:ptCount val="8"/>
                <c:pt idx="0">
                  <c:v>1</c:v>
                </c:pt>
                <c:pt idx="1">
                  <c:v>0.79999999999999982</c:v>
                </c:pt>
                <c:pt idx="2">
                  <c:v>0.60000000000000009</c:v>
                </c:pt>
                <c:pt idx="3">
                  <c:v>0.39999999999999991</c:v>
                </c:pt>
                <c:pt idx="4">
                  <c:v>0.20000000000000018</c:v>
                </c:pt>
                <c:pt idx="5">
                  <c:v>0.10000000000000009</c:v>
                </c:pt>
                <c:pt idx="6">
                  <c:v>4.9999999999999822E-2</c:v>
                </c:pt>
                <c:pt idx="7">
                  <c:v>9.9999999999997868E-3</c:v>
                </c:pt>
              </c:numCache>
            </c:numRef>
          </c:xVal>
          <c:yVal>
            <c:numRef>
              <c:f>'Subtraction Network Vary Input'!$H$89:$H$96</c:f>
              <c:numCache>
                <c:formatCode>0.000</c:formatCode>
                <c:ptCount val="8"/>
                <c:pt idx="0">
                  <c:v>13.322148425591077</c:v>
                </c:pt>
                <c:pt idx="1">
                  <c:v>12.529079960278146</c:v>
                </c:pt>
                <c:pt idx="2">
                  <c:v>11.83518428996468</c:v>
                </c:pt>
                <c:pt idx="3">
                  <c:v>11.227260945172615</c:v>
                </c:pt>
                <c:pt idx="4">
                  <c:v>10.709116160524488</c:v>
                </c:pt>
                <c:pt idx="5">
                  <c:v>10.524372772120715</c:v>
                </c:pt>
                <c:pt idx="6">
                  <c:v>10.545133640534434</c:v>
                </c:pt>
                <c:pt idx="7">
                  <c:v>11.739217187124014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F0-400C-B174-BCC6B0655733}"/>
            </c:ext>
          </c:extLst>
        </c:ser>
        <c:ser>
          <c:idx val="4"/>
          <c:order val="3"/>
          <c:tx>
            <c:v>Theoretical Gain Input ~10nA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'Subtraction Network Vary Input'!$C$75:$C$84</c:f>
              <c:numCache>
                <c:formatCode>General</c:formatCode>
                <c:ptCount val="10"/>
                <c:pt idx="0">
                  <c:v>1</c:v>
                </c:pt>
                <c:pt idx="1">
                  <c:v>0.80000000000000071</c:v>
                </c:pt>
                <c:pt idx="2">
                  <c:v>0.59999999999999964</c:v>
                </c:pt>
                <c:pt idx="3">
                  <c:v>0.40000000000000036</c:v>
                </c:pt>
                <c:pt idx="4">
                  <c:v>0.19999999999999929</c:v>
                </c:pt>
                <c:pt idx="5">
                  <c:v>9.9999999999999645E-2</c:v>
                </c:pt>
                <c:pt idx="6">
                  <c:v>5.0000000000000711E-2</c:v>
                </c:pt>
                <c:pt idx="7">
                  <c:v>2.9999999999999361E-2</c:v>
                </c:pt>
                <c:pt idx="8">
                  <c:v>1.9999999999999574E-2</c:v>
                </c:pt>
                <c:pt idx="9">
                  <c:v>9.9999999999997868E-3</c:v>
                </c:pt>
              </c:numCache>
            </c:numRef>
          </c:xVal>
          <c:yVal>
            <c:numRef>
              <c:f>'Subtraction Network Vary Input'!$H$75:$H$84</c:f>
              <c:numCache>
                <c:formatCode>0.000</c:formatCode>
                <c:ptCount val="10"/>
                <c:pt idx="0">
                  <c:v>4.1568424302637537</c:v>
                </c:pt>
                <c:pt idx="1">
                  <c:v>4.106833523488179</c:v>
                </c:pt>
                <c:pt idx="2">
                  <c:v>4.0616263387442491</c:v>
                </c:pt>
                <c:pt idx="3">
                  <c:v>4.0254946966875753</c:v>
                </c:pt>
                <c:pt idx="4">
                  <c:v>4.0213271833395066</c:v>
                </c:pt>
                <c:pt idx="5">
                  <c:v>4.0905017110582857</c:v>
                </c:pt>
                <c:pt idx="6">
                  <c:v>4.2788831244275967</c:v>
                </c:pt>
                <c:pt idx="7">
                  <c:v>4.5744894343966687</c:v>
                </c:pt>
                <c:pt idx="8">
                  <c:v>5.0089393300899996</c:v>
                </c:pt>
                <c:pt idx="9">
                  <c:v>7.0404803413531463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F0-400C-B174-BCC6B0655733}"/>
            </c:ext>
          </c:extLst>
        </c:ser>
        <c:ser>
          <c:idx val="0"/>
          <c:order val="4"/>
          <c:tx>
            <c:v>Actual Gain Input ~19nA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'Subtraction Network Vary Input'!$C$47:$C$56</c:f>
              <c:numCache>
                <c:formatCode>General</c:formatCode>
                <c:ptCount val="10"/>
                <c:pt idx="0">
                  <c:v>1</c:v>
                </c:pt>
                <c:pt idx="1">
                  <c:v>0.80000000000000071</c:v>
                </c:pt>
                <c:pt idx="2">
                  <c:v>0.60000000000000142</c:v>
                </c:pt>
                <c:pt idx="3">
                  <c:v>0.39999999999999858</c:v>
                </c:pt>
                <c:pt idx="4">
                  <c:v>0.19999999999999929</c:v>
                </c:pt>
                <c:pt idx="5">
                  <c:v>0.10000000000000142</c:v>
                </c:pt>
                <c:pt idx="6">
                  <c:v>5.0000000000000711E-2</c:v>
                </c:pt>
                <c:pt idx="7">
                  <c:v>3.0000000000001137E-2</c:v>
                </c:pt>
                <c:pt idx="8">
                  <c:v>1.9999999999999574E-2</c:v>
                </c:pt>
                <c:pt idx="9">
                  <c:v>1.0000000000001563E-2</c:v>
                </c:pt>
              </c:numCache>
            </c:numRef>
          </c:xVal>
          <c:yVal>
            <c:numRef>
              <c:f>'Subtraction Network Vary Input'!$G$47:$G$56</c:f>
              <c:numCache>
                <c:formatCode>0.0</c:formatCode>
                <c:ptCount val="10"/>
                <c:pt idx="0">
                  <c:v>2.6267676399912738</c:v>
                </c:pt>
                <c:pt idx="1">
                  <c:v>2.6183249427917632</c:v>
                </c:pt>
                <c:pt idx="2">
                  <c:v>2.6141196135788185</c:v>
                </c:pt>
                <c:pt idx="3">
                  <c:v>2.6202437297357872</c:v>
                </c:pt>
                <c:pt idx="4">
                  <c:v>2.6681192660550415</c:v>
                </c:pt>
                <c:pt idx="5">
                  <c:v>2.792755249238847</c:v>
                </c:pt>
                <c:pt idx="6">
                  <c:v>3.0926777502656178</c:v>
                </c:pt>
                <c:pt idx="7">
                  <c:v>3.6103896103905959</c:v>
                </c:pt>
                <c:pt idx="8">
                  <c:v>4.5434782608702013</c:v>
                </c:pt>
                <c:pt idx="9">
                  <c:v>18.079207920867514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0-400C-B174-BCC6B0655733}"/>
            </c:ext>
          </c:extLst>
        </c:ser>
        <c:ser>
          <c:idx val="1"/>
          <c:order val="5"/>
          <c:tx>
            <c:v>Theoretical Gain Input ~19nA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'Subtraction Network Vary Input'!$C$47:$C$56</c:f>
              <c:numCache>
                <c:formatCode>General</c:formatCode>
                <c:ptCount val="10"/>
                <c:pt idx="0">
                  <c:v>1</c:v>
                </c:pt>
                <c:pt idx="1">
                  <c:v>0.80000000000000071</c:v>
                </c:pt>
                <c:pt idx="2">
                  <c:v>0.60000000000000142</c:v>
                </c:pt>
                <c:pt idx="3">
                  <c:v>0.39999999999999858</c:v>
                </c:pt>
                <c:pt idx="4">
                  <c:v>0.19999999999999929</c:v>
                </c:pt>
                <c:pt idx="5">
                  <c:v>0.10000000000000142</c:v>
                </c:pt>
                <c:pt idx="6">
                  <c:v>5.0000000000000711E-2</c:v>
                </c:pt>
                <c:pt idx="7">
                  <c:v>3.0000000000001137E-2</c:v>
                </c:pt>
                <c:pt idx="8">
                  <c:v>1.9999999999999574E-2</c:v>
                </c:pt>
                <c:pt idx="9">
                  <c:v>1.0000000000001563E-2</c:v>
                </c:pt>
              </c:numCache>
            </c:numRef>
          </c:xVal>
          <c:yVal>
            <c:numRef>
              <c:f>'Subtraction Network Vary Input'!$J$47:$J$56</c:f>
              <c:numCache>
                <c:formatCode>0.000</c:formatCode>
                <c:ptCount val="10"/>
                <c:pt idx="0">
                  <c:v>2.6252513867823306</c:v>
                </c:pt>
                <c:pt idx="1">
                  <c:v>2.6164234577856176</c:v>
                </c:pt>
                <c:pt idx="2">
                  <c:v>2.6116017945393613</c:v>
                </c:pt>
                <c:pt idx="3">
                  <c:v>2.6164350784531942</c:v>
                </c:pt>
                <c:pt idx="4">
                  <c:v>2.6603990079597155</c:v>
                </c:pt>
                <c:pt idx="5">
                  <c:v>2.776671886298681</c:v>
                </c:pt>
                <c:pt idx="6">
                  <c:v>3.0573440618209213</c:v>
                </c:pt>
                <c:pt idx="7">
                  <c:v>3.5416190468774502</c:v>
                </c:pt>
                <c:pt idx="8">
                  <c:v>4.4153046877973319</c:v>
                </c:pt>
                <c:pt idx="9">
                  <c:v>17.085538156798471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0-400C-B174-BCC6B065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926400"/>
        <c:axId val="1913164368"/>
      </c:scatterChart>
      <c:valAx>
        <c:axId val="19249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Input Difference (Input 1 - Input 2)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64368"/>
        <c:crosses val="autoZero"/>
        <c:crossBetween val="midCat"/>
      </c:valAx>
      <c:valAx>
        <c:axId val="19131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2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12726398330643"/>
          <c:y val="0.13009706760792836"/>
          <c:w val="0.42474507262679123"/>
          <c:h val="0.2497447732826500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Subtraction</a:t>
            </a:r>
            <a:r>
              <a:rPr lang="en-US" baseline="0">
                <a:solidFill>
                  <a:sysClr val="windowText" lastClr="000000"/>
                </a:solidFill>
              </a:rPr>
              <a:t> Network Gain - </a:t>
            </a:r>
            <a:r>
              <a:rPr lang="en-US">
                <a:solidFill>
                  <a:sysClr val="windowText" lastClr="000000"/>
                </a:solidFill>
              </a:rPr>
              <a:t>Zero Proximity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612433183531"/>
          <c:y val="0.11204555075776818"/>
          <c:w val="0.79591715383748729"/>
          <c:h val="0.763470916941834"/>
        </c:manualLayout>
      </c:layout>
      <c:scatterChart>
        <c:scatterStyle val="lineMarker"/>
        <c:varyColors val="0"/>
        <c:ser>
          <c:idx val="2"/>
          <c:order val="0"/>
          <c:tx>
            <c:v>0-1nA; gs1~15, gs2~73.5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'Subtraction Network Vary Input'!$B$60:$B$70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0.9</c:v>
                </c:pt>
                <c:pt idx="6">
                  <c:v>0.95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0.999</c:v>
                </c:pt>
              </c:numCache>
            </c:numRef>
          </c:xVal>
          <c:yVal>
            <c:numRef>
              <c:f>'Subtraction Network Vary Input'!$J$60:$J$70</c:f>
              <c:numCache>
                <c:formatCode>0.000</c:formatCode>
                <c:ptCount val="11"/>
                <c:pt idx="0">
                  <c:v>75.374232910992262</c:v>
                </c:pt>
                <c:pt idx="1">
                  <c:v>53.456478322065266</c:v>
                </c:pt>
                <c:pt idx="2">
                  <c:v>41.521795463562682</c:v>
                </c:pt>
                <c:pt idx="3">
                  <c:v>34.019982339823812</c:v>
                </c:pt>
                <c:pt idx="4">
                  <c:v>28.886801567652682</c:v>
                </c:pt>
                <c:pt idx="5">
                  <c:v>26.92548023037417</c:v>
                </c:pt>
                <c:pt idx="6">
                  <c:v>26.135808553555496</c:v>
                </c:pt>
                <c:pt idx="7">
                  <c:v>25.946068208388994</c:v>
                </c:pt>
                <c:pt idx="8">
                  <c:v>25.971516796557388</c:v>
                </c:pt>
                <c:pt idx="9">
                  <c:v>26.39453196725885</c:v>
                </c:pt>
                <c:pt idx="10">
                  <c:v>45.122050495106748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A8-43BA-B3C0-47FD1B993608}"/>
            </c:ext>
          </c:extLst>
        </c:ser>
        <c:ser>
          <c:idx val="4"/>
          <c:order val="1"/>
          <c:tx>
            <c:v>2-3nA; gs1~15, gs2~73.5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'Subtraction Network Vary Input'!$B$89:$B$96</c:f>
              <c:numCache>
                <c:formatCode>General</c:formatCode>
                <c:ptCount val="8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2.9</c:v>
                </c:pt>
                <c:pt idx="6">
                  <c:v>2.95</c:v>
                </c:pt>
                <c:pt idx="7">
                  <c:v>2.99</c:v>
                </c:pt>
              </c:numCache>
            </c:numRef>
          </c:xVal>
          <c:yVal>
            <c:numRef>
              <c:f>'Subtraction Network Vary Input'!$H$89:$H$96</c:f>
              <c:numCache>
                <c:formatCode>0.000</c:formatCode>
                <c:ptCount val="8"/>
                <c:pt idx="0">
                  <c:v>13.322148425591077</c:v>
                </c:pt>
                <c:pt idx="1">
                  <c:v>12.529079960278146</c:v>
                </c:pt>
                <c:pt idx="2">
                  <c:v>11.83518428996468</c:v>
                </c:pt>
                <c:pt idx="3">
                  <c:v>11.227260945172615</c:v>
                </c:pt>
                <c:pt idx="4">
                  <c:v>10.709116160524488</c:v>
                </c:pt>
                <c:pt idx="5">
                  <c:v>10.524372772120715</c:v>
                </c:pt>
                <c:pt idx="6">
                  <c:v>10.545133640534434</c:v>
                </c:pt>
                <c:pt idx="7">
                  <c:v>11.739217187124014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A8-43BA-B3C0-47FD1B993608}"/>
            </c:ext>
          </c:extLst>
        </c:ser>
        <c:ser>
          <c:idx val="3"/>
          <c:order val="2"/>
          <c:tx>
            <c:v>9-10nA; gs1~15, gs2~73.5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'Subtraction Network Vary Input'!$B$75:$B$84</c:f>
              <c:numCache>
                <c:formatCode>General</c:formatCode>
                <c:ptCount val="10"/>
                <c:pt idx="0">
                  <c:v>9</c:v>
                </c:pt>
                <c:pt idx="1">
                  <c:v>9.1999999999999993</c:v>
                </c:pt>
                <c:pt idx="2">
                  <c:v>9.4</c:v>
                </c:pt>
                <c:pt idx="3">
                  <c:v>9.6</c:v>
                </c:pt>
                <c:pt idx="4">
                  <c:v>9.8000000000000007</c:v>
                </c:pt>
                <c:pt idx="5">
                  <c:v>9.9</c:v>
                </c:pt>
                <c:pt idx="6">
                  <c:v>9.9499999999999993</c:v>
                </c:pt>
                <c:pt idx="7">
                  <c:v>9.9700000000000006</c:v>
                </c:pt>
                <c:pt idx="8">
                  <c:v>9.98</c:v>
                </c:pt>
                <c:pt idx="9">
                  <c:v>9.99</c:v>
                </c:pt>
              </c:numCache>
            </c:numRef>
          </c:xVal>
          <c:yVal>
            <c:numRef>
              <c:f>'Subtraction Network Vary Input'!$H$75:$H$84</c:f>
              <c:numCache>
                <c:formatCode>0.000</c:formatCode>
                <c:ptCount val="10"/>
                <c:pt idx="0">
                  <c:v>4.1568424302637537</c:v>
                </c:pt>
                <c:pt idx="1">
                  <c:v>4.106833523488179</c:v>
                </c:pt>
                <c:pt idx="2">
                  <c:v>4.0616263387442491</c:v>
                </c:pt>
                <c:pt idx="3">
                  <c:v>4.0254946966875753</c:v>
                </c:pt>
                <c:pt idx="4">
                  <c:v>4.0213271833395066</c:v>
                </c:pt>
                <c:pt idx="5">
                  <c:v>4.0905017110582857</c:v>
                </c:pt>
                <c:pt idx="6">
                  <c:v>4.2788831244275967</c:v>
                </c:pt>
                <c:pt idx="7">
                  <c:v>4.5744894343966687</c:v>
                </c:pt>
                <c:pt idx="8">
                  <c:v>5.0089393300899996</c:v>
                </c:pt>
                <c:pt idx="9">
                  <c:v>7.0404803413531463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A8-43BA-B3C0-47FD1B993608}"/>
            </c:ext>
          </c:extLst>
        </c:ser>
        <c:ser>
          <c:idx val="1"/>
          <c:order val="3"/>
          <c:tx>
            <c:v>18-19nA; gs1~15, gs2~73.5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'Subtraction Network Vary Input'!$B$47:$B$56</c:f>
              <c:numCache>
                <c:formatCode>General</c:formatCode>
                <c:ptCount val="10"/>
                <c:pt idx="0">
                  <c:v>18</c:v>
                </c:pt>
                <c:pt idx="1">
                  <c:v>18.2</c:v>
                </c:pt>
                <c:pt idx="2">
                  <c:v>18.399999999999999</c:v>
                </c:pt>
                <c:pt idx="3">
                  <c:v>18.600000000000001</c:v>
                </c:pt>
                <c:pt idx="4">
                  <c:v>18.8</c:v>
                </c:pt>
                <c:pt idx="5">
                  <c:v>18.899999999999999</c:v>
                </c:pt>
                <c:pt idx="6">
                  <c:v>18.95</c:v>
                </c:pt>
                <c:pt idx="7">
                  <c:v>18.97</c:v>
                </c:pt>
                <c:pt idx="8">
                  <c:v>18.98</c:v>
                </c:pt>
                <c:pt idx="9">
                  <c:v>18.989999999999998</c:v>
                </c:pt>
              </c:numCache>
            </c:numRef>
          </c:xVal>
          <c:yVal>
            <c:numRef>
              <c:f>'Subtraction Network Vary Input'!$J$47:$J$56</c:f>
              <c:numCache>
                <c:formatCode>0.000</c:formatCode>
                <c:ptCount val="10"/>
                <c:pt idx="0">
                  <c:v>2.6252513867823306</c:v>
                </c:pt>
                <c:pt idx="1">
                  <c:v>2.6164234577856176</c:v>
                </c:pt>
                <c:pt idx="2">
                  <c:v>2.6116017945393613</c:v>
                </c:pt>
                <c:pt idx="3">
                  <c:v>2.6164350784531942</c:v>
                </c:pt>
                <c:pt idx="4">
                  <c:v>2.6603990079597155</c:v>
                </c:pt>
                <c:pt idx="5">
                  <c:v>2.776671886298681</c:v>
                </c:pt>
                <c:pt idx="6">
                  <c:v>3.0573440618209213</c:v>
                </c:pt>
                <c:pt idx="7">
                  <c:v>3.5416190468774502</c:v>
                </c:pt>
                <c:pt idx="8">
                  <c:v>4.4153046877973319</c:v>
                </c:pt>
                <c:pt idx="9">
                  <c:v>17.085538156798471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A8-43BA-B3C0-47FD1B993608}"/>
            </c:ext>
          </c:extLst>
        </c:ser>
        <c:ser>
          <c:idx val="0"/>
          <c:order val="4"/>
          <c:tx>
            <c:v>0-1nA; gs1~1, gs2~5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'Subtraction Network Vary Input'!$B$114:$B$124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0.9</c:v>
                </c:pt>
                <c:pt idx="6">
                  <c:v>0.95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0.999</c:v>
                </c:pt>
              </c:numCache>
            </c:numRef>
          </c:xVal>
          <c:yVal>
            <c:numRef>
              <c:f>'Subtraction Network Vary Input'!$J$114:$J$124</c:f>
              <c:numCache>
                <c:formatCode>0.000</c:formatCode>
                <c:ptCount val="11"/>
                <c:pt idx="0">
                  <c:v>8.842676404823365</c:v>
                </c:pt>
                <c:pt idx="1">
                  <c:v>8.4770506668042493</c:v>
                </c:pt>
                <c:pt idx="2">
                  <c:v>8.1446995825186868</c:v>
                </c:pt>
                <c:pt idx="3">
                  <c:v>7.8422306870105958</c:v>
                </c:pt>
                <c:pt idx="4">
                  <c:v>7.5702011698937115</c:v>
                </c:pt>
                <c:pt idx="5">
                  <c:v>7.4553123810627806</c:v>
                </c:pt>
                <c:pt idx="6">
                  <c:v>7.4245839257624571</c:v>
                </c:pt>
                <c:pt idx="7">
                  <c:v>7.4442711596338853</c:v>
                </c:pt>
                <c:pt idx="8">
                  <c:v>7.4881844169679459</c:v>
                </c:pt>
                <c:pt idx="9">
                  <c:v>7.6472106176450358</c:v>
                </c:pt>
                <c:pt idx="10">
                  <c:v>13.129887753076291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5-4B98-81B5-047BB5BF81F8}"/>
            </c:ext>
          </c:extLst>
        </c:ser>
        <c:ser>
          <c:idx val="5"/>
          <c:order val="5"/>
          <c:tx>
            <c:v>2-3nA; gs1~1, gs2~5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'Subtraction Network Vary Input'!$B$143:$B$150</c:f>
              <c:numCache>
                <c:formatCode>General</c:formatCode>
                <c:ptCount val="8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2.9</c:v>
                </c:pt>
                <c:pt idx="6">
                  <c:v>2.95</c:v>
                </c:pt>
                <c:pt idx="7">
                  <c:v>2.99</c:v>
                </c:pt>
              </c:numCache>
            </c:numRef>
          </c:xVal>
          <c:yVal>
            <c:numRef>
              <c:f>'Subtraction Network Vary Input'!$H$143:$H$150</c:f>
              <c:numCache>
                <c:formatCode>0.000</c:formatCode>
                <c:ptCount val="8"/>
                <c:pt idx="0">
                  <c:v>5.9333212904405377</c:v>
                </c:pt>
                <c:pt idx="1">
                  <c:v>5.7878259894284128</c:v>
                </c:pt>
                <c:pt idx="2">
                  <c:v>5.6521020681379301</c:v>
                </c:pt>
                <c:pt idx="3">
                  <c:v>5.5272156972643618</c:v>
                </c:pt>
                <c:pt idx="4">
                  <c:v>5.4212769224245463</c:v>
                </c:pt>
                <c:pt idx="5">
                  <c:v>5.3980658167000524</c:v>
                </c:pt>
                <c:pt idx="6">
                  <c:v>5.4432293185077896</c:v>
                </c:pt>
                <c:pt idx="7">
                  <c:v>6.0899650190526167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55-4B98-81B5-047BB5BF81F8}"/>
            </c:ext>
          </c:extLst>
        </c:ser>
        <c:ser>
          <c:idx val="6"/>
          <c:order val="6"/>
          <c:tx>
            <c:v>9-10nA; gs1~1, gs2~5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'Subtraction Network Vary Input'!$B$129:$B$138</c:f>
              <c:numCache>
                <c:formatCode>General</c:formatCode>
                <c:ptCount val="10"/>
                <c:pt idx="0">
                  <c:v>9</c:v>
                </c:pt>
                <c:pt idx="1">
                  <c:v>9.1999999999999993</c:v>
                </c:pt>
                <c:pt idx="2">
                  <c:v>9.4</c:v>
                </c:pt>
                <c:pt idx="3">
                  <c:v>9.6</c:v>
                </c:pt>
                <c:pt idx="4">
                  <c:v>9.8000000000000007</c:v>
                </c:pt>
                <c:pt idx="5">
                  <c:v>9.9</c:v>
                </c:pt>
                <c:pt idx="6">
                  <c:v>9.9499999999999993</c:v>
                </c:pt>
                <c:pt idx="7">
                  <c:v>9.9700000000000006</c:v>
                </c:pt>
                <c:pt idx="8">
                  <c:v>9.98</c:v>
                </c:pt>
                <c:pt idx="9">
                  <c:v>9.99</c:v>
                </c:pt>
              </c:numCache>
            </c:numRef>
          </c:xVal>
          <c:yVal>
            <c:numRef>
              <c:f>'Subtraction Network Vary Input'!$H$129:$H$138</c:f>
              <c:numCache>
                <c:formatCode>0.000</c:formatCode>
                <c:ptCount val="10"/>
                <c:pt idx="0">
                  <c:v>3.1548009059300424</c:v>
                </c:pt>
                <c:pt idx="1">
                  <c:v>3.1299298834620162</c:v>
                </c:pt>
                <c:pt idx="2">
                  <c:v>3.1080775456126211</c:v>
                </c:pt>
                <c:pt idx="3">
                  <c:v>3.0925961346351643</c:v>
                </c:pt>
                <c:pt idx="4">
                  <c:v>3.1012404244736653</c:v>
                </c:pt>
                <c:pt idx="5">
                  <c:v>3.1604984312468356</c:v>
                </c:pt>
                <c:pt idx="6">
                  <c:v>3.309112331112058</c:v>
                </c:pt>
                <c:pt idx="7">
                  <c:v>3.5390258707972211</c:v>
                </c:pt>
                <c:pt idx="8">
                  <c:v>3.8758478352205783</c:v>
                </c:pt>
                <c:pt idx="9">
                  <c:v>5.4488262653903652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55-4B98-81B5-047BB5BF81F8}"/>
            </c:ext>
          </c:extLst>
        </c:ser>
        <c:ser>
          <c:idx val="7"/>
          <c:order val="7"/>
          <c:tx>
            <c:v>18-19nA; gs1~1, gs2~5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'Subtraction Network Vary Input'!$B$101:$B$110</c:f>
              <c:numCache>
                <c:formatCode>General</c:formatCode>
                <c:ptCount val="10"/>
                <c:pt idx="0">
                  <c:v>18</c:v>
                </c:pt>
                <c:pt idx="1">
                  <c:v>18.2</c:v>
                </c:pt>
                <c:pt idx="2">
                  <c:v>18.399999999999999</c:v>
                </c:pt>
                <c:pt idx="3">
                  <c:v>18.600000000000001</c:v>
                </c:pt>
                <c:pt idx="4">
                  <c:v>18.8</c:v>
                </c:pt>
                <c:pt idx="5">
                  <c:v>18.899999999999999</c:v>
                </c:pt>
                <c:pt idx="6">
                  <c:v>18.95</c:v>
                </c:pt>
                <c:pt idx="7">
                  <c:v>18.97</c:v>
                </c:pt>
                <c:pt idx="8">
                  <c:v>18.98</c:v>
                </c:pt>
                <c:pt idx="9">
                  <c:v>18.989999999999998</c:v>
                </c:pt>
              </c:numCache>
            </c:numRef>
          </c:xVal>
          <c:yVal>
            <c:numRef>
              <c:f>'Subtraction Network Vary Input'!$J$101:$J$110</c:f>
              <c:numCache>
                <c:formatCode>0.000</c:formatCode>
                <c:ptCount val="10"/>
                <c:pt idx="0">
                  <c:v>2.2587925657243928</c:v>
                </c:pt>
                <c:pt idx="1">
                  <c:v>2.254007463153787</c:v>
                </c:pt>
                <c:pt idx="2">
                  <c:v>2.2526161864359611</c:v>
                </c:pt>
                <c:pt idx="3">
                  <c:v>2.2595107694039749</c:v>
                </c:pt>
                <c:pt idx="4">
                  <c:v>2.3002070836124591</c:v>
                </c:pt>
                <c:pt idx="5">
                  <c:v>2.4021462853144246</c:v>
                </c:pt>
                <c:pt idx="6">
                  <c:v>2.6457316832030124</c:v>
                </c:pt>
                <c:pt idx="7">
                  <c:v>3.0651647500553811</c:v>
                </c:pt>
                <c:pt idx="8">
                  <c:v>3.8215352795011044</c:v>
                </c:pt>
                <c:pt idx="9">
                  <c:v>14.788735932179589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55-4B98-81B5-047BB5BF8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97344"/>
        <c:axId val="1995253664"/>
      </c:scatterChart>
      <c:valAx>
        <c:axId val="199929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Input 2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253664"/>
        <c:crosses val="autoZero"/>
        <c:crossBetween val="midCat"/>
      </c:valAx>
      <c:valAx>
        <c:axId val="19952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9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78470204593408"/>
          <c:y val="0.12118554737109477"/>
          <c:w val="0.54922125376039233"/>
          <c:h val="0.2492343365054828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Amplification of Non-linear Gain Varies with ksyn (gs1 and gs2 gain combination)</a:t>
            </a:r>
          </a:p>
        </c:rich>
      </c:tx>
      <c:layout>
        <c:manualLayout>
          <c:xMode val="edge"/>
          <c:yMode val="edge"/>
          <c:x val="0.130993000874890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3430271216098006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theoretical ksyn ~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'Subtraction Network Vary gs'!$B$20:$B$28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4.5</c:v>
                </c:pt>
                <c:pt idx="5">
                  <c:v>7.5</c:v>
                </c:pt>
                <c:pt idx="6">
                  <c:v>11.5</c:v>
                </c:pt>
                <c:pt idx="7">
                  <c:v>14.5</c:v>
                </c:pt>
                <c:pt idx="8">
                  <c:v>18.5</c:v>
                </c:pt>
              </c:numCache>
            </c:numRef>
          </c:xVal>
          <c:yVal>
            <c:numRef>
              <c:f>'Subtraction Network Vary gs'!$V$20:$V$28</c:f>
              <c:numCache>
                <c:formatCode>0.000</c:formatCode>
                <c:ptCount val="9"/>
                <c:pt idx="0">
                  <c:v>73.469387755102048</c:v>
                </c:pt>
                <c:pt idx="1">
                  <c:v>38.95147796988288</c:v>
                </c:pt>
                <c:pt idx="2">
                  <c:v>17.912285201333685</c:v>
                </c:pt>
                <c:pt idx="3">
                  <c:v>11.630308076602825</c:v>
                </c:pt>
                <c:pt idx="4">
                  <c:v>6.8356660467847616</c:v>
                </c:pt>
                <c:pt idx="5">
                  <c:v>4.2237677653462375</c:v>
                </c:pt>
                <c:pt idx="6">
                  <c:v>2.7981890300092163</c:v>
                </c:pt>
                <c:pt idx="7">
                  <c:v>2.2329507305687977</c:v>
                </c:pt>
                <c:pt idx="8">
                  <c:v>1.7591496435858112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50-4CE2-9818-97C1260BFF31}"/>
            </c:ext>
          </c:extLst>
        </c:ser>
        <c:ser>
          <c:idx val="3"/>
          <c:order val="1"/>
          <c:tx>
            <c:v>theoretical ksyn ~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'Subtraction Network Vary gs'!$B$20:$B$28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4.5</c:v>
                </c:pt>
                <c:pt idx="5">
                  <c:v>7.5</c:v>
                </c:pt>
                <c:pt idx="6">
                  <c:v>11.5</c:v>
                </c:pt>
                <c:pt idx="7">
                  <c:v>14.5</c:v>
                </c:pt>
                <c:pt idx="8">
                  <c:v>18.5</c:v>
                </c:pt>
              </c:numCache>
            </c:numRef>
          </c:xVal>
          <c:yVal>
            <c:numRef>
              <c:f>'Subtraction Network Vary gs'!$R$20:$R$28</c:f>
              <c:numCache>
                <c:formatCode>0.000</c:formatCode>
                <c:ptCount val="9"/>
                <c:pt idx="0">
                  <c:v>22.047244094488189</c:v>
                </c:pt>
                <c:pt idx="1">
                  <c:v>17.415838409746712</c:v>
                </c:pt>
                <c:pt idx="2">
                  <c:v>11.418961530376281</c:v>
                </c:pt>
                <c:pt idx="3">
                  <c:v>8.4941360437841986</c:v>
                </c:pt>
                <c:pt idx="4">
                  <c:v>5.6167924723399869</c:v>
                </c:pt>
                <c:pt idx="5">
                  <c:v>3.7243743572163104</c:v>
                </c:pt>
                <c:pt idx="6">
                  <c:v>2.569901121256553</c:v>
                </c:pt>
                <c:pt idx="7">
                  <c:v>2.0851406855782892</c:v>
                </c:pt>
                <c:pt idx="8">
                  <c:v>1.6661043462258076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50-4CE2-9818-97C1260BFF31}"/>
            </c:ext>
          </c:extLst>
        </c:ser>
        <c:ser>
          <c:idx val="2"/>
          <c:order val="2"/>
          <c:tx>
            <c:v>theoretical ksyn ~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'Subtraction Network Vary gs'!$B$20:$B$28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4.5</c:v>
                </c:pt>
                <c:pt idx="5">
                  <c:v>7.5</c:v>
                </c:pt>
                <c:pt idx="6">
                  <c:v>11.5</c:v>
                </c:pt>
                <c:pt idx="7">
                  <c:v>14.5</c:v>
                </c:pt>
                <c:pt idx="8">
                  <c:v>18.5</c:v>
                </c:pt>
              </c:numCache>
            </c:numRef>
          </c:xVal>
          <c:yVal>
            <c:numRef>
              <c:f>'Subtraction Network Vary gs'!$N$20:$N$28</c:f>
              <c:numCache>
                <c:formatCode>0.000</c:formatCode>
                <c:ptCount val="9"/>
                <c:pt idx="0">
                  <c:v>9.7560975609756095</c:v>
                </c:pt>
                <c:pt idx="1">
                  <c:v>8.7289088863892044</c:v>
                </c:pt>
                <c:pt idx="2">
                  <c:v>6.9100623330365103</c:v>
                </c:pt>
                <c:pt idx="3">
                  <c:v>5.7184966838614644</c:v>
                </c:pt>
                <c:pt idx="4">
                  <c:v>4.2520547945205456</c:v>
                </c:pt>
                <c:pt idx="5">
                  <c:v>3.0708349821923258</c:v>
                </c:pt>
                <c:pt idx="6">
                  <c:v>2.2408316488593725</c:v>
                </c:pt>
                <c:pt idx="7">
                  <c:v>1.8631452581032428</c:v>
                </c:pt>
                <c:pt idx="8">
                  <c:v>1.5212703391491964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50-4CE2-9818-97C1260BFF31}"/>
            </c:ext>
          </c:extLst>
        </c:ser>
        <c:ser>
          <c:idx val="1"/>
          <c:order val="3"/>
          <c:tx>
            <c:v>theoretical ksyn ~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'Subtraction Network Vary gs'!$B$20:$B$28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4.5</c:v>
                </c:pt>
                <c:pt idx="5">
                  <c:v>7.5</c:v>
                </c:pt>
                <c:pt idx="6">
                  <c:v>11.5</c:v>
                </c:pt>
                <c:pt idx="7">
                  <c:v>14.5</c:v>
                </c:pt>
                <c:pt idx="8">
                  <c:v>18.5</c:v>
                </c:pt>
              </c:numCache>
            </c:numRef>
          </c:xVal>
          <c:yVal>
            <c:numRef>
              <c:f>'Subtraction Network Vary gs'!$J$20:$J$28</c:f>
              <c:numCache>
                <c:formatCode>0.000</c:formatCode>
                <c:ptCount val="9"/>
                <c:pt idx="0">
                  <c:v>4.2402826855123683</c:v>
                </c:pt>
                <c:pt idx="1">
                  <c:v>4.0339629180384691</c:v>
                </c:pt>
                <c:pt idx="2">
                  <c:v>3.5964776765023938</c:v>
                </c:pt>
                <c:pt idx="3">
                  <c:v>3.2445993031358848</c:v>
                </c:pt>
                <c:pt idx="4">
                  <c:v>2.7136029840307696</c:v>
                </c:pt>
                <c:pt idx="5">
                  <c:v>2.178755264389332</c:v>
                </c:pt>
                <c:pt idx="6">
                  <c:v>1.72533906470021</c:v>
                </c:pt>
                <c:pt idx="7">
                  <c:v>1.4924033591896875</c:v>
                </c:pt>
                <c:pt idx="8">
                  <c:v>1.2647362416471917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50-4CE2-9818-97C1260BFF31}"/>
            </c:ext>
          </c:extLst>
        </c:ser>
        <c:ser>
          <c:idx val="0"/>
          <c:order val="4"/>
          <c:tx>
            <c:v>theoretical ksyn ~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'Subtraction Network Vary gs'!$B$20:$B$28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4.5</c:v>
                </c:pt>
                <c:pt idx="5">
                  <c:v>7.5</c:v>
                </c:pt>
                <c:pt idx="6">
                  <c:v>11.5</c:v>
                </c:pt>
                <c:pt idx="7">
                  <c:v>14.5</c:v>
                </c:pt>
                <c:pt idx="8">
                  <c:v>18.5</c:v>
                </c:pt>
              </c:numCache>
            </c:numRef>
          </c:xVal>
          <c:yVal>
            <c:numRef>
              <c:f>'Subtraction Network Vary gs'!$E$20:$E$28</c:f>
              <c:numCache>
                <c:formatCode>0.000</c:formatCode>
                <c:ptCount val="9"/>
                <c:pt idx="0">
                  <c:v>0.55401662049861511</c:v>
                </c:pt>
                <c:pt idx="1">
                  <c:v>0.5467098774129916</c:v>
                </c:pt>
                <c:pt idx="2">
                  <c:v>0.52925930978038471</c:v>
                </c:pt>
                <c:pt idx="3">
                  <c:v>0.51288830138797104</c:v>
                </c:pt>
                <c:pt idx="4">
                  <c:v>0.48300759367608614</c:v>
                </c:pt>
                <c:pt idx="5">
                  <c:v>0.44419004006869062</c:v>
                </c:pt>
                <c:pt idx="6">
                  <c:v>0.40119946230999903</c:v>
                </c:pt>
                <c:pt idx="7">
                  <c:v>0.37404800925479853</c:v>
                </c:pt>
                <c:pt idx="8">
                  <c:v>0.34308957467503975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0-4CE2-9818-97C1260BF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45120"/>
        <c:axId val="88057680"/>
      </c:scatterChart>
      <c:valAx>
        <c:axId val="963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Input 2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680"/>
        <c:crosses val="autoZero"/>
        <c:crossBetween val="midCat"/>
      </c:valAx>
      <c:valAx>
        <c:axId val="88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Theoretical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Gain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689763779527562"/>
          <c:y val="0.18915354330708664"/>
          <c:w val="0.28012073490813649"/>
          <c:h val="0.4326789880431612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Zoomed in, the Linear  Range of the Subtraction Network is </a:t>
            </a: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en-US" sz="1600">
                <a:solidFill>
                  <a:sysClr val="windowText" lastClr="000000"/>
                </a:solidFill>
              </a:rPr>
              <a:t>~</a:t>
            </a:r>
            <a:r>
              <a:rPr lang="en-US" sz="1600" baseline="0">
                <a:solidFill>
                  <a:sysClr val="windowText" lastClr="000000"/>
                </a:solidFill>
              </a:rPr>
              <a:t> ksyn = 1</a:t>
            </a:r>
            <a:r>
              <a:rPr lang="en-US" sz="1600">
                <a:solidFill>
                  <a:sysClr val="windowText" lastClr="000000"/>
                </a:solidFill>
              </a:rPr>
              <a:t>  </a:t>
            </a:r>
          </a:p>
        </c:rich>
      </c:tx>
      <c:layout>
        <c:manualLayout>
          <c:xMode val="edge"/>
          <c:yMode val="edge"/>
          <c:x val="0.14323598051405956"/>
          <c:y val="3.6090445041132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619309683063811"/>
          <c:w val="0.83430271216098006"/>
          <c:h val="0.61823582536053956"/>
        </c:manualLayout>
      </c:layout>
      <c:scatterChart>
        <c:scatterStyle val="lineMarker"/>
        <c:varyColors val="0"/>
        <c:ser>
          <c:idx val="4"/>
          <c:order val="0"/>
          <c:tx>
            <c:v>theoretical ksyn ~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'Subtraction Network Vary gs'!$B$20:$B$28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4.5</c:v>
                </c:pt>
                <c:pt idx="5">
                  <c:v>7.5</c:v>
                </c:pt>
                <c:pt idx="6">
                  <c:v>11.5</c:v>
                </c:pt>
                <c:pt idx="7">
                  <c:v>14.5</c:v>
                </c:pt>
                <c:pt idx="8">
                  <c:v>18.5</c:v>
                </c:pt>
              </c:numCache>
            </c:numRef>
          </c:xVal>
          <c:yVal>
            <c:numRef>
              <c:f>'Subtraction Network Vary gs'!$V$20:$V$28</c:f>
              <c:numCache>
                <c:formatCode>0.000</c:formatCode>
                <c:ptCount val="9"/>
                <c:pt idx="0">
                  <c:v>73.469387755102048</c:v>
                </c:pt>
                <c:pt idx="1">
                  <c:v>38.95147796988288</c:v>
                </c:pt>
                <c:pt idx="2">
                  <c:v>17.912285201333685</c:v>
                </c:pt>
                <c:pt idx="3">
                  <c:v>11.630308076602825</c:v>
                </c:pt>
                <c:pt idx="4">
                  <c:v>6.8356660467847616</c:v>
                </c:pt>
                <c:pt idx="5">
                  <c:v>4.2237677653462375</c:v>
                </c:pt>
                <c:pt idx="6">
                  <c:v>2.7981890300092163</c:v>
                </c:pt>
                <c:pt idx="7">
                  <c:v>2.2329507305687977</c:v>
                </c:pt>
                <c:pt idx="8">
                  <c:v>1.7591496435858112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8-415E-8510-ACAFBD6DBA53}"/>
            </c:ext>
          </c:extLst>
        </c:ser>
        <c:ser>
          <c:idx val="3"/>
          <c:order val="1"/>
          <c:tx>
            <c:v>theoretical ksyn ~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'Subtraction Network Vary gs'!$B$20:$B$28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4.5</c:v>
                </c:pt>
                <c:pt idx="5">
                  <c:v>7.5</c:v>
                </c:pt>
                <c:pt idx="6">
                  <c:v>11.5</c:v>
                </c:pt>
                <c:pt idx="7">
                  <c:v>14.5</c:v>
                </c:pt>
                <c:pt idx="8">
                  <c:v>18.5</c:v>
                </c:pt>
              </c:numCache>
            </c:numRef>
          </c:xVal>
          <c:yVal>
            <c:numRef>
              <c:f>'Subtraction Network Vary gs'!$R$20:$R$28</c:f>
              <c:numCache>
                <c:formatCode>0.000</c:formatCode>
                <c:ptCount val="9"/>
                <c:pt idx="0">
                  <c:v>22.047244094488189</c:v>
                </c:pt>
                <c:pt idx="1">
                  <c:v>17.415838409746712</c:v>
                </c:pt>
                <c:pt idx="2">
                  <c:v>11.418961530376281</c:v>
                </c:pt>
                <c:pt idx="3">
                  <c:v>8.4941360437841986</c:v>
                </c:pt>
                <c:pt idx="4">
                  <c:v>5.6167924723399869</c:v>
                </c:pt>
                <c:pt idx="5">
                  <c:v>3.7243743572163104</c:v>
                </c:pt>
                <c:pt idx="6">
                  <c:v>2.569901121256553</c:v>
                </c:pt>
                <c:pt idx="7">
                  <c:v>2.0851406855782892</c:v>
                </c:pt>
                <c:pt idx="8">
                  <c:v>1.6661043462258076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8-415E-8510-ACAFBD6DBA53}"/>
            </c:ext>
          </c:extLst>
        </c:ser>
        <c:ser>
          <c:idx val="2"/>
          <c:order val="2"/>
          <c:tx>
            <c:v>theoretical ksyn ~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'Subtraction Network Vary gs'!$B$20:$B$28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4.5</c:v>
                </c:pt>
                <c:pt idx="5">
                  <c:v>7.5</c:v>
                </c:pt>
                <c:pt idx="6">
                  <c:v>11.5</c:v>
                </c:pt>
                <c:pt idx="7">
                  <c:v>14.5</c:v>
                </c:pt>
                <c:pt idx="8">
                  <c:v>18.5</c:v>
                </c:pt>
              </c:numCache>
            </c:numRef>
          </c:xVal>
          <c:yVal>
            <c:numRef>
              <c:f>'Subtraction Network Vary gs'!$N$20:$N$28</c:f>
              <c:numCache>
                <c:formatCode>0.000</c:formatCode>
                <c:ptCount val="9"/>
                <c:pt idx="0">
                  <c:v>9.7560975609756095</c:v>
                </c:pt>
                <c:pt idx="1">
                  <c:v>8.7289088863892044</c:v>
                </c:pt>
                <c:pt idx="2">
                  <c:v>6.9100623330365103</c:v>
                </c:pt>
                <c:pt idx="3">
                  <c:v>5.7184966838614644</c:v>
                </c:pt>
                <c:pt idx="4">
                  <c:v>4.2520547945205456</c:v>
                </c:pt>
                <c:pt idx="5">
                  <c:v>3.0708349821923258</c:v>
                </c:pt>
                <c:pt idx="6">
                  <c:v>2.2408316488593725</c:v>
                </c:pt>
                <c:pt idx="7">
                  <c:v>1.8631452581032428</c:v>
                </c:pt>
                <c:pt idx="8">
                  <c:v>1.5212703391491964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8-415E-8510-ACAFBD6DBA53}"/>
            </c:ext>
          </c:extLst>
        </c:ser>
        <c:ser>
          <c:idx val="1"/>
          <c:order val="3"/>
          <c:tx>
            <c:v>theoretical ksyn ~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'Subtraction Network Vary gs'!$B$20:$B$28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4.5</c:v>
                </c:pt>
                <c:pt idx="5">
                  <c:v>7.5</c:v>
                </c:pt>
                <c:pt idx="6">
                  <c:v>11.5</c:v>
                </c:pt>
                <c:pt idx="7">
                  <c:v>14.5</c:v>
                </c:pt>
                <c:pt idx="8">
                  <c:v>18.5</c:v>
                </c:pt>
              </c:numCache>
            </c:numRef>
          </c:xVal>
          <c:yVal>
            <c:numRef>
              <c:f>'Subtraction Network Vary gs'!$J$20:$J$28</c:f>
              <c:numCache>
                <c:formatCode>0.000</c:formatCode>
                <c:ptCount val="9"/>
                <c:pt idx="0">
                  <c:v>4.2402826855123683</c:v>
                </c:pt>
                <c:pt idx="1">
                  <c:v>4.0339629180384691</c:v>
                </c:pt>
                <c:pt idx="2">
                  <c:v>3.5964776765023938</c:v>
                </c:pt>
                <c:pt idx="3">
                  <c:v>3.2445993031358848</c:v>
                </c:pt>
                <c:pt idx="4">
                  <c:v>2.7136029840307696</c:v>
                </c:pt>
                <c:pt idx="5">
                  <c:v>2.178755264389332</c:v>
                </c:pt>
                <c:pt idx="6">
                  <c:v>1.72533906470021</c:v>
                </c:pt>
                <c:pt idx="7">
                  <c:v>1.4924033591896875</c:v>
                </c:pt>
                <c:pt idx="8">
                  <c:v>1.2647362416471917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8-415E-8510-ACAFBD6DBA53}"/>
            </c:ext>
          </c:extLst>
        </c:ser>
        <c:ser>
          <c:idx val="5"/>
          <c:order val="4"/>
          <c:tx>
            <c:v>theoretical ksyn ~ 1.5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'Subtraction Network Vary gs'!$B$20:$B$28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4.5</c:v>
                </c:pt>
                <c:pt idx="5">
                  <c:v>7.5</c:v>
                </c:pt>
                <c:pt idx="6">
                  <c:v>11.5</c:v>
                </c:pt>
                <c:pt idx="7">
                  <c:v>14.5</c:v>
                </c:pt>
                <c:pt idx="8">
                  <c:v>18.5</c:v>
                </c:pt>
              </c:numCache>
            </c:numRef>
          </c:xVal>
          <c:yVal>
            <c:numRef>
              <c:f>'Subtraction Network Vary gs'!$Z$20:$Z$28</c:f>
              <c:numCache>
                <c:formatCode>0.000</c:formatCode>
                <c:ptCount val="9"/>
                <c:pt idx="0">
                  <c:v>1.7569546120058563</c:v>
                </c:pt>
                <c:pt idx="1">
                  <c:v>1.7204936811765572</c:v>
                </c:pt>
                <c:pt idx="2">
                  <c:v>1.6356354949764631</c:v>
                </c:pt>
                <c:pt idx="3">
                  <c:v>1.5587546032808832</c:v>
                </c:pt>
                <c:pt idx="4">
                  <c:v>1.4248117999877585</c:v>
                </c:pt>
                <c:pt idx="5">
                  <c:v>1.2621306587150958</c:v>
                </c:pt>
                <c:pt idx="6">
                  <c:v>1.0953747706206132</c:v>
                </c:pt>
                <c:pt idx="7">
                  <c:v>0.99661800590778671</c:v>
                </c:pt>
                <c:pt idx="8">
                  <c:v>0.88967019528413971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C8-415E-8510-ACAFBD6DBA53}"/>
            </c:ext>
          </c:extLst>
        </c:ser>
        <c:ser>
          <c:idx val="6"/>
          <c:order val="5"/>
          <c:tx>
            <c:v>theoretical ksyn ~ 1.01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'Subtraction Network Vary gs'!$B$20:$B$28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4.5</c:v>
                </c:pt>
                <c:pt idx="5">
                  <c:v>7.5</c:v>
                </c:pt>
                <c:pt idx="6">
                  <c:v>11.5</c:v>
                </c:pt>
                <c:pt idx="7">
                  <c:v>14.5</c:v>
                </c:pt>
                <c:pt idx="8">
                  <c:v>18.5</c:v>
                </c:pt>
              </c:numCache>
            </c:numRef>
          </c:xVal>
          <c:yVal>
            <c:numRef>
              <c:f>'Subtraction Network Vary gs'!$AD$20:$AD$28</c:f>
              <c:numCache>
                <c:formatCode>0.000</c:formatCode>
                <c:ptCount val="9"/>
                <c:pt idx="0">
                  <c:v>1.1203238956213082</c:v>
                </c:pt>
                <c:pt idx="1">
                  <c:v>1.1053866018275491</c:v>
                </c:pt>
                <c:pt idx="2">
                  <c:v>1.0697297968665331</c:v>
                </c:pt>
                <c:pt idx="3">
                  <c:v>1.0363014921228857</c:v>
                </c:pt>
                <c:pt idx="4">
                  <c:v>0.97534387043865212</c:v>
                </c:pt>
                <c:pt idx="5">
                  <c:v>0.89626347236913606</c:v>
                </c:pt>
                <c:pt idx="6">
                  <c:v>0.80882466762502736</c:v>
                </c:pt>
                <c:pt idx="7">
                  <c:v>0.75367843271504475</c:v>
                </c:pt>
                <c:pt idx="8">
                  <c:v>0.69087283782699827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66-4C9E-8340-206CF31204BE}"/>
            </c:ext>
          </c:extLst>
        </c:ser>
        <c:ser>
          <c:idx val="0"/>
          <c:order val="6"/>
          <c:tx>
            <c:v>theoretical ksyn ~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'Subtraction Network Vary gs'!$B$20:$B$28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4.5</c:v>
                </c:pt>
                <c:pt idx="5">
                  <c:v>7.5</c:v>
                </c:pt>
                <c:pt idx="6">
                  <c:v>11.5</c:v>
                </c:pt>
                <c:pt idx="7">
                  <c:v>14.5</c:v>
                </c:pt>
                <c:pt idx="8">
                  <c:v>18.5</c:v>
                </c:pt>
              </c:numCache>
            </c:numRef>
          </c:xVal>
          <c:yVal>
            <c:numRef>
              <c:f>'Subtraction Network Vary gs'!$F$20:$F$28</c:f>
              <c:numCache>
                <c:formatCode>0.000</c:formatCode>
                <c:ptCount val="9"/>
                <c:pt idx="0">
                  <c:v>1.1080332409972302</c:v>
                </c:pt>
                <c:pt idx="1">
                  <c:v>1.0934197548259832</c:v>
                </c:pt>
                <c:pt idx="2">
                  <c:v>1.0585186195607694</c:v>
                </c:pt>
                <c:pt idx="3">
                  <c:v>1.0257766027759421</c:v>
                </c:pt>
                <c:pt idx="4">
                  <c:v>0.96601518735217229</c:v>
                </c:pt>
                <c:pt idx="5">
                  <c:v>0.88838008013738123</c:v>
                </c:pt>
                <c:pt idx="6">
                  <c:v>0.80239892461999807</c:v>
                </c:pt>
                <c:pt idx="7">
                  <c:v>0.74809601850959706</c:v>
                </c:pt>
                <c:pt idx="8">
                  <c:v>0.68617914935007951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C8-415E-8510-ACAFBD6DB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45120"/>
        <c:axId val="88057680"/>
      </c:scatterChart>
      <c:valAx>
        <c:axId val="963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Input 2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680"/>
        <c:crosses val="autoZero"/>
        <c:crossBetween val="midCat"/>
      </c:valAx>
      <c:valAx>
        <c:axId val="88057680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Theoretical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Gain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885924703229519"/>
          <c:y val="0.18807581101133627"/>
          <c:w val="0.37338547054841098"/>
          <c:h val="0.39307665431788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Experimental:</a:t>
            </a:r>
            <a:r>
              <a:rPr lang="en-US" baseline="0">
                <a:solidFill>
                  <a:sysClr val="windowText" lastClr="000000"/>
                </a:solidFill>
              </a:rPr>
              <a:t> </a:t>
            </a:r>
            <a:r>
              <a:rPr lang="en-US">
                <a:solidFill>
                  <a:sysClr val="windowText" lastClr="000000"/>
                </a:solidFill>
              </a:rPr>
              <a:t>Synaptic gain becomes increasingly nonlinear as</a:t>
            </a:r>
            <a:r>
              <a:rPr lang="en-US" baseline="0">
                <a:solidFill>
                  <a:sysClr val="windowText" lastClr="000000"/>
                </a:solidFill>
              </a:rPr>
              <a:t> gs increases, worse at input amplitudes less than 1.5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048528599503"/>
          <c:y val="0.13399153737658676"/>
          <c:w val="0.8286729350511447"/>
          <c:h val="0.73606388059038463"/>
        </c:manualLayout>
      </c:layout>
      <c:scatterChart>
        <c:scatterStyle val="lineMarker"/>
        <c:varyColors val="0"/>
        <c:ser>
          <c:idx val="0"/>
          <c:order val="0"/>
          <c:tx>
            <c:v>gs 85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'Nonlinearity of Synaptic Gain'!$B$2:$B$18</c:f>
              <c:numCache>
                <c:formatCode>General</c:formatCode>
                <c:ptCount val="17"/>
                <c:pt idx="0">
                  <c:v>0.01</c:v>
                </c:pt>
                <c:pt idx="1">
                  <c:v>1.4999999999999999E-2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  <c:pt idx="12">
                  <c:v>1.2</c:v>
                </c:pt>
                <c:pt idx="13">
                  <c:v>1.4</c:v>
                </c:pt>
                <c:pt idx="14">
                  <c:v>1.6</c:v>
                </c:pt>
                <c:pt idx="15">
                  <c:v>1.8</c:v>
                </c:pt>
                <c:pt idx="16">
                  <c:v>2</c:v>
                </c:pt>
              </c:numCache>
            </c:numRef>
          </c:xVal>
          <c:yVal>
            <c:numRef>
              <c:f>'Nonlinearity of Synaptic Gain'!$D$2:$D$19</c:f>
              <c:numCache>
                <c:formatCode>General</c:formatCode>
                <c:ptCount val="18"/>
                <c:pt idx="0">
                  <c:v>790</c:v>
                </c:pt>
                <c:pt idx="1">
                  <c:v>773.33333333333337</c:v>
                </c:pt>
                <c:pt idx="2">
                  <c:v>680</c:v>
                </c:pt>
                <c:pt idx="3">
                  <c:v>580</c:v>
                </c:pt>
                <c:pt idx="4">
                  <c:v>445</c:v>
                </c:pt>
                <c:pt idx="5">
                  <c:v>363.33333333333337</c:v>
                </c:pt>
                <c:pt idx="6">
                  <c:v>307.5</c:v>
                </c:pt>
                <c:pt idx="7">
                  <c:v>266</c:v>
                </c:pt>
                <c:pt idx="8">
                  <c:v>231.66666666666669</c:v>
                </c:pt>
                <c:pt idx="9">
                  <c:v>207.14285714285717</c:v>
                </c:pt>
                <c:pt idx="10">
                  <c:v>187.5</c:v>
                </c:pt>
                <c:pt idx="11">
                  <c:v>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7-4B6E-B28D-F4A73622540E}"/>
            </c:ext>
          </c:extLst>
        </c:ser>
        <c:ser>
          <c:idx val="2"/>
          <c:order val="1"/>
          <c:tx>
            <c:v>gs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'Nonlinearity of Synaptic Gain'!$O$2:$O$12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2.5</c:v>
                </c:pt>
                <c:pt idx="10">
                  <c:v>3.5</c:v>
                </c:pt>
              </c:numCache>
            </c:numRef>
          </c:xVal>
          <c:yVal>
            <c:numRef>
              <c:f>'Nonlinearity of Synaptic Gain'!$Q$2:$Q$12</c:f>
              <c:numCache>
                <c:formatCode>General</c:formatCode>
                <c:ptCount val="11"/>
                <c:pt idx="0">
                  <c:v>192</c:v>
                </c:pt>
                <c:pt idx="1">
                  <c:v>185</c:v>
                </c:pt>
                <c:pt idx="2">
                  <c:v>176.99999999999997</c:v>
                </c:pt>
                <c:pt idx="3">
                  <c:v>138.75</c:v>
                </c:pt>
                <c:pt idx="4">
                  <c:v>114.28571428571429</c:v>
                </c:pt>
                <c:pt idx="5">
                  <c:v>97</c:v>
                </c:pt>
                <c:pt idx="6">
                  <c:v>83.84615384615384</c:v>
                </c:pt>
                <c:pt idx="7">
                  <c:v>74.375</c:v>
                </c:pt>
                <c:pt idx="8">
                  <c:v>66.842105263157904</c:v>
                </c:pt>
                <c:pt idx="9">
                  <c:v>55.2</c:v>
                </c:pt>
                <c:pt idx="10">
                  <c:v>43.142857142857146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7-4B6E-B28D-F4A73622540E}"/>
            </c:ext>
          </c:extLst>
        </c:ser>
        <c:ser>
          <c:idx val="1"/>
          <c:order val="2"/>
          <c:tx>
            <c:v>gs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'Nonlinearity of Synaptic Gain'!$B$2:$B$20</c:f>
              <c:numCache>
                <c:formatCode>General</c:formatCode>
                <c:ptCount val="19"/>
                <c:pt idx="0">
                  <c:v>0.01</c:v>
                </c:pt>
                <c:pt idx="1">
                  <c:v>1.4999999999999999E-2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  <c:pt idx="12">
                  <c:v>1.2</c:v>
                </c:pt>
                <c:pt idx="13">
                  <c:v>1.4</c:v>
                </c:pt>
                <c:pt idx="14">
                  <c:v>1.6</c:v>
                </c:pt>
                <c:pt idx="15">
                  <c:v>1.8</c:v>
                </c:pt>
                <c:pt idx="16">
                  <c:v>2</c:v>
                </c:pt>
                <c:pt idx="17">
                  <c:v>2.5</c:v>
                </c:pt>
                <c:pt idx="18">
                  <c:v>3.5</c:v>
                </c:pt>
              </c:numCache>
            </c:numRef>
          </c:xVal>
          <c:yVal>
            <c:numRef>
              <c:f>'Nonlinearity of Synaptic Gain'!$J$2:$J$20</c:f>
              <c:numCache>
                <c:formatCode>General</c:formatCode>
                <c:ptCount val="19"/>
                <c:pt idx="0">
                  <c:v>97</c:v>
                </c:pt>
                <c:pt idx="1">
                  <c:v>96.666666666666671</c:v>
                </c:pt>
                <c:pt idx="2">
                  <c:v>94</c:v>
                </c:pt>
                <c:pt idx="3">
                  <c:v>91.999999999999986</c:v>
                </c:pt>
                <c:pt idx="4">
                  <c:v>88.499999999999986</c:v>
                </c:pt>
                <c:pt idx="5">
                  <c:v>85</c:v>
                </c:pt>
                <c:pt idx="6">
                  <c:v>81.25</c:v>
                </c:pt>
                <c:pt idx="7">
                  <c:v>78</c:v>
                </c:pt>
                <c:pt idx="8">
                  <c:v>75</c:v>
                </c:pt>
                <c:pt idx="9">
                  <c:v>72.142857142857153</c:v>
                </c:pt>
                <c:pt idx="10">
                  <c:v>70</c:v>
                </c:pt>
                <c:pt idx="11">
                  <c:v>65</c:v>
                </c:pt>
                <c:pt idx="12">
                  <c:v>60.833333333333336</c:v>
                </c:pt>
                <c:pt idx="13">
                  <c:v>57.142857142857146</c:v>
                </c:pt>
                <c:pt idx="14">
                  <c:v>53.75</c:v>
                </c:pt>
                <c:pt idx="15">
                  <c:v>51.111111111111107</c:v>
                </c:pt>
                <c:pt idx="16">
                  <c:v>48.5</c:v>
                </c:pt>
                <c:pt idx="17">
                  <c:v>43.2</c:v>
                </c:pt>
                <c:pt idx="18">
                  <c:v>35.428571428571431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7-4B6E-B28D-F4A73622540E}"/>
            </c:ext>
          </c:extLst>
        </c:ser>
        <c:ser>
          <c:idx val="3"/>
          <c:order val="3"/>
          <c:tx>
            <c:v>gs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'Nonlinearity of Synaptic Gain'!$V$2:$V$12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2.5</c:v>
                </c:pt>
                <c:pt idx="10">
                  <c:v>3.5</c:v>
                </c:pt>
              </c:numCache>
            </c:numRef>
          </c:xVal>
          <c:yVal>
            <c:numRef>
              <c:f>'Nonlinearity of Synaptic Gain'!$X$2:$X$12</c:f>
              <c:numCache>
                <c:formatCode>General</c:formatCode>
                <c:ptCount val="11"/>
                <c:pt idx="0">
                  <c:v>48</c:v>
                </c:pt>
                <c:pt idx="1">
                  <c:v>47.999999999999993</c:v>
                </c:pt>
                <c:pt idx="2">
                  <c:v>47.5</c:v>
                </c:pt>
                <c:pt idx="3">
                  <c:v>44.249999999999993</c:v>
                </c:pt>
                <c:pt idx="4">
                  <c:v>41.428571428571431</c:v>
                </c:pt>
                <c:pt idx="5">
                  <c:v>39</c:v>
                </c:pt>
                <c:pt idx="6">
                  <c:v>36.53846153846154</c:v>
                </c:pt>
                <c:pt idx="7">
                  <c:v>34.6875</c:v>
                </c:pt>
                <c:pt idx="8">
                  <c:v>32.631578947368425</c:v>
                </c:pt>
                <c:pt idx="9">
                  <c:v>30</c:v>
                </c:pt>
                <c:pt idx="10">
                  <c:v>25.857142857142858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C7-4B6E-B28D-F4A73622540E}"/>
            </c:ext>
          </c:extLst>
        </c:ser>
        <c:ser>
          <c:idx val="6"/>
          <c:order val="4"/>
          <c:tx>
            <c:v>gs 2.2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'Nonlinearity of Synaptic Gain'!$AX$2:$AX$12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2.5</c:v>
                </c:pt>
                <c:pt idx="10">
                  <c:v>3.5</c:v>
                </c:pt>
              </c:numCache>
            </c:numRef>
          </c:xVal>
          <c:yVal>
            <c:numRef>
              <c:f>'Nonlinearity of Synaptic Gain'!$AZ$2:$AZ$12</c:f>
              <c:numCache>
                <c:formatCode>General</c:formatCode>
                <c:ptCount val="11"/>
                <c:pt idx="0">
                  <c:v>21.6</c:v>
                </c:pt>
                <c:pt idx="1">
                  <c:v>21.499999999999996</c:v>
                </c:pt>
                <c:pt idx="2">
                  <c:v>21.3</c:v>
                </c:pt>
                <c:pt idx="3">
                  <c:v>20.499999999999996</c:v>
                </c:pt>
                <c:pt idx="4">
                  <c:v>19.714285714285715</c:v>
                </c:pt>
                <c:pt idx="5">
                  <c:v>19.2</c:v>
                </c:pt>
                <c:pt idx="6">
                  <c:v>18.692307692307693</c:v>
                </c:pt>
                <c:pt idx="7">
                  <c:v>18.25</c:v>
                </c:pt>
                <c:pt idx="8">
                  <c:v>17.631578947368421</c:v>
                </c:pt>
                <c:pt idx="9">
                  <c:v>16.72</c:v>
                </c:pt>
                <c:pt idx="10">
                  <c:v>16.571428571428573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C7-4B6E-B28D-F4A73622540E}"/>
            </c:ext>
          </c:extLst>
        </c:ser>
        <c:ser>
          <c:idx val="5"/>
          <c:order val="5"/>
          <c:tx>
            <c:v>gs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'Nonlinearity of Synaptic Gain'!$AQ$2:$AQ$12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2.5</c:v>
                </c:pt>
                <c:pt idx="10">
                  <c:v>3.5</c:v>
                </c:pt>
              </c:numCache>
            </c:numRef>
          </c:xVal>
          <c:yVal>
            <c:numRef>
              <c:f>'Nonlinearity of Synaptic Gain'!$AS$2:$AS$12</c:f>
              <c:numCache>
                <c:formatCode>General</c:formatCode>
                <c:ptCount val="11"/>
                <c:pt idx="0">
                  <c:v>9.6999999999999993</c:v>
                </c:pt>
                <c:pt idx="1">
                  <c:v>9.6999999999999993</c:v>
                </c:pt>
                <c:pt idx="2">
                  <c:v>9.6999999999999993</c:v>
                </c:pt>
                <c:pt idx="3">
                  <c:v>9.4999999999999982</c:v>
                </c:pt>
                <c:pt idx="4">
                  <c:v>9.3571428571428577</c:v>
                </c:pt>
                <c:pt idx="5">
                  <c:v>9.2200000000000006</c:v>
                </c:pt>
                <c:pt idx="6">
                  <c:v>9.1538461538461533</c:v>
                </c:pt>
                <c:pt idx="7">
                  <c:v>9</c:v>
                </c:pt>
                <c:pt idx="8">
                  <c:v>8.8421052631578956</c:v>
                </c:pt>
                <c:pt idx="9">
                  <c:v>8.64</c:v>
                </c:pt>
                <c:pt idx="10">
                  <c:v>8.3142857142857149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C7-4B6E-B28D-F4A73622540E}"/>
            </c:ext>
          </c:extLst>
        </c:ser>
        <c:ser>
          <c:idx val="4"/>
          <c:order val="6"/>
          <c:tx>
            <c:v>gs 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'Nonlinearity of Synaptic Gain'!$AC$2:$AC$12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2.5</c:v>
                </c:pt>
                <c:pt idx="10">
                  <c:v>3.5</c:v>
                </c:pt>
              </c:numCache>
            </c:numRef>
          </c:xVal>
          <c:yVal>
            <c:numRef>
              <c:f>'Nonlinearity of Synaptic Gain'!$AE$2:$AE$12</c:f>
            </c:numRef>
          </c:yVal>
          <c:smooth val="0"/>
          <c:extLst>
            <c:ext xmlns:c16="http://schemas.microsoft.com/office/drawing/2014/chart" uri="{C3380CC4-5D6E-409C-BE32-E72D297353CC}">
              <c16:uniqueId val="{00000005-BFC7-4B6E-B28D-F4A73622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83184"/>
        <c:axId val="1925614656"/>
      </c:scatterChart>
      <c:valAx>
        <c:axId val="189258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Input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14656"/>
        <c:crosses val="autoZero"/>
        <c:crossBetween val="midCat"/>
      </c:valAx>
      <c:valAx>
        <c:axId val="1925614656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8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87163085038513"/>
          <c:y val="0.16611341248070363"/>
          <c:w val="9.1186309323791279E-2"/>
          <c:h val="0.3373878776436443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Synaptic Transmission Theoretical Gains</a:t>
            </a:r>
          </a:p>
        </c:rich>
      </c:tx>
      <c:layout>
        <c:manualLayout>
          <c:xMode val="edge"/>
          <c:yMode val="edge"/>
          <c:x val="0.2743488039604805"/>
          <c:y val="6.1184559722242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048528599503"/>
          <c:y val="0.13399153737658676"/>
          <c:w val="0.8286729350511447"/>
          <c:h val="0.73606388059038463"/>
        </c:manualLayout>
      </c:layout>
      <c:scatterChart>
        <c:scatterStyle val="lineMarker"/>
        <c:varyColors val="0"/>
        <c:ser>
          <c:idx val="1"/>
          <c:order val="0"/>
          <c:tx>
            <c:v>gs = 10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'Nonlinearity of Synaptic Gain'!$B$2:$B$27</c:f>
              <c:numCache>
                <c:formatCode>General</c:formatCode>
                <c:ptCount val="26"/>
                <c:pt idx="0">
                  <c:v>0.01</c:v>
                </c:pt>
                <c:pt idx="1">
                  <c:v>1.4999999999999999E-2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  <c:pt idx="12">
                  <c:v>1.2</c:v>
                </c:pt>
                <c:pt idx="13">
                  <c:v>1.4</c:v>
                </c:pt>
                <c:pt idx="14">
                  <c:v>1.6</c:v>
                </c:pt>
                <c:pt idx="15">
                  <c:v>1.8</c:v>
                </c:pt>
                <c:pt idx="16">
                  <c:v>2</c:v>
                </c:pt>
                <c:pt idx="17">
                  <c:v>2.5</c:v>
                </c:pt>
                <c:pt idx="18">
                  <c:v>3.5</c:v>
                </c:pt>
                <c:pt idx="19">
                  <c:v>5</c:v>
                </c:pt>
                <c:pt idx="20">
                  <c:v>8</c:v>
                </c:pt>
                <c:pt idx="21">
                  <c:v>10</c:v>
                </c:pt>
                <c:pt idx="22">
                  <c:v>13</c:v>
                </c:pt>
                <c:pt idx="23">
                  <c:v>15</c:v>
                </c:pt>
                <c:pt idx="24">
                  <c:v>18</c:v>
                </c:pt>
                <c:pt idx="25">
                  <c:v>20</c:v>
                </c:pt>
              </c:numCache>
            </c:numRef>
          </c:xVal>
          <c:yVal>
            <c:numRef>
              <c:f>'Nonlinearity of Synaptic Gain'!$L$2:$L$28</c:f>
              <c:numCache>
                <c:formatCode>0.00</c:formatCode>
                <c:ptCount val="27"/>
                <c:pt idx="0">
                  <c:v>96.517412935323392</c:v>
                </c:pt>
                <c:pt idx="1">
                  <c:v>96.277915632754343</c:v>
                </c:pt>
                <c:pt idx="2">
                  <c:v>94.634146341463421</c:v>
                </c:pt>
                <c:pt idx="3">
                  <c:v>92.38095238095238</c:v>
                </c:pt>
                <c:pt idx="4">
                  <c:v>88.181818181818173</c:v>
                </c:pt>
                <c:pt idx="5">
                  <c:v>84.34782608695653</c:v>
                </c:pt>
                <c:pt idx="6">
                  <c:v>80.833333333333329</c:v>
                </c:pt>
                <c:pt idx="7">
                  <c:v>77.599999999999994</c:v>
                </c:pt>
                <c:pt idx="8">
                  <c:v>74.615384615384613</c:v>
                </c:pt>
                <c:pt idx="9">
                  <c:v>71.851851851851833</c:v>
                </c:pt>
                <c:pt idx="10">
                  <c:v>69.285714285714292</c:v>
                </c:pt>
                <c:pt idx="11">
                  <c:v>64.666666666666671</c:v>
                </c:pt>
                <c:pt idx="12">
                  <c:v>60.624999999999993</c:v>
                </c:pt>
                <c:pt idx="13">
                  <c:v>57.058823529411761</c:v>
                </c:pt>
                <c:pt idx="14">
                  <c:v>53.888888888888893</c:v>
                </c:pt>
                <c:pt idx="15">
                  <c:v>51.052631578947363</c:v>
                </c:pt>
                <c:pt idx="16">
                  <c:v>48.5</c:v>
                </c:pt>
                <c:pt idx="17">
                  <c:v>43.111111111111107</c:v>
                </c:pt>
                <c:pt idx="18">
                  <c:v>35.272727272727273</c:v>
                </c:pt>
                <c:pt idx="19">
                  <c:v>27.714285714285715</c:v>
                </c:pt>
                <c:pt idx="20">
                  <c:v>19.399999999999999</c:v>
                </c:pt>
                <c:pt idx="21">
                  <c:v>16.166666666666664</c:v>
                </c:pt>
                <c:pt idx="22">
                  <c:v>12.933333333333334</c:v>
                </c:pt>
                <c:pt idx="23">
                  <c:v>11.411764705882353</c:v>
                </c:pt>
                <c:pt idx="24">
                  <c:v>9.6999999999999993</c:v>
                </c:pt>
                <c:pt idx="25">
                  <c:v>8.8181818181818183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DA-4CF4-8F04-6FD2B91A65D5}"/>
            </c:ext>
          </c:extLst>
        </c:ser>
        <c:ser>
          <c:idx val="3"/>
          <c:order val="1"/>
          <c:tx>
            <c:v>gs  = 5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'Nonlinearity of Synaptic Gain'!$V$2:$V$19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2.5</c:v>
                </c:pt>
                <c:pt idx="10">
                  <c:v>3.5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15</c:v>
                </c:pt>
                <c:pt idx="16">
                  <c:v>18</c:v>
                </c:pt>
                <c:pt idx="17">
                  <c:v>20</c:v>
                </c:pt>
              </c:numCache>
            </c:numRef>
          </c:xVal>
          <c:yVal>
            <c:numRef>
              <c:f>'Nonlinearity of Synaptic Gain'!$Z$2:$Z$19</c:f>
              <c:numCache>
                <c:formatCode>0.00</c:formatCode>
                <c:ptCount val="18"/>
                <c:pt idx="0">
                  <c:v>48.379052369077307</c:v>
                </c:pt>
                <c:pt idx="1">
                  <c:v>47.901234567901241</c:v>
                </c:pt>
                <c:pt idx="2">
                  <c:v>47.31707317073171</c:v>
                </c:pt>
                <c:pt idx="3">
                  <c:v>44.090909090909086</c:v>
                </c:pt>
                <c:pt idx="4">
                  <c:v>41.276595744680847</c:v>
                </c:pt>
                <c:pt idx="5">
                  <c:v>38.799999999999997</c:v>
                </c:pt>
                <c:pt idx="6">
                  <c:v>36.603773584905667</c:v>
                </c:pt>
                <c:pt idx="7">
                  <c:v>34.642857142857146</c:v>
                </c:pt>
                <c:pt idx="8">
                  <c:v>32.881355932203384</c:v>
                </c:pt>
                <c:pt idx="9">
                  <c:v>29.846153846153847</c:v>
                </c:pt>
                <c:pt idx="10">
                  <c:v>25.866666666666667</c:v>
                </c:pt>
                <c:pt idx="11">
                  <c:v>21.555555555555554</c:v>
                </c:pt>
                <c:pt idx="12">
                  <c:v>16.166666666666668</c:v>
                </c:pt>
                <c:pt idx="13">
                  <c:v>13.857142857142858</c:v>
                </c:pt>
                <c:pt idx="14">
                  <c:v>11.411764705882351</c:v>
                </c:pt>
                <c:pt idx="15">
                  <c:v>10.210526315789474</c:v>
                </c:pt>
                <c:pt idx="16">
                  <c:v>8.8181818181818183</c:v>
                </c:pt>
                <c:pt idx="17">
                  <c:v>8.0833333333333321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DA-4CF4-8F04-6FD2B91A65D5}"/>
            </c:ext>
          </c:extLst>
        </c:ser>
        <c:ser>
          <c:idx val="6"/>
          <c:order val="2"/>
          <c:tx>
            <c:v>gs = 2.2</c:v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'Nonlinearity of Synaptic Gain'!$AX$2:$AX$19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2.5</c:v>
                </c:pt>
                <c:pt idx="10">
                  <c:v>3.5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15</c:v>
                </c:pt>
                <c:pt idx="16">
                  <c:v>18</c:v>
                </c:pt>
                <c:pt idx="17">
                  <c:v>20</c:v>
                </c:pt>
              </c:numCache>
            </c:numRef>
          </c:xVal>
          <c:yVal>
            <c:numRef>
              <c:f>'Nonlinearity of Synaptic Gain'!$BB$2:$BB$19</c:f>
              <c:numCache>
                <c:formatCode>0.00</c:formatCode>
                <c:ptCount val="18"/>
                <c:pt idx="0">
                  <c:v>21.316551793027667</c:v>
                </c:pt>
                <c:pt idx="1">
                  <c:v>21.223272003978124</c:v>
                </c:pt>
                <c:pt idx="2">
                  <c:v>21.107814045499509</c:v>
                </c:pt>
                <c:pt idx="3">
                  <c:v>20.440613026819925</c:v>
                </c:pt>
                <c:pt idx="4">
                  <c:v>19.814298978644384</c:v>
                </c:pt>
                <c:pt idx="5">
                  <c:v>19.225225225225227</c:v>
                </c:pt>
                <c:pt idx="6">
                  <c:v>18.670166229221348</c:v>
                </c:pt>
                <c:pt idx="7">
                  <c:v>18.146258503401359</c:v>
                </c:pt>
                <c:pt idx="8">
                  <c:v>17.650951199338298</c:v>
                </c:pt>
                <c:pt idx="9">
                  <c:v>16.737254901960785</c:v>
                </c:pt>
                <c:pt idx="10">
                  <c:v>15.40794223826715</c:v>
                </c:pt>
                <c:pt idx="11">
                  <c:v>13.767741935483873</c:v>
                </c:pt>
                <c:pt idx="12">
                  <c:v>11.351063829787234</c:v>
                </c:pt>
                <c:pt idx="13">
                  <c:v>10.161904761904761</c:v>
                </c:pt>
                <c:pt idx="14">
                  <c:v>8.7818930041152257</c:v>
                </c:pt>
                <c:pt idx="15">
                  <c:v>8.0528301886792448</c:v>
                </c:pt>
                <c:pt idx="16">
                  <c:v>7.1610738255033555</c:v>
                </c:pt>
                <c:pt idx="17">
                  <c:v>6.6687500000000002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DA-4CF4-8F04-6FD2B91A65D5}"/>
            </c:ext>
          </c:extLst>
        </c:ser>
        <c:ser>
          <c:idx val="5"/>
          <c:order val="3"/>
          <c:tx>
            <c:v>gs = 1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'Nonlinearity of Synaptic Gain'!$AQ$2:$AQ$19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2.5</c:v>
                </c:pt>
                <c:pt idx="10">
                  <c:v>3.5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15</c:v>
                </c:pt>
                <c:pt idx="16">
                  <c:v>18</c:v>
                </c:pt>
                <c:pt idx="17">
                  <c:v>20</c:v>
                </c:pt>
              </c:numCache>
            </c:numRef>
          </c:xVal>
          <c:yVal>
            <c:numRef>
              <c:f>'Nonlinearity of Synaptic Gain'!$AU$2:$AU$19</c:f>
              <c:numCache>
                <c:formatCode>0.00</c:formatCode>
                <c:ptCount val="18"/>
                <c:pt idx="0">
                  <c:v>9.695152423788107</c:v>
                </c:pt>
                <c:pt idx="1">
                  <c:v>9.6758104738154636</c:v>
                </c:pt>
                <c:pt idx="2">
                  <c:v>9.651741293532341</c:v>
                </c:pt>
                <c:pt idx="3">
                  <c:v>9.5098039215686292</c:v>
                </c:pt>
                <c:pt idx="4">
                  <c:v>9.3719806763285032</c:v>
                </c:pt>
                <c:pt idx="5">
                  <c:v>9.238095238095239</c:v>
                </c:pt>
                <c:pt idx="6">
                  <c:v>9.1079812206572779</c:v>
                </c:pt>
                <c:pt idx="7">
                  <c:v>8.9814814814814827</c:v>
                </c:pt>
                <c:pt idx="8">
                  <c:v>8.8584474885844759</c:v>
                </c:pt>
                <c:pt idx="9">
                  <c:v>8.6222222222222236</c:v>
                </c:pt>
                <c:pt idx="10">
                  <c:v>8.2553191489361701</c:v>
                </c:pt>
                <c:pt idx="11">
                  <c:v>7.76</c:v>
                </c:pt>
                <c:pt idx="12">
                  <c:v>6.9285714285714297</c:v>
                </c:pt>
                <c:pt idx="13">
                  <c:v>6.4666666666666668</c:v>
                </c:pt>
                <c:pt idx="14">
                  <c:v>5.8787878787878798</c:v>
                </c:pt>
                <c:pt idx="15">
                  <c:v>5.5428571428571427</c:v>
                </c:pt>
                <c:pt idx="16">
                  <c:v>5.1052631578947363</c:v>
                </c:pt>
                <c:pt idx="17">
                  <c:v>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DA-4CF4-8F04-6FD2B91A65D5}"/>
            </c:ext>
          </c:extLst>
        </c:ser>
        <c:ser>
          <c:idx val="2"/>
          <c:order val="4"/>
          <c:tx>
            <c:v>gs = 0.65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'Nonlinearity of Synaptic Gain'!$AJ$2:$AJ$19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2.5</c:v>
                </c:pt>
                <c:pt idx="10">
                  <c:v>3.5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15</c:v>
                </c:pt>
                <c:pt idx="16">
                  <c:v>18</c:v>
                </c:pt>
                <c:pt idx="17">
                  <c:v>20</c:v>
                </c:pt>
              </c:numCache>
            </c:numRef>
          </c:xVal>
          <c:yVal>
            <c:numRef>
              <c:f>'Nonlinearity of Synaptic Gain'!$AN$2:$AN$19</c:f>
              <c:numCache>
                <c:formatCode>0.00</c:formatCode>
                <c:ptCount val="18"/>
                <c:pt idx="0">
                  <c:v>6.3029515407492571</c:v>
                </c:pt>
                <c:pt idx="1">
                  <c:v>6.2947709971296648</c:v>
                </c:pt>
                <c:pt idx="2">
                  <c:v>6.2845751308248197</c:v>
                </c:pt>
                <c:pt idx="3">
                  <c:v>6.2240868706811456</c:v>
                </c:pt>
                <c:pt idx="4">
                  <c:v>6.1647518944023467</c:v>
                </c:pt>
                <c:pt idx="5">
                  <c:v>6.1065375302663449</c:v>
                </c:pt>
                <c:pt idx="6">
                  <c:v>6.0494123290957065</c:v>
                </c:pt>
                <c:pt idx="7">
                  <c:v>5.993346007604563</c:v>
                </c:pt>
                <c:pt idx="8">
                  <c:v>5.9383093948669652</c:v>
                </c:pt>
                <c:pt idx="9">
                  <c:v>5.8312138728323699</c:v>
                </c:pt>
                <c:pt idx="10">
                  <c:v>5.6610549943883273</c:v>
                </c:pt>
                <c:pt idx="11">
                  <c:v>5.4236559139784948</c:v>
                </c:pt>
                <c:pt idx="12">
                  <c:v>5.0039682539682548</c:v>
                </c:pt>
                <c:pt idx="13">
                  <c:v>4.7584905660377368</c:v>
                </c:pt>
                <c:pt idx="14">
                  <c:v>4.4323374340949035</c:v>
                </c:pt>
                <c:pt idx="15">
                  <c:v>4.238655462184874</c:v>
                </c:pt>
                <c:pt idx="16">
                  <c:v>3.9779179810725549</c:v>
                </c:pt>
                <c:pt idx="17">
                  <c:v>3.8212121212121217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A-4548-98EE-F080CEDCED31}"/>
            </c:ext>
          </c:extLst>
        </c:ser>
        <c:ser>
          <c:idx val="0"/>
          <c:order val="5"/>
          <c:tx>
            <c:v>gs = 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'Nonlinearity of Synaptic Gain'!$BE$2:$BE$19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2.5</c:v>
                </c:pt>
                <c:pt idx="10">
                  <c:v>3.5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15</c:v>
                </c:pt>
                <c:pt idx="16">
                  <c:v>18</c:v>
                </c:pt>
                <c:pt idx="17">
                  <c:v>20</c:v>
                </c:pt>
              </c:numCache>
            </c:numRef>
          </c:xVal>
          <c:yVal>
            <c:numRef>
              <c:f>'Nonlinearity of Synaptic Gain'!$BI$2:$BI$19</c:f>
              <c:numCache>
                <c:formatCode>0.00</c:formatCode>
                <c:ptCount val="18"/>
                <c:pt idx="0">
                  <c:v>4.8487878030492375</c:v>
                </c:pt>
                <c:pt idx="1">
                  <c:v>4.843945068664171</c:v>
                </c:pt>
                <c:pt idx="2">
                  <c:v>4.8379052369077318</c:v>
                </c:pt>
                <c:pt idx="3">
                  <c:v>4.8019801980198027</c:v>
                </c:pt>
                <c:pt idx="4">
                  <c:v>4.7665847665847663</c:v>
                </c:pt>
                <c:pt idx="5">
                  <c:v>4.7317073170731714</c:v>
                </c:pt>
                <c:pt idx="6">
                  <c:v>4.6973365617433425</c:v>
                </c:pt>
                <c:pt idx="7">
                  <c:v>4.6634615384615392</c:v>
                </c:pt>
                <c:pt idx="8">
                  <c:v>4.6300715990453458</c:v>
                </c:pt>
                <c:pt idx="9">
                  <c:v>4.5647058823529409</c:v>
                </c:pt>
                <c:pt idx="10">
                  <c:v>4.45977011494253</c:v>
                </c:pt>
                <c:pt idx="11">
                  <c:v>4.3111111111111118</c:v>
                </c:pt>
                <c:pt idx="12">
                  <c:v>4.041666666666667</c:v>
                </c:pt>
                <c:pt idx="13">
                  <c:v>3.88</c:v>
                </c:pt>
                <c:pt idx="14">
                  <c:v>3.6603773584905666</c:v>
                </c:pt>
                <c:pt idx="15">
                  <c:v>3.5272727272727269</c:v>
                </c:pt>
                <c:pt idx="16">
                  <c:v>3.3448275862068964</c:v>
                </c:pt>
                <c:pt idx="17">
                  <c:v>3.2333333333333334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8-4109-8652-270465F6B5EB}"/>
            </c:ext>
          </c:extLst>
        </c:ser>
        <c:ser>
          <c:idx val="4"/>
          <c:order val="6"/>
          <c:tx>
            <c:v>gs = 0.115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'Nonlinearity of Synaptic Gain'!$AC$2:$AC$19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2.5</c:v>
                </c:pt>
                <c:pt idx="10">
                  <c:v>3.5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15</c:v>
                </c:pt>
                <c:pt idx="16">
                  <c:v>18</c:v>
                </c:pt>
                <c:pt idx="17">
                  <c:v>20</c:v>
                </c:pt>
              </c:numCache>
            </c:numRef>
          </c:xVal>
          <c:yVal>
            <c:numRef>
              <c:f>'Nonlinearity of Synaptic Gain'!$AG$2:$AG$19</c:f>
              <c:numCache>
                <c:formatCode>0.00</c:formatCode>
                <c:ptCount val="18"/>
                <c:pt idx="0">
                  <c:v>1.1154358624379097</c:v>
                </c:pt>
                <c:pt idx="1">
                  <c:v>1.115179385926546</c:v>
                </c:pt>
                <c:pt idx="2">
                  <c:v>1.1148589561002422</c:v>
                </c:pt>
                <c:pt idx="3">
                  <c:v>1.112940237453856</c:v>
                </c:pt>
                <c:pt idx="4">
                  <c:v>1.1110281118498044</c:v>
                </c:pt>
                <c:pt idx="5">
                  <c:v>1.1091225453641562</c:v>
                </c:pt>
                <c:pt idx="6">
                  <c:v>1.1072235043053178</c:v>
                </c:pt>
                <c:pt idx="7">
                  <c:v>1.1053309552120489</c:v>
                </c:pt>
                <c:pt idx="8">
                  <c:v>1.1034448648514972</c:v>
                </c:pt>
                <c:pt idx="9">
                  <c:v>1.0996919285274183</c:v>
                </c:pt>
                <c:pt idx="10">
                  <c:v>1.0934934444308297</c:v>
                </c:pt>
                <c:pt idx="11">
                  <c:v>1.084325637910085</c:v>
                </c:pt>
                <c:pt idx="12">
                  <c:v>1.0664435946462714</c:v>
                </c:pt>
                <c:pt idx="13">
                  <c:v>1.0548463356973994</c:v>
                </c:pt>
                <c:pt idx="14">
                  <c:v>1.0379157943707837</c:v>
                </c:pt>
                <c:pt idx="15">
                  <c:v>1.0269275028768698</c:v>
                </c:pt>
                <c:pt idx="16">
                  <c:v>1.0108744902582694</c:v>
                </c:pt>
                <c:pt idx="17">
                  <c:v>1.0004484304932735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DA-4CF4-8F04-6FD2B91A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83184"/>
        <c:axId val="1925614656"/>
      </c:scatterChart>
      <c:valAx>
        <c:axId val="1892583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Input Amplitude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14656"/>
        <c:crosses val="autoZero"/>
        <c:crossBetween val="midCat"/>
      </c:valAx>
      <c:valAx>
        <c:axId val="192561465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8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54964862162049"/>
          <c:y val="0.13713139932398319"/>
          <c:w val="0.17149085632588607"/>
          <c:h val="0.3550397109452227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Synaptic Transmission Theoretical Gains</a:t>
            </a:r>
          </a:p>
        </c:rich>
      </c:tx>
      <c:layout>
        <c:manualLayout>
          <c:xMode val="edge"/>
          <c:yMode val="edge"/>
          <c:x val="0.12782260242161089"/>
          <c:y val="3.1406322371468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048528599503"/>
          <c:y val="0.13399153737658676"/>
          <c:w val="0.8286729350511447"/>
          <c:h val="0.73606388059038463"/>
        </c:manualLayout>
      </c:layout>
      <c:scatterChart>
        <c:scatterStyle val="lineMarker"/>
        <c:varyColors val="0"/>
        <c:ser>
          <c:idx val="6"/>
          <c:order val="0"/>
          <c:tx>
            <c:v>gs 2.2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'Nonlinearity of Synaptic Gain'!$AX$2:$AX$19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2.5</c:v>
                </c:pt>
                <c:pt idx="10">
                  <c:v>3.5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15</c:v>
                </c:pt>
                <c:pt idx="16">
                  <c:v>18</c:v>
                </c:pt>
                <c:pt idx="17">
                  <c:v>20</c:v>
                </c:pt>
              </c:numCache>
            </c:numRef>
          </c:xVal>
          <c:yVal>
            <c:numRef>
              <c:f>'Nonlinearity of Synaptic Gain'!$BB$2:$BB$19</c:f>
              <c:numCache>
                <c:formatCode>0.00</c:formatCode>
                <c:ptCount val="18"/>
                <c:pt idx="0">
                  <c:v>21.316551793027667</c:v>
                </c:pt>
                <c:pt idx="1">
                  <c:v>21.223272003978124</c:v>
                </c:pt>
                <c:pt idx="2">
                  <c:v>21.107814045499509</c:v>
                </c:pt>
                <c:pt idx="3">
                  <c:v>20.440613026819925</c:v>
                </c:pt>
                <c:pt idx="4">
                  <c:v>19.814298978644384</c:v>
                </c:pt>
                <c:pt idx="5">
                  <c:v>19.225225225225227</c:v>
                </c:pt>
                <c:pt idx="6">
                  <c:v>18.670166229221348</c:v>
                </c:pt>
                <c:pt idx="7">
                  <c:v>18.146258503401359</c:v>
                </c:pt>
                <c:pt idx="8">
                  <c:v>17.650951199338298</c:v>
                </c:pt>
                <c:pt idx="9">
                  <c:v>16.737254901960785</c:v>
                </c:pt>
                <c:pt idx="10">
                  <c:v>15.40794223826715</c:v>
                </c:pt>
                <c:pt idx="11">
                  <c:v>13.767741935483873</c:v>
                </c:pt>
                <c:pt idx="12">
                  <c:v>11.351063829787234</c:v>
                </c:pt>
                <c:pt idx="13">
                  <c:v>10.161904761904761</c:v>
                </c:pt>
                <c:pt idx="14">
                  <c:v>8.7818930041152257</c:v>
                </c:pt>
                <c:pt idx="15">
                  <c:v>8.0528301886792448</c:v>
                </c:pt>
                <c:pt idx="16">
                  <c:v>7.1610738255033555</c:v>
                </c:pt>
                <c:pt idx="17">
                  <c:v>6.6687500000000002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60-44DA-A258-4D99E21C3614}"/>
            </c:ext>
          </c:extLst>
        </c:ser>
        <c:ser>
          <c:idx val="5"/>
          <c:order val="1"/>
          <c:tx>
            <c:v>gs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'Nonlinearity of Synaptic Gain'!$AQ$2:$AQ$19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2.5</c:v>
                </c:pt>
                <c:pt idx="10">
                  <c:v>3.5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15</c:v>
                </c:pt>
                <c:pt idx="16">
                  <c:v>18</c:v>
                </c:pt>
                <c:pt idx="17">
                  <c:v>20</c:v>
                </c:pt>
              </c:numCache>
            </c:numRef>
          </c:xVal>
          <c:yVal>
            <c:numRef>
              <c:f>'Nonlinearity of Synaptic Gain'!$AU$2:$AU$19</c:f>
              <c:numCache>
                <c:formatCode>0.00</c:formatCode>
                <c:ptCount val="18"/>
                <c:pt idx="0">
                  <c:v>9.695152423788107</c:v>
                </c:pt>
                <c:pt idx="1">
                  <c:v>9.6758104738154636</c:v>
                </c:pt>
                <c:pt idx="2">
                  <c:v>9.651741293532341</c:v>
                </c:pt>
                <c:pt idx="3">
                  <c:v>9.5098039215686292</c:v>
                </c:pt>
                <c:pt idx="4">
                  <c:v>9.3719806763285032</c:v>
                </c:pt>
                <c:pt idx="5">
                  <c:v>9.238095238095239</c:v>
                </c:pt>
                <c:pt idx="6">
                  <c:v>9.1079812206572779</c:v>
                </c:pt>
                <c:pt idx="7">
                  <c:v>8.9814814814814827</c:v>
                </c:pt>
                <c:pt idx="8">
                  <c:v>8.8584474885844759</c:v>
                </c:pt>
                <c:pt idx="9">
                  <c:v>8.6222222222222236</c:v>
                </c:pt>
                <c:pt idx="10">
                  <c:v>8.2553191489361701</c:v>
                </c:pt>
                <c:pt idx="11">
                  <c:v>7.76</c:v>
                </c:pt>
                <c:pt idx="12">
                  <c:v>6.9285714285714297</c:v>
                </c:pt>
                <c:pt idx="13">
                  <c:v>6.4666666666666668</c:v>
                </c:pt>
                <c:pt idx="14">
                  <c:v>5.8787878787878798</c:v>
                </c:pt>
                <c:pt idx="15">
                  <c:v>5.5428571428571427</c:v>
                </c:pt>
                <c:pt idx="16">
                  <c:v>5.1052631578947363</c:v>
                </c:pt>
                <c:pt idx="17">
                  <c:v>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60-44DA-A258-4D99E21C3614}"/>
            </c:ext>
          </c:extLst>
        </c:ser>
        <c:ser>
          <c:idx val="2"/>
          <c:order val="2"/>
          <c:tx>
            <c:v>gs 0.65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'Nonlinearity of Synaptic Gain'!$AJ$2:$AJ$19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2.5</c:v>
                </c:pt>
                <c:pt idx="10">
                  <c:v>3.5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15</c:v>
                </c:pt>
                <c:pt idx="16">
                  <c:v>18</c:v>
                </c:pt>
                <c:pt idx="17">
                  <c:v>20</c:v>
                </c:pt>
              </c:numCache>
            </c:numRef>
          </c:xVal>
          <c:yVal>
            <c:numRef>
              <c:f>'Nonlinearity of Synaptic Gain'!$AN$2:$AN$19</c:f>
              <c:numCache>
                <c:formatCode>0.00</c:formatCode>
                <c:ptCount val="18"/>
                <c:pt idx="0">
                  <c:v>6.3029515407492571</c:v>
                </c:pt>
                <c:pt idx="1">
                  <c:v>6.2947709971296648</c:v>
                </c:pt>
                <c:pt idx="2">
                  <c:v>6.2845751308248197</c:v>
                </c:pt>
                <c:pt idx="3">
                  <c:v>6.2240868706811456</c:v>
                </c:pt>
                <c:pt idx="4">
                  <c:v>6.1647518944023467</c:v>
                </c:pt>
                <c:pt idx="5">
                  <c:v>6.1065375302663449</c:v>
                </c:pt>
                <c:pt idx="6">
                  <c:v>6.0494123290957065</c:v>
                </c:pt>
                <c:pt idx="7">
                  <c:v>5.993346007604563</c:v>
                </c:pt>
                <c:pt idx="8">
                  <c:v>5.9383093948669652</c:v>
                </c:pt>
                <c:pt idx="9">
                  <c:v>5.8312138728323699</c:v>
                </c:pt>
                <c:pt idx="10">
                  <c:v>5.6610549943883273</c:v>
                </c:pt>
                <c:pt idx="11">
                  <c:v>5.4236559139784948</c:v>
                </c:pt>
                <c:pt idx="12">
                  <c:v>5.0039682539682548</c:v>
                </c:pt>
                <c:pt idx="13">
                  <c:v>4.7584905660377368</c:v>
                </c:pt>
                <c:pt idx="14">
                  <c:v>4.4323374340949035</c:v>
                </c:pt>
                <c:pt idx="15">
                  <c:v>4.238655462184874</c:v>
                </c:pt>
                <c:pt idx="16">
                  <c:v>3.9779179810725549</c:v>
                </c:pt>
                <c:pt idx="17">
                  <c:v>3.8212121212121217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7-4FA1-BFA0-44138D09C165}"/>
            </c:ext>
          </c:extLst>
        </c:ser>
        <c:ser>
          <c:idx val="0"/>
          <c:order val="3"/>
          <c:tx>
            <c:v>gs 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'Nonlinearity of Synaptic Gain'!$BE$2:$BE$19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2.5</c:v>
                </c:pt>
                <c:pt idx="10">
                  <c:v>3.5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15</c:v>
                </c:pt>
                <c:pt idx="16">
                  <c:v>18</c:v>
                </c:pt>
                <c:pt idx="17">
                  <c:v>20</c:v>
                </c:pt>
              </c:numCache>
            </c:numRef>
          </c:xVal>
          <c:yVal>
            <c:numRef>
              <c:f>'Nonlinearity of Synaptic Gain'!$BI$2:$BI$19</c:f>
              <c:numCache>
                <c:formatCode>0.00</c:formatCode>
                <c:ptCount val="18"/>
                <c:pt idx="0">
                  <c:v>4.8487878030492375</c:v>
                </c:pt>
                <c:pt idx="1">
                  <c:v>4.843945068664171</c:v>
                </c:pt>
                <c:pt idx="2">
                  <c:v>4.8379052369077318</c:v>
                </c:pt>
                <c:pt idx="3">
                  <c:v>4.8019801980198027</c:v>
                </c:pt>
                <c:pt idx="4">
                  <c:v>4.7665847665847663</c:v>
                </c:pt>
                <c:pt idx="5">
                  <c:v>4.7317073170731714</c:v>
                </c:pt>
                <c:pt idx="6">
                  <c:v>4.6973365617433425</c:v>
                </c:pt>
                <c:pt idx="7">
                  <c:v>4.6634615384615392</c:v>
                </c:pt>
                <c:pt idx="8">
                  <c:v>4.6300715990453458</c:v>
                </c:pt>
                <c:pt idx="9">
                  <c:v>4.5647058823529409</c:v>
                </c:pt>
                <c:pt idx="10">
                  <c:v>4.45977011494253</c:v>
                </c:pt>
                <c:pt idx="11">
                  <c:v>4.3111111111111118</c:v>
                </c:pt>
                <c:pt idx="12">
                  <c:v>4.041666666666667</c:v>
                </c:pt>
                <c:pt idx="13">
                  <c:v>3.88</c:v>
                </c:pt>
                <c:pt idx="14">
                  <c:v>3.6603773584905666</c:v>
                </c:pt>
                <c:pt idx="15">
                  <c:v>3.5272727272727269</c:v>
                </c:pt>
                <c:pt idx="16">
                  <c:v>3.3448275862068964</c:v>
                </c:pt>
                <c:pt idx="17">
                  <c:v>3.2333333333333334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60-44DA-A258-4D99E21C3614}"/>
            </c:ext>
          </c:extLst>
        </c:ser>
        <c:ser>
          <c:idx val="4"/>
          <c:order val="4"/>
          <c:tx>
            <c:v>gs 0.115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'Nonlinearity of Synaptic Gain'!$AC$2:$AC$19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2.5</c:v>
                </c:pt>
                <c:pt idx="10">
                  <c:v>3.5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15</c:v>
                </c:pt>
                <c:pt idx="16">
                  <c:v>18</c:v>
                </c:pt>
                <c:pt idx="17">
                  <c:v>20</c:v>
                </c:pt>
              </c:numCache>
            </c:numRef>
          </c:xVal>
          <c:yVal>
            <c:numRef>
              <c:f>'Nonlinearity of Synaptic Gain'!$AG$2:$AG$19</c:f>
              <c:numCache>
                <c:formatCode>0.00</c:formatCode>
                <c:ptCount val="18"/>
                <c:pt idx="0">
                  <c:v>1.1154358624379097</c:v>
                </c:pt>
                <c:pt idx="1">
                  <c:v>1.115179385926546</c:v>
                </c:pt>
                <c:pt idx="2">
                  <c:v>1.1148589561002422</c:v>
                </c:pt>
                <c:pt idx="3">
                  <c:v>1.112940237453856</c:v>
                </c:pt>
                <c:pt idx="4">
                  <c:v>1.1110281118498044</c:v>
                </c:pt>
                <c:pt idx="5">
                  <c:v>1.1091225453641562</c:v>
                </c:pt>
                <c:pt idx="6">
                  <c:v>1.1072235043053178</c:v>
                </c:pt>
                <c:pt idx="7">
                  <c:v>1.1053309552120489</c:v>
                </c:pt>
                <c:pt idx="8">
                  <c:v>1.1034448648514972</c:v>
                </c:pt>
                <c:pt idx="9">
                  <c:v>1.0996919285274183</c:v>
                </c:pt>
                <c:pt idx="10">
                  <c:v>1.0934934444308297</c:v>
                </c:pt>
                <c:pt idx="11">
                  <c:v>1.084325637910085</c:v>
                </c:pt>
                <c:pt idx="12">
                  <c:v>1.0664435946462714</c:v>
                </c:pt>
                <c:pt idx="13">
                  <c:v>1.0548463356973994</c:v>
                </c:pt>
                <c:pt idx="14">
                  <c:v>1.0379157943707837</c:v>
                </c:pt>
                <c:pt idx="15">
                  <c:v>1.0269275028768698</c:v>
                </c:pt>
                <c:pt idx="16">
                  <c:v>1.0108744902582694</c:v>
                </c:pt>
                <c:pt idx="17">
                  <c:v>1.0004484304932735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60-44DA-A258-4D99E21C3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83184"/>
        <c:axId val="1925614656"/>
      </c:scatterChart>
      <c:valAx>
        <c:axId val="1892583184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Input Amplitude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14656"/>
        <c:crosses val="autoZero"/>
        <c:crossBetween val="midCat"/>
      </c:valAx>
      <c:valAx>
        <c:axId val="19256146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8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45632458156582"/>
          <c:y val="0.14139189632545932"/>
          <c:w val="0.25107109130638317"/>
          <c:h val="0.394884312537855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Output vs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6086782589676290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gs = 85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'Nonlinearity of Synaptic Gain'!$B$2:$B$27</c:f>
              <c:numCache>
                <c:formatCode>General</c:formatCode>
                <c:ptCount val="26"/>
                <c:pt idx="0">
                  <c:v>0.01</c:v>
                </c:pt>
                <c:pt idx="1">
                  <c:v>1.4999999999999999E-2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  <c:pt idx="12">
                  <c:v>1.2</c:v>
                </c:pt>
                <c:pt idx="13">
                  <c:v>1.4</c:v>
                </c:pt>
                <c:pt idx="14">
                  <c:v>1.6</c:v>
                </c:pt>
                <c:pt idx="15">
                  <c:v>1.8</c:v>
                </c:pt>
                <c:pt idx="16">
                  <c:v>2</c:v>
                </c:pt>
                <c:pt idx="17">
                  <c:v>2.5</c:v>
                </c:pt>
                <c:pt idx="18">
                  <c:v>3.5</c:v>
                </c:pt>
                <c:pt idx="19">
                  <c:v>5</c:v>
                </c:pt>
                <c:pt idx="20">
                  <c:v>8</c:v>
                </c:pt>
                <c:pt idx="21">
                  <c:v>10</c:v>
                </c:pt>
                <c:pt idx="22">
                  <c:v>13</c:v>
                </c:pt>
                <c:pt idx="23">
                  <c:v>15</c:v>
                </c:pt>
                <c:pt idx="24">
                  <c:v>18</c:v>
                </c:pt>
                <c:pt idx="25">
                  <c:v>20</c:v>
                </c:pt>
              </c:numCache>
            </c:numRef>
          </c:xVal>
          <c:yVal>
            <c:numRef>
              <c:f>'Nonlinearity of Synaptic Gain'!$E$2:$E$18</c:f>
              <c:numCache>
                <c:formatCode>0.00</c:formatCode>
                <c:ptCount val="17"/>
                <c:pt idx="0">
                  <c:v>7.9088729016786585</c:v>
                </c:pt>
                <c:pt idx="1">
                  <c:v>11.626321974148061</c:v>
                </c:pt>
                <c:pt idx="2">
                  <c:v>34.000000000000007</c:v>
                </c:pt>
                <c:pt idx="3">
                  <c:v>57.859649122807021</c:v>
                </c:pt>
                <c:pt idx="4">
                  <c:v>89.13513513513513</c:v>
                </c:pt>
                <c:pt idx="5">
                  <c:v>108.72527472527473</c:v>
                </c:pt>
                <c:pt idx="6">
                  <c:v>122.14814814814814</c:v>
                </c:pt>
                <c:pt idx="7">
                  <c:v>131.91999999999999</c:v>
                </c:pt>
                <c:pt idx="8">
                  <c:v>139.35211267605635</c:v>
                </c:pt>
                <c:pt idx="9">
                  <c:v>145.19496855345912</c:v>
                </c:pt>
                <c:pt idx="10">
                  <c:v>149.90909090909091</c:v>
                </c:pt>
                <c:pt idx="11">
                  <c:v>157.04761904761904</c:v>
                </c:pt>
                <c:pt idx="12">
                  <c:v>162.19672131147541</c:v>
                </c:pt>
                <c:pt idx="13">
                  <c:v>166.08633093525182</c:v>
                </c:pt>
                <c:pt idx="14">
                  <c:v>169.12820512820511</c:v>
                </c:pt>
                <c:pt idx="15">
                  <c:v>171.57225433526011</c:v>
                </c:pt>
                <c:pt idx="16">
                  <c:v>173.57894736842104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44-475C-8B2E-F8471E6C3A3C}"/>
            </c:ext>
          </c:extLst>
        </c:ser>
        <c:ser>
          <c:idx val="1"/>
          <c:order val="1"/>
          <c:tx>
            <c:v>gs =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'Nonlinearity of Synaptic Gain'!$B$2:$B$27</c:f>
              <c:numCache>
                <c:formatCode>General</c:formatCode>
                <c:ptCount val="26"/>
                <c:pt idx="0">
                  <c:v>0.01</c:v>
                </c:pt>
                <c:pt idx="1">
                  <c:v>1.4999999999999999E-2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  <c:pt idx="12">
                  <c:v>1.2</c:v>
                </c:pt>
                <c:pt idx="13">
                  <c:v>1.4</c:v>
                </c:pt>
                <c:pt idx="14">
                  <c:v>1.6</c:v>
                </c:pt>
                <c:pt idx="15">
                  <c:v>1.8</c:v>
                </c:pt>
                <c:pt idx="16">
                  <c:v>2</c:v>
                </c:pt>
                <c:pt idx="17">
                  <c:v>2.5</c:v>
                </c:pt>
                <c:pt idx="18">
                  <c:v>3.5</c:v>
                </c:pt>
                <c:pt idx="19">
                  <c:v>5</c:v>
                </c:pt>
                <c:pt idx="20">
                  <c:v>8</c:v>
                </c:pt>
                <c:pt idx="21">
                  <c:v>10</c:v>
                </c:pt>
                <c:pt idx="22">
                  <c:v>13</c:v>
                </c:pt>
                <c:pt idx="23">
                  <c:v>15</c:v>
                </c:pt>
                <c:pt idx="24">
                  <c:v>18</c:v>
                </c:pt>
                <c:pt idx="25">
                  <c:v>20</c:v>
                </c:pt>
              </c:numCache>
            </c:numRef>
          </c:xVal>
          <c:yVal>
            <c:numRef>
              <c:f>'Nonlinearity of Synaptic Gain'!$K$2:$K$27</c:f>
              <c:numCache>
                <c:formatCode>0.00</c:formatCode>
                <c:ptCount val="26"/>
                <c:pt idx="0">
                  <c:v>0.96517412935323388</c:v>
                </c:pt>
                <c:pt idx="1">
                  <c:v>1.444168734491315</c:v>
                </c:pt>
                <c:pt idx="2">
                  <c:v>4.7317073170731714</c:v>
                </c:pt>
                <c:pt idx="3">
                  <c:v>9.238095238095239</c:v>
                </c:pt>
                <c:pt idx="4">
                  <c:v>17.636363636363637</c:v>
                </c:pt>
                <c:pt idx="5">
                  <c:v>25.304347826086957</c:v>
                </c:pt>
                <c:pt idx="6">
                  <c:v>32.333333333333336</c:v>
                </c:pt>
                <c:pt idx="7">
                  <c:v>38.799999999999997</c:v>
                </c:pt>
                <c:pt idx="8">
                  <c:v>44.769230769230766</c:v>
                </c:pt>
                <c:pt idx="9">
                  <c:v>50.296296296296283</c:v>
                </c:pt>
                <c:pt idx="10">
                  <c:v>55.428571428571438</c:v>
                </c:pt>
                <c:pt idx="11">
                  <c:v>64.666666666666671</c:v>
                </c:pt>
                <c:pt idx="12">
                  <c:v>72.749999999999986</c:v>
                </c:pt>
                <c:pt idx="13">
                  <c:v>79.882352941176464</c:v>
                </c:pt>
                <c:pt idx="14">
                  <c:v>86.222222222222229</c:v>
                </c:pt>
                <c:pt idx="15">
                  <c:v>91.89473684210526</c:v>
                </c:pt>
                <c:pt idx="16">
                  <c:v>97</c:v>
                </c:pt>
                <c:pt idx="17">
                  <c:v>107.77777777777777</c:v>
                </c:pt>
                <c:pt idx="18">
                  <c:v>123.45454545454545</c:v>
                </c:pt>
                <c:pt idx="19">
                  <c:v>138.57142857142858</c:v>
                </c:pt>
                <c:pt idx="20">
                  <c:v>155.19999999999999</c:v>
                </c:pt>
                <c:pt idx="21">
                  <c:v>161.66666666666666</c:v>
                </c:pt>
                <c:pt idx="22">
                  <c:v>168.13333333333333</c:v>
                </c:pt>
                <c:pt idx="23">
                  <c:v>171.1764705882353</c:v>
                </c:pt>
                <c:pt idx="24">
                  <c:v>174.6</c:v>
                </c:pt>
                <c:pt idx="25">
                  <c:v>176.36363636363637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44-475C-8B2E-F8471E6C3A3C}"/>
            </c:ext>
          </c:extLst>
        </c:ser>
        <c:ser>
          <c:idx val="2"/>
          <c:order val="2"/>
          <c:tx>
            <c:v>gs =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'Nonlinearity of Synaptic Gain'!$O$2:$O$19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2.5</c:v>
                </c:pt>
                <c:pt idx="10">
                  <c:v>3.5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15</c:v>
                </c:pt>
                <c:pt idx="16">
                  <c:v>18</c:v>
                </c:pt>
                <c:pt idx="17">
                  <c:v>20</c:v>
                </c:pt>
              </c:numCache>
            </c:numRef>
          </c:xVal>
          <c:yVal>
            <c:numRef>
              <c:f>'Nonlinearity of Synaptic Gain'!$R$2:$R$19</c:f>
              <c:numCache>
                <c:formatCode>0.00</c:formatCode>
                <c:ptCount val="18"/>
                <c:pt idx="0">
                  <c:v>1.9207920792079207</c:v>
                </c:pt>
                <c:pt idx="1">
                  <c:v>9.238095238095239</c:v>
                </c:pt>
                <c:pt idx="2">
                  <c:v>17.636363636363637</c:v>
                </c:pt>
                <c:pt idx="3">
                  <c:v>55.428571428571438</c:v>
                </c:pt>
                <c:pt idx="4">
                  <c:v>79.882352941176464</c:v>
                </c:pt>
                <c:pt idx="5">
                  <c:v>97</c:v>
                </c:pt>
                <c:pt idx="6">
                  <c:v>109.6521739130435</c:v>
                </c:pt>
                <c:pt idx="7">
                  <c:v>119.38461538461539</c:v>
                </c:pt>
                <c:pt idx="8">
                  <c:v>127.10344827586206</c:v>
                </c:pt>
                <c:pt idx="9">
                  <c:v>138.57142857142858</c:v>
                </c:pt>
                <c:pt idx="10">
                  <c:v>150.88888888888889</c:v>
                </c:pt>
                <c:pt idx="11">
                  <c:v>161.66666666666666</c:v>
                </c:pt>
                <c:pt idx="12">
                  <c:v>172.44444444444446</c:v>
                </c:pt>
                <c:pt idx="13">
                  <c:v>176.36363636363637</c:v>
                </c:pt>
                <c:pt idx="14">
                  <c:v>180.14285714285714</c:v>
                </c:pt>
                <c:pt idx="15">
                  <c:v>181.875</c:v>
                </c:pt>
                <c:pt idx="16">
                  <c:v>183.78947368421052</c:v>
                </c:pt>
                <c:pt idx="17">
                  <c:v>184.76190476190476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44-475C-8B2E-F8471E6C3A3C}"/>
            </c:ext>
          </c:extLst>
        </c:ser>
        <c:ser>
          <c:idx val="3"/>
          <c:order val="3"/>
          <c:tx>
            <c:v>gs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'Nonlinearity of Synaptic Gain'!$V$2:$V$19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2.5</c:v>
                </c:pt>
                <c:pt idx="10">
                  <c:v>3.5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15</c:v>
                </c:pt>
                <c:pt idx="16">
                  <c:v>18</c:v>
                </c:pt>
                <c:pt idx="17">
                  <c:v>20</c:v>
                </c:pt>
              </c:numCache>
            </c:numRef>
          </c:xVal>
          <c:yVal>
            <c:numRef>
              <c:f>'Nonlinearity of Synaptic Gain'!$Y$2:$Y$19</c:f>
              <c:numCache>
                <c:formatCode>0.00</c:formatCode>
                <c:ptCount val="18"/>
                <c:pt idx="0">
                  <c:v>0.48379052369077308</c:v>
                </c:pt>
                <c:pt idx="1">
                  <c:v>2.3950617283950622</c:v>
                </c:pt>
                <c:pt idx="2">
                  <c:v>4.7317073170731714</c:v>
                </c:pt>
                <c:pt idx="3">
                  <c:v>17.636363636363637</c:v>
                </c:pt>
                <c:pt idx="4">
                  <c:v>28.89361702127659</c:v>
                </c:pt>
                <c:pt idx="5">
                  <c:v>38.799999999999997</c:v>
                </c:pt>
                <c:pt idx="6">
                  <c:v>47.584905660377366</c:v>
                </c:pt>
                <c:pt idx="7">
                  <c:v>55.428571428571438</c:v>
                </c:pt>
                <c:pt idx="8">
                  <c:v>62.474576271186429</c:v>
                </c:pt>
                <c:pt idx="9">
                  <c:v>74.615384615384613</c:v>
                </c:pt>
                <c:pt idx="10">
                  <c:v>90.533333333333331</c:v>
                </c:pt>
                <c:pt idx="11">
                  <c:v>107.77777777777777</c:v>
                </c:pt>
                <c:pt idx="12">
                  <c:v>129.33333333333334</c:v>
                </c:pt>
                <c:pt idx="13">
                  <c:v>138.57142857142858</c:v>
                </c:pt>
                <c:pt idx="14">
                  <c:v>148.35294117647058</c:v>
                </c:pt>
                <c:pt idx="15">
                  <c:v>153.15789473684211</c:v>
                </c:pt>
                <c:pt idx="16">
                  <c:v>158.72727272727272</c:v>
                </c:pt>
                <c:pt idx="17">
                  <c:v>161.66666666666666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44-475C-8B2E-F8471E6C3A3C}"/>
            </c:ext>
          </c:extLst>
        </c:ser>
        <c:ser>
          <c:idx val="4"/>
          <c:order val="4"/>
          <c:tx>
            <c:v>gs = 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'Nonlinearity of Synaptic Gain'!$AC$2:$AC$19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2.5</c:v>
                </c:pt>
                <c:pt idx="10">
                  <c:v>3.5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15</c:v>
                </c:pt>
                <c:pt idx="16">
                  <c:v>18</c:v>
                </c:pt>
                <c:pt idx="17">
                  <c:v>20</c:v>
                </c:pt>
              </c:numCache>
            </c:numRef>
          </c:xVal>
          <c:yVal>
            <c:numRef>
              <c:f>'Nonlinearity of Synaptic Gain'!$AF$2:$AF$19</c:f>
            </c:numRef>
          </c:yVal>
          <c:smooth val="0"/>
          <c:extLst>
            <c:ext xmlns:c16="http://schemas.microsoft.com/office/drawing/2014/chart" uri="{C3380CC4-5D6E-409C-BE32-E72D297353CC}">
              <c16:uniqueId val="{00000006-4644-475C-8B2E-F8471E6C3A3C}"/>
            </c:ext>
          </c:extLst>
        </c:ser>
        <c:ser>
          <c:idx val="5"/>
          <c:order val="5"/>
          <c:tx>
            <c:v>gs =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'Nonlinearity of Synaptic Gain'!$AQ$2:$AQ$19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2.5</c:v>
                </c:pt>
                <c:pt idx="10">
                  <c:v>3.5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15</c:v>
                </c:pt>
                <c:pt idx="16">
                  <c:v>18</c:v>
                </c:pt>
                <c:pt idx="17">
                  <c:v>20</c:v>
                </c:pt>
              </c:numCache>
            </c:numRef>
          </c:xVal>
          <c:yVal>
            <c:numRef>
              <c:f>'Nonlinearity of Synaptic Gain'!$AT$2:$AT$19</c:f>
              <c:numCache>
                <c:formatCode>0.00</c:formatCode>
                <c:ptCount val="18"/>
                <c:pt idx="0">
                  <c:v>9.6951524237881073E-2</c:v>
                </c:pt>
                <c:pt idx="1">
                  <c:v>0.48379052369077319</c:v>
                </c:pt>
                <c:pt idx="2">
                  <c:v>0.9651741293532341</c:v>
                </c:pt>
                <c:pt idx="3">
                  <c:v>3.8039215686274517</c:v>
                </c:pt>
                <c:pt idx="4">
                  <c:v>6.5603864734299515</c:v>
                </c:pt>
                <c:pt idx="5">
                  <c:v>9.238095238095239</c:v>
                </c:pt>
                <c:pt idx="6">
                  <c:v>11.840375586854462</c:v>
                </c:pt>
                <c:pt idx="7">
                  <c:v>14.370370370370372</c:v>
                </c:pt>
                <c:pt idx="8">
                  <c:v>16.831050228310502</c:v>
                </c:pt>
                <c:pt idx="9">
                  <c:v>21.555555555555557</c:v>
                </c:pt>
                <c:pt idx="10">
                  <c:v>28.893617021276597</c:v>
                </c:pt>
                <c:pt idx="11">
                  <c:v>38.799999999999997</c:v>
                </c:pt>
                <c:pt idx="12">
                  <c:v>55.428571428571438</c:v>
                </c:pt>
                <c:pt idx="13">
                  <c:v>64.666666666666671</c:v>
                </c:pt>
                <c:pt idx="14">
                  <c:v>76.424242424242436</c:v>
                </c:pt>
                <c:pt idx="15">
                  <c:v>83.142857142857139</c:v>
                </c:pt>
                <c:pt idx="16">
                  <c:v>91.89473684210526</c:v>
                </c:pt>
                <c:pt idx="17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44-475C-8B2E-F8471E6C3A3C}"/>
            </c:ext>
          </c:extLst>
        </c:ser>
        <c:ser>
          <c:idx val="6"/>
          <c:order val="6"/>
          <c:tx>
            <c:v>gs = 2.2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'Nonlinearity of Synaptic Gain'!$AX$2:$AX$19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2.5</c:v>
                </c:pt>
                <c:pt idx="10">
                  <c:v>3.5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15</c:v>
                </c:pt>
                <c:pt idx="16">
                  <c:v>18</c:v>
                </c:pt>
                <c:pt idx="17">
                  <c:v>20</c:v>
                </c:pt>
              </c:numCache>
            </c:numRef>
          </c:xVal>
          <c:yVal>
            <c:numRef>
              <c:f>'Nonlinearity of Synaptic Gain'!$BA$2:$BA$19</c:f>
              <c:numCache>
                <c:formatCode>0.00</c:formatCode>
                <c:ptCount val="18"/>
                <c:pt idx="0">
                  <c:v>0.21316551793027669</c:v>
                </c:pt>
                <c:pt idx="1">
                  <c:v>1.0611636001989062</c:v>
                </c:pt>
                <c:pt idx="2">
                  <c:v>2.1107814045499511</c:v>
                </c:pt>
                <c:pt idx="3">
                  <c:v>8.1762452107279699</c:v>
                </c:pt>
                <c:pt idx="4">
                  <c:v>13.870009285051069</c:v>
                </c:pt>
                <c:pt idx="5">
                  <c:v>19.225225225225227</c:v>
                </c:pt>
                <c:pt idx="6">
                  <c:v>24.271216097987754</c:v>
                </c:pt>
                <c:pt idx="7">
                  <c:v>29.034013605442176</c:v>
                </c:pt>
                <c:pt idx="8">
                  <c:v>33.536807278742764</c:v>
                </c:pt>
                <c:pt idx="9">
                  <c:v>41.843137254901961</c:v>
                </c:pt>
                <c:pt idx="10">
                  <c:v>53.927797833935024</c:v>
                </c:pt>
                <c:pt idx="11">
                  <c:v>68.838709677419359</c:v>
                </c:pt>
                <c:pt idx="12">
                  <c:v>90.808510638297875</c:v>
                </c:pt>
                <c:pt idx="13">
                  <c:v>101.61904761904762</c:v>
                </c:pt>
                <c:pt idx="14">
                  <c:v>114.16460905349794</c:v>
                </c:pt>
                <c:pt idx="15">
                  <c:v>120.79245283018867</c:v>
                </c:pt>
                <c:pt idx="16">
                  <c:v>128.8993288590604</c:v>
                </c:pt>
                <c:pt idx="17">
                  <c:v>133.375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44-475C-8B2E-F8471E6C3A3C}"/>
            </c:ext>
          </c:extLst>
        </c:ser>
        <c:ser>
          <c:idx val="7"/>
          <c:order val="7"/>
          <c:tx>
            <c:v>gs = 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'Nonlinearity of Synaptic Gain'!$BE$2:$BE$19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2.5</c:v>
                </c:pt>
                <c:pt idx="10">
                  <c:v>3.5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15</c:v>
                </c:pt>
                <c:pt idx="16">
                  <c:v>18</c:v>
                </c:pt>
                <c:pt idx="17">
                  <c:v>20</c:v>
                </c:pt>
              </c:numCache>
            </c:numRef>
          </c:xVal>
          <c:yVal>
            <c:numRef>
              <c:f>'Nonlinearity of Synaptic Gain'!$BH$2:$BH$19</c:f>
              <c:numCache>
                <c:formatCode>0.00</c:formatCode>
                <c:ptCount val="18"/>
                <c:pt idx="0">
                  <c:v>4.8487878030492378E-2</c:v>
                </c:pt>
                <c:pt idx="1">
                  <c:v>0.24219725343320855</c:v>
                </c:pt>
                <c:pt idx="2">
                  <c:v>0.48379052369077319</c:v>
                </c:pt>
                <c:pt idx="3">
                  <c:v>1.9207920792079212</c:v>
                </c:pt>
                <c:pt idx="4">
                  <c:v>3.3366093366093361</c:v>
                </c:pt>
                <c:pt idx="5">
                  <c:v>4.7317073170731714</c:v>
                </c:pt>
                <c:pt idx="6">
                  <c:v>6.1065375302663449</c:v>
                </c:pt>
                <c:pt idx="7">
                  <c:v>7.4615384615384626</c:v>
                </c:pt>
                <c:pt idx="8">
                  <c:v>8.7971360381861565</c:v>
                </c:pt>
                <c:pt idx="9">
                  <c:v>11.411764705882353</c:v>
                </c:pt>
                <c:pt idx="10">
                  <c:v>15.609195402298853</c:v>
                </c:pt>
                <c:pt idx="11">
                  <c:v>21.555555555555557</c:v>
                </c:pt>
                <c:pt idx="12">
                  <c:v>32.333333333333336</c:v>
                </c:pt>
                <c:pt idx="13">
                  <c:v>38.799999999999997</c:v>
                </c:pt>
                <c:pt idx="14">
                  <c:v>47.584905660377366</c:v>
                </c:pt>
                <c:pt idx="15">
                  <c:v>52.909090909090907</c:v>
                </c:pt>
                <c:pt idx="16">
                  <c:v>60.206896551724135</c:v>
                </c:pt>
                <c:pt idx="17">
                  <c:v>64.666666666666671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644-475C-8B2E-F8471E6C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89488"/>
        <c:axId val="2131187504"/>
      </c:scatterChart>
      <c:valAx>
        <c:axId val="18108948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87504"/>
        <c:crosses val="autoZero"/>
        <c:crossBetween val="midCat"/>
      </c:valAx>
      <c:valAx>
        <c:axId val="21311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8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82874015748028"/>
          <c:y val="0.12752077865266842"/>
          <c:w val="0.19050459317585303"/>
          <c:h val="0.7453747448235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194310</xdr:colOff>
      <xdr:row>3</xdr:row>
      <xdr:rowOff>38100</xdr:rowOff>
    </xdr:from>
    <xdr:to>
      <xdr:col>16</xdr:col>
      <xdr:colOff>499110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C263E-19FC-4ECF-B25A-1C9343129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474903</xdr:colOff>
      <xdr:row>45</xdr:row>
      <xdr:rowOff>73734</xdr:rowOff>
    </xdr:from>
    <xdr:to>
      <xdr:col>15</xdr:col>
      <xdr:colOff>548640</xdr:colOff>
      <xdr:row>60</xdr:row>
      <xdr:rowOff>144067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DE62BF-AA99-4913-88D6-43E3929A0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6163" y="9034854"/>
          <a:ext cx="3121737" cy="3179293"/>
        </a:xfrm>
        <a:prstGeom prst="rect">
          <a:avLst/>
        </a:prstGeom>
      </xdr:spPr>
    </xdr:pic>
    <xdr:clientData/>
  </xdr:twoCellAnchor>
  <xdr:twoCellAnchor>
    <xdr:from>
      <xdr:col>16</xdr:col>
      <xdr:colOff>365760</xdr:colOff>
      <xdr:row>19</xdr:row>
      <xdr:rowOff>159173</xdr:rowOff>
    </xdr:from>
    <xdr:to>
      <xdr:col>24</xdr:col>
      <xdr:colOff>397933</xdr:colOff>
      <xdr:row>42</xdr:row>
      <xdr:rowOff>8467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73764A-6523-4080-9284-70D9CCD4D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182033</xdr:colOff>
      <xdr:row>20</xdr:row>
      <xdr:rowOff>128693</xdr:rowOff>
    </xdr:from>
    <xdr:to>
      <xdr:col>16</xdr:col>
      <xdr:colOff>188807</xdr:colOff>
      <xdr:row>44</xdr:row>
      <xdr:rowOff>97367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07A7AE-6C5E-4172-90BC-FE9CA4315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155787</xdr:colOff>
      <xdr:row>29</xdr:row>
      <xdr:rowOff>19049</xdr:rowOff>
    </xdr:from>
    <xdr:to>
      <xdr:col>15</xdr:col>
      <xdr:colOff>468207</xdr:colOff>
      <xdr:row>47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872CF-C9A6-48C6-B204-89246F0AB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318346</xdr:colOff>
      <xdr:row>28</xdr:row>
      <xdr:rowOff>99060</xdr:rowOff>
    </xdr:from>
    <xdr:to>
      <xdr:col>26</xdr:col>
      <xdr:colOff>560493</xdr:colOff>
      <xdr:row>51</xdr:row>
      <xdr:rowOff>139701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719DE-C926-4EAB-BE0B-E0F3DDEDB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191347</xdr:colOff>
      <xdr:row>21</xdr:row>
      <xdr:rowOff>153247</xdr:rowOff>
    </xdr:from>
    <xdr:to>
      <xdr:col>19</xdr:col>
      <xdr:colOff>90593</xdr:colOff>
      <xdr:row>51</xdr:row>
      <xdr:rowOff>66887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0ACB89-958A-432D-8525-BF5E81DB8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67733</xdr:colOff>
      <xdr:row>19</xdr:row>
      <xdr:rowOff>174413</xdr:rowOff>
    </xdr:from>
    <xdr:to>
      <xdr:col>33</xdr:col>
      <xdr:colOff>168487</xdr:colOff>
      <xdr:row>48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D361A7-5849-46A4-8A28-EC37FB744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410633</xdr:colOff>
      <xdr:row>24</xdr:row>
      <xdr:rowOff>160020</xdr:rowOff>
    </xdr:from>
    <xdr:to>
      <xdr:col>39</xdr:col>
      <xdr:colOff>455507</xdr:colOff>
      <xdr:row>47</xdr:row>
      <xdr:rowOff>98213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4BB32A-B576-4F80-8C5C-9762AF941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253575</xdr:colOff>
      <xdr:row>21</xdr:row>
      <xdr:rowOff>81704</xdr:rowOff>
    </xdr:from>
    <xdr:to>
      <xdr:col>7</xdr:col>
      <xdr:colOff>154515</xdr:colOff>
      <xdr:row>36</xdr:row>
      <xdr:rowOff>96944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F3E28-F19A-4F13-A058-AFC66D0E2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0</xdr:row>
      <xdr:rowOff>83820</xdr:rowOff>
    </xdr:from>
    <xdr:to>
      <xdr:col>21</xdr:col>
      <xdr:colOff>220980</xdr:colOff>
      <xdr:row>16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9DE70A-992D-40DA-AE40-FF9ACE30A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23</xdr:row>
      <xdr:rowOff>19050</xdr:rowOff>
    </xdr:from>
    <xdr:to>
      <xdr:col>18</xdr:col>
      <xdr:colOff>111761</xdr:colOff>
      <xdr:row>42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2A7D0-B1CC-4097-A2A8-0FB080751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609599</xdr:colOff>
      <xdr:row>22</xdr:row>
      <xdr:rowOff>167640</xdr:rowOff>
    </xdr:from>
    <xdr:to>
      <xdr:col>25</xdr:col>
      <xdr:colOff>373380</xdr:colOff>
      <xdr:row>47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4E0AA-CB89-4E20-A472-338194197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434340</xdr:colOff>
      <xdr:row>35</xdr:row>
      <xdr:rowOff>3810</xdr:rowOff>
    </xdr:from>
    <xdr:to>
      <xdr:col>9</xdr:col>
      <xdr:colOff>304800</xdr:colOff>
      <xdr:row>51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95A607-E335-4484-84F2-42511528E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20</xdr:row>
      <xdr:rowOff>64770</xdr:rowOff>
    </xdr:from>
    <xdr:to>
      <xdr:col>16</xdr:col>
      <xdr:colOff>449580</xdr:colOff>
      <xdr:row>45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648B15-96CC-4456-A5E1-AF4F6BDF1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228600</xdr:colOff>
      <xdr:row>21</xdr:row>
      <xdr:rowOff>22860</xdr:rowOff>
    </xdr:from>
    <xdr:to>
      <xdr:col>28</xdr:col>
      <xdr:colOff>167640</xdr:colOff>
      <xdr:row>44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852D4A-48BB-4263-A6FA-46D732BE1B49}"/>
            </a:ext>
          </a:extLst>
        </xdr:cNvPr>
        <xdr:cNvSpPr txBox="1"/>
      </xdr:nvSpPr>
      <xdr:spPr>
        <a:xfrm>
          <a:off x="12115800" y="3863340"/>
          <a:ext cx="6035040" cy="4351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network is tuned to a specific situation  </a:t>
          </a:r>
        </a:p>
        <a:p>
          <a:endParaRPr lang="en-US" sz="1100"/>
        </a:p>
        <a:p>
          <a:r>
            <a:rPr lang="en-US" sz="1100"/>
            <a:t>Upre1 must be less than Upre2</a:t>
          </a:r>
        </a:p>
        <a:p>
          <a:endParaRPr lang="en-US" sz="1100"/>
        </a:p>
        <a:p>
          <a:r>
            <a:rPr lang="en-US" sz="1100"/>
            <a:t>then calculate</a:t>
          </a:r>
          <a:r>
            <a:rPr lang="en-US" sz="1100" baseline="0"/>
            <a:t> csyn based on desired Upost = Upre1/Upre2</a:t>
          </a:r>
        </a:p>
        <a:p>
          <a:endParaRPr lang="en-US" sz="1100" baseline="0"/>
        </a:p>
        <a:p>
          <a:r>
            <a:rPr lang="en-US" sz="1100" baseline="0"/>
            <a:t>then gsyn calculated from csyn</a:t>
          </a:r>
        </a:p>
        <a:p>
          <a:endParaRPr lang="en-US" sz="1100" baseline="0"/>
        </a:p>
        <a:p>
          <a:r>
            <a:rPr lang="en-US" sz="1100" baseline="0"/>
            <a:t>tuned to do good division over small range of Upre1 and Upre2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9D10-ABC2-48B2-A609-E93DD3139BA1}">
  <dimension ref="A1:S150"/>
  <sheetViews>
    <sheetView topLeftCell="C37" workbookViewId="0">
      <selection activeCell="E2" sqref="E2"/>
    </sheetView>
  </sheetViews>
  <sheetFormatPr defaultRowHeight="14.35" x14ac:dyDescent="0.5"/>
  <cols>
    <col min="4" max="4" width="11.41015625" style="1" bestFit="1" customWidth="1"/>
    <col min="5" max="6" width="8.87890625" style="1"/>
  </cols>
  <sheetData>
    <row r="1" spans="1:19" ht="28.7" x14ac:dyDescent="0.5">
      <c r="A1" t="s">
        <v>43</v>
      </c>
      <c r="B1" s="1" t="s">
        <v>44</v>
      </c>
      <c r="C1" s="1" t="s">
        <v>45</v>
      </c>
      <c r="D1" s="1" t="s">
        <v>38</v>
      </c>
      <c r="E1" s="1" t="s">
        <v>39</v>
      </c>
      <c r="F1" s="16" t="s">
        <v>46</v>
      </c>
      <c r="G1" s="1" t="s">
        <v>59</v>
      </c>
      <c r="H1" s="1" t="s">
        <v>56</v>
      </c>
      <c r="I1" t="s">
        <v>57</v>
      </c>
      <c r="J1" t="s">
        <v>58</v>
      </c>
      <c r="K1" s="1"/>
      <c r="L1" s="1"/>
      <c r="M1" s="2" t="s">
        <v>47</v>
      </c>
      <c r="N1" s="1"/>
      <c r="O1" s="1"/>
      <c r="P1" s="1"/>
      <c r="Q1" s="1"/>
      <c r="R1" s="1"/>
      <c r="S1" s="1"/>
    </row>
    <row r="2" spans="1:19" x14ac:dyDescent="0.5">
      <c r="A2">
        <v>0</v>
      </c>
      <c r="B2" s="1">
        <v>1</v>
      </c>
      <c r="C2" s="1">
        <v>0.5</v>
      </c>
      <c r="D2" s="1">
        <v>0.115</v>
      </c>
      <c r="E2" s="1">
        <v>0.55800000000000005</v>
      </c>
      <c r="F2" s="1">
        <v>0.6</v>
      </c>
      <c r="G2" s="1">
        <v>20</v>
      </c>
      <c r="H2">
        <v>9.0991810737033649</v>
      </c>
      <c r="I2" s="1">
        <v>194</v>
      </c>
      <c r="J2" s="1">
        <v>-40</v>
      </c>
      <c r="M2" s="2" t="s">
        <v>50</v>
      </c>
      <c r="N2" s="1"/>
      <c r="O2" s="1"/>
      <c r="P2" s="1"/>
      <c r="Q2" s="1"/>
      <c r="R2" s="1"/>
      <c r="S2" s="1"/>
    </row>
    <row r="3" spans="1:19" x14ac:dyDescent="0.5">
      <c r="A3" t="s">
        <v>53</v>
      </c>
      <c r="B3" s="1"/>
      <c r="C3" s="1"/>
      <c r="G3" s="1"/>
      <c r="M3" t="s">
        <v>62</v>
      </c>
    </row>
    <row r="4" spans="1:19" ht="28.7" x14ac:dyDescent="0.5">
      <c r="A4" t="s">
        <v>43</v>
      </c>
      <c r="B4" s="1" t="s">
        <v>44</v>
      </c>
      <c r="C4" s="1" t="s">
        <v>45</v>
      </c>
      <c r="D4" s="1" t="s">
        <v>38</v>
      </c>
      <c r="E4" s="1" t="s">
        <v>39</v>
      </c>
      <c r="F4" s="1" t="s">
        <v>6</v>
      </c>
      <c r="G4" s="1" t="s">
        <v>35</v>
      </c>
      <c r="H4" s="16" t="s">
        <v>55</v>
      </c>
    </row>
    <row r="5" spans="1:19" x14ac:dyDescent="0.5">
      <c r="A5">
        <v>0</v>
      </c>
      <c r="B5" s="1">
        <v>1</v>
      </c>
      <c r="C5" s="1">
        <v>0.5</v>
      </c>
      <c r="D5" s="3">
        <v>15.144631228229535</v>
      </c>
      <c r="E5" s="3">
        <v>73.451461456913236</v>
      </c>
      <c r="F5" s="1">
        <v>20.6</v>
      </c>
      <c r="G5" s="18">
        <f t="shared" ref="G5:G20" si="0">F5/$F$2</f>
        <v>34.333333333333336</v>
      </c>
      <c r="H5">
        <f>(D5/$G$2*B5*$I$2+E5/$G$2*C5*$J$2)/(1+D5/$G$2*B5+E5/$G$2*C5)</f>
        <v>20.439986513823314</v>
      </c>
    </row>
    <row r="6" spans="1:19" x14ac:dyDescent="0.5">
      <c r="A6">
        <v>0.1</v>
      </c>
      <c r="B6" s="1">
        <v>1</v>
      </c>
      <c r="C6" s="1">
        <v>0.5</v>
      </c>
      <c r="D6" s="3">
        <v>15.144631228229535</v>
      </c>
      <c r="E6" s="3">
        <v>73.451461456913236</v>
      </c>
      <c r="F6" s="1">
        <v>18.2</v>
      </c>
      <c r="G6" s="18">
        <f t="shared" si="0"/>
        <v>30.333333333333332</v>
      </c>
    </row>
    <row r="7" spans="1:19" x14ac:dyDescent="0.5">
      <c r="A7">
        <v>0.3</v>
      </c>
      <c r="B7" s="1">
        <v>1</v>
      </c>
      <c r="C7" s="1">
        <v>0.5</v>
      </c>
      <c r="D7" s="3">
        <v>15.144631228229535</v>
      </c>
      <c r="E7" s="3">
        <v>73.451461456913236</v>
      </c>
      <c r="F7" s="1">
        <v>14.9</v>
      </c>
      <c r="G7" s="18">
        <f t="shared" si="0"/>
        <v>24.833333333333336</v>
      </c>
    </row>
    <row r="8" spans="1:19" x14ac:dyDescent="0.5">
      <c r="A8">
        <v>0.5</v>
      </c>
      <c r="B8" s="1">
        <v>1</v>
      </c>
      <c r="C8" s="1">
        <v>0.5</v>
      </c>
      <c r="D8" s="3">
        <v>15.144631228229535</v>
      </c>
      <c r="E8" s="3">
        <v>73.451461456913236</v>
      </c>
      <c r="F8" s="1">
        <v>12.5</v>
      </c>
      <c r="G8" s="18">
        <f t="shared" si="0"/>
        <v>20.833333333333336</v>
      </c>
    </row>
    <row r="9" spans="1:19" x14ac:dyDescent="0.5">
      <c r="A9">
        <v>0.7</v>
      </c>
      <c r="B9" s="1">
        <v>1</v>
      </c>
      <c r="C9" s="1">
        <v>0.5</v>
      </c>
      <c r="D9" s="3">
        <v>15.144631228229535</v>
      </c>
      <c r="E9" s="3">
        <v>73.451461456913236</v>
      </c>
      <c r="F9" s="1">
        <v>11.2</v>
      </c>
      <c r="G9" s="18">
        <f t="shared" si="0"/>
        <v>18.666666666666668</v>
      </c>
    </row>
    <row r="10" spans="1:19" x14ac:dyDescent="0.5">
      <c r="A10">
        <v>1</v>
      </c>
      <c r="B10" s="1">
        <v>1</v>
      </c>
      <c r="C10" s="1">
        <v>0.5</v>
      </c>
      <c r="D10" s="3">
        <v>15.144631228229535</v>
      </c>
      <c r="E10" s="3">
        <v>73.451461456913236</v>
      </c>
      <c r="F10" s="1">
        <v>9.1999999999999993</v>
      </c>
      <c r="G10" s="18">
        <f t="shared" si="0"/>
        <v>15.333333333333332</v>
      </c>
    </row>
    <row r="11" spans="1:19" x14ac:dyDescent="0.5">
      <c r="A11">
        <v>2</v>
      </c>
      <c r="B11" s="1">
        <v>1</v>
      </c>
      <c r="C11" s="1">
        <v>0.5</v>
      </c>
      <c r="D11" s="3">
        <v>15.144631228229535</v>
      </c>
      <c r="E11" s="3">
        <v>73.451461456913236</v>
      </c>
      <c r="F11" s="1">
        <v>5.8</v>
      </c>
      <c r="G11" s="18">
        <f t="shared" si="0"/>
        <v>9.6666666666666661</v>
      </c>
    </row>
    <row r="12" spans="1:19" x14ac:dyDescent="0.5">
      <c r="A12">
        <v>3</v>
      </c>
      <c r="B12" s="1">
        <v>1</v>
      </c>
      <c r="C12" s="1">
        <v>0.5</v>
      </c>
      <c r="D12" s="3">
        <v>15.144631228229535</v>
      </c>
      <c r="E12" s="3">
        <v>73.451461456913236</v>
      </c>
      <c r="F12" s="1">
        <v>4.4000000000000004</v>
      </c>
      <c r="G12" s="18">
        <f t="shared" si="0"/>
        <v>7.3333333333333339</v>
      </c>
    </row>
    <row r="13" spans="1:19" x14ac:dyDescent="0.5">
      <c r="A13">
        <v>4</v>
      </c>
      <c r="B13" s="1">
        <v>1</v>
      </c>
      <c r="C13" s="1">
        <v>0.5</v>
      </c>
      <c r="D13" s="3">
        <v>15.144631228229535</v>
      </c>
      <c r="E13" s="3">
        <v>73.451461456913236</v>
      </c>
      <c r="F13" s="1">
        <v>3.5</v>
      </c>
      <c r="G13" s="18">
        <f t="shared" si="0"/>
        <v>5.8333333333333339</v>
      </c>
    </row>
    <row r="14" spans="1:19" x14ac:dyDescent="0.5">
      <c r="A14">
        <v>5</v>
      </c>
      <c r="B14" s="1">
        <v>1</v>
      </c>
      <c r="C14" s="1">
        <v>0.5</v>
      </c>
      <c r="D14" s="3">
        <v>15.144631228229535</v>
      </c>
      <c r="E14" s="3">
        <v>73.451461456913236</v>
      </c>
      <c r="F14" s="1">
        <v>2.85</v>
      </c>
      <c r="G14" s="18">
        <f t="shared" si="0"/>
        <v>4.75</v>
      </c>
    </row>
    <row r="15" spans="1:19" x14ac:dyDescent="0.5">
      <c r="A15">
        <v>7</v>
      </c>
      <c r="B15" s="1">
        <v>1</v>
      </c>
      <c r="C15" s="1">
        <v>0.5</v>
      </c>
      <c r="D15" s="3">
        <v>15.144631228229535</v>
      </c>
      <c r="E15" s="3">
        <v>73.451461456913236</v>
      </c>
      <c r="F15" s="1">
        <v>2.15</v>
      </c>
      <c r="G15" s="18">
        <f t="shared" si="0"/>
        <v>3.5833333333333335</v>
      </c>
    </row>
    <row r="16" spans="1:19" x14ac:dyDescent="0.5">
      <c r="A16">
        <v>9</v>
      </c>
      <c r="B16" s="1">
        <v>1</v>
      </c>
      <c r="C16" s="1">
        <v>0.5</v>
      </c>
      <c r="D16" s="3">
        <v>15.144631228229535</v>
      </c>
      <c r="E16" s="3">
        <v>73.451461456913236</v>
      </c>
      <c r="F16" s="1">
        <v>1.7</v>
      </c>
      <c r="G16" s="18">
        <f t="shared" si="0"/>
        <v>2.8333333333333335</v>
      </c>
    </row>
    <row r="17" spans="1:17" x14ac:dyDescent="0.5">
      <c r="A17">
        <v>12</v>
      </c>
      <c r="B17" s="1">
        <v>1</v>
      </c>
      <c r="C17" s="1">
        <v>0.5</v>
      </c>
      <c r="D17" s="3">
        <v>15.144631228229535</v>
      </c>
      <c r="E17" s="3">
        <v>73.451461456913236</v>
      </c>
      <c r="F17" s="1">
        <v>1.3</v>
      </c>
      <c r="G17" s="18">
        <f t="shared" si="0"/>
        <v>2.166666666666667</v>
      </c>
    </row>
    <row r="18" spans="1:17" x14ac:dyDescent="0.5">
      <c r="A18">
        <v>15</v>
      </c>
      <c r="B18" s="1">
        <v>1</v>
      </c>
      <c r="C18" s="1">
        <v>0.5</v>
      </c>
      <c r="D18" s="3">
        <v>15.144631228229535</v>
      </c>
      <c r="E18" s="3">
        <v>73.451461456913236</v>
      </c>
      <c r="F18" s="1">
        <v>1.1000000000000001</v>
      </c>
      <c r="G18" s="18">
        <f t="shared" si="0"/>
        <v>1.8333333333333335</v>
      </c>
    </row>
    <row r="19" spans="1:17" x14ac:dyDescent="0.5">
      <c r="A19">
        <v>18</v>
      </c>
      <c r="B19" s="1">
        <v>1</v>
      </c>
      <c r="C19" s="1">
        <v>0.5</v>
      </c>
      <c r="D19" s="3">
        <v>15.144631228229535</v>
      </c>
      <c r="E19" s="3">
        <v>73.451461456913236</v>
      </c>
      <c r="F19" s="1">
        <v>0.85</v>
      </c>
      <c r="G19" s="18">
        <f t="shared" si="0"/>
        <v>1.4166666666666667</v>
      </c>
    </row>
    <row r="20" spans="1:17" x14ac:dyDescent="0.5">
      <c r="A20">
        <v>19</v>
      </c>
      <c r="B20" s="1">
        <v>1</v>
      </c>
      <c r="C20" s="1">
        <v>0.5</v>
      </c>
      <c r="D20" s="3">
        <v>15.144631228229535</v>
      </c>
      <c r="E20" s="3">
        <v>73.451461456913236</v>
      </c>
      <c r="F20" s="1">
        <v>0.8</v>
      </c>
      <c r="G20" s="18">
        <f t="shared" si="0"/>
        <v>1.3333333333333335</v>
      </c>
    </row>
    <row r="22" spans="1:17" x14ac:dyDescent="0.5">
      <c r="A22" t="s">
        <v>53</v>
      </c>
    </row>
    <row r="23" spans="1:17" x14ac:dyDescent="0.5">
      <c r="A23" t="s">
        <v>43</v>
      </c>
      <c r="B23" s="1" t="s">
        <v>44</v>
      </c>
      <c r="C23" s="1" t="s">
        <v>45</v>
      </c>
      <c r="D23" s="1" t="s">
        <v>38</v>
      </c>
      <c r="E23" s="1" t="s">
        <v>39</v>
      </c>
      <c r="F23" s="1" t="s">
        <v>6</v>
      </c>
      <c r="G23" s="1" t="s">
        <v>35</v>
      </c>
      <c r="Q23" t="s">
        <v>49</v>
      </c>
    </row>
    <row r="24" spans="1:17" x14ac:dyDescent="0.5">
      <c r="A24">
        <v>0</v>
      </c>
      <c r="B24" s="1">
        <v>1</v>
      </c>
      <c r="C24" s="1">
        <v>0.5</v>
      </c>
      <c r="D24" s="3">
        <v>15.144631228229535</v>
      </c>
      <c r="E24" s="3">
        <v>73.451461456913236</v>
      </c>
      <c r="F24" s="1">
        <v>20.6</v>
      </c>
      <c r="G24" s="18">
        <f t="shared" ref="G24:G31" si="1">F24/$F$2</f>
        <v>34.333333333333336</v>
      </c>
    </row>
    <row r="25" spans="1:17" x14ac:dyDescent="0.5">
      <c r="A25">
        <v>0</v>
      </c>
      <c r="B25" s="1">
        <f>B24+1</f>
        <v>2</v>
      </c>
      <c r="C25" s="1">
        <f>1+C24</f>
        <v>1.5</v>
      </c>
      <c r="D25" s="3">
        <v>15.144631228229535</v>
      </c>
      <c r="E25" s="3">
        <v>73.451461456913236</v>
      </c>
      <c r="F25" s="1">
        <v>9.18</v>
      </c>
      <c r="G25" s="18">
        <f t="shared" si="1"/>
        <v>15.3</v>
      </c>
    </row>
    <row r="26" spans="1:17" x14ac:dyDescent="0.5">
      <c r="A26">
        <v>0</v>
      </c>
      <c r="B26" s="1">
        <f>B25+1</f>
        <v>3</v>
      </c>
      <c r="C26" s="1">
        <f>1+C25</f>
        <v>2.5</v>
      </c>
      <c r="D26" s="3">
        <v>15.144631228229535</v>
      </c>
      <c r="E26" s="3">
        <v>73.451461456913236</v>
      </c>
      <c r="F26" s="1">
        <v>5.9</v>
      </c>
      <c r="G26" s="18">
        <f t="shared" si="1"/>
        <v>9.8333333333333339</v>
      </c>
    </row>
    <row r="27" spans="1:17" x14ac:dyDescent="0.5">
      <c r="A27">
        <v>0</v>
      </c>
      <c r="B27" s="1">
        <v>5</v>
      </c>
      <c r="C27" s="1">
        <v>4.5</v>
      </c>
      <c r="D27" s="3">
        <v>15.144631228229535</v>
      </c>
      <c r="E27" s="3">
        <v>73.451461456913236</v>
      </c>
      <c r="F27" s="1">
        <v>3.42</v>
      </c>
      <c r="G27" s="18">
        <f t="shared" si="1"/>
        <v>5.7</v>
      </c>
    </row>
    <row r="28" spans="1:17" x14ac:dyDescent="0.5">
      <c r="A28">
        <v>0</v>
      </c>
      <c r="B28" s="1">
        <v>8</v>
      </c>
      <c r="C28" s="1">
        <v>7.5</v>
      </c>
      <c r="D28" s="3">
        <v>15.144631228229535</v>
      </c>
      <c r="E28" s="3">
        <v>73.451461456913236</v>
      </c>
      <c r="F28" s="1">
        <v>2.2000000000000002</v>
      </c>
      <c r="G28" s="18">
        <f t="shared" si="1"/>
        <v>3.666666666666667</v>
      </c>
    </row>
    <row r="29" spans="1:17" x14ac:dyDescent="0.5">
      <c r="A29">
        <v>0</v>
      </c>
      <c r="B29" s="1">
        <v>12</v>
      </c>
      <c r="C29" s="1">
        <v>11.5</v>
      </c>
      <c r="D29" s="3">
        <v>15.144631228229535</v>
      </c>
      <c r="E29" s="3">
        <v>73.451461456913236</v>
      </c>
      <c r="F29" s="1">
        <v>1.4</v>
      </c>
      <c r="G29" s="18">
        <f t="shared" si="1"/>
        <v>2.3333333333333335</v>
      </c>
    </row>
    <row r="30" spans="1:17" x14ac:dyDescent="0.5">
      <c r="A30">
        <v>0</v>
      </c>
      <c r="B30" s="1">
        <v>15</v>
      </c>
      <c r="C30" s="1">
        <v>14.5</v>
      </c>
      <c r="D30" s="3">
        <v>15.144631228229535</v>
      </c>
      <c r="E30" s="3">
        <v>73.451461456913236</v>
      </c>
      <c r="F30" s="1">
        <v>1.1000000000000001</v>
      </c>
      <c r="G30" s="18">
        <f t="shared" si="1"/>
        <v>1.8333333333333335</v>
      </c>
    </row>
    <row r="31" spans="1:17" x14ac:dyDescent="0.5">
      <c r="A31">
        <v>0</v>
      </c>
      <c r="B31" s="1">
        <v>19</v>
      </c>
      <c r="C31" s="1">
        <v>18.5</v>
      </c>
      <c r="D31" s="3">
        <v>15.144631228229535</v>
      </c>
      <c r="E31" s="3">
        <v>73.451461456913236</v>
      </c>
      <c r="F31" s="1">
        <v>0.8</v>
      </c>
      <c r="G31" s="18">
        <f t="shared" si="1"/>
        <v>1.3333333333333335</v>
      </c>
    </row>
    <row r="32" spans="1:17" ht="28.7" x14ac:dyDescent="0.5">
      <c r="B32" s="1"/>
      <c r="C32" s="1"/>
      <c r="E32" s="3"/>
      <c r="F32" s="3"/>
      <c r="G32" s="16" t="s">
        <v>46</v>
      </c>
      <c r="H32" s="18"/>
    </row>
    <row r="33" spans="1:17" x14ac:dyDescent="0.5">
      <c r="A33" t="s">
        <v>54</v>
      </c>
      <c r="B33" s="1"/>
      <c r="C33" s="1"/>
      <c r="D33" s="3"/>
      <c r="E33" s="3"/>
      <c r="F33" s="1">
        <v>0.54500000000000004</v>
      </c>
      <c r="G33" s="18"/>
    </row>
    <row r="34" spans="1:17" ht="28.7" x14ac:dyDescent="0.5">
      <c r="A34" s="1" t="s">
        <v>44</v>
      </c>
      <c r="B34" s="1" t="s">
        <v>45</v>
      </c>
      <c r="C34" s="1" t="s">
        <v>38</v>
      </c>
      <c r="D34" s="1" t="s">
        <v>39</v>
      </c>
      <c r="E34" s="1" t="s">
        <v>6</v>
      </c>
      <c r="F34" s="1" t="s">
        <v>35</v>
      </c>
      <c r="G34" s="16" t="s">
        <v>55</v>
      </c>
      <c r="H34" s="1" t="s">
        <v>60</v>
      </c>
    </row>
    <row r="35" spans="1:17" x14ac:dyDescent="0.5">
      <c r="A35" s="1">
        <v>0.6</v>
      </c>
      <c r="B35" s="1">
        <v>0.1</v>
      </c>
      <c r="C35" s="3">
        <v>15.144631228229535</v>
      </c>
      <c r="D35" s="3">
        <v>73.451461456913236</v>
      </c>
      <c r="E35" s="1">
        <v>40.299999999999997</v>
      </c>
      <c r="F35" s="18">
        <f t="shared" ref="F35:F43" si="2">E35/$F$33</f>
        <v>73.944954128440358</v>
      </c>
      <c r="G35">
        <f t="shared" ref="G35:G43" si="3">(C35/$G$2*A35*$I$2+D35/$G$2*B35*$J$2)/(1+C35/$G$2*A35+D35/$G$2*B35)</f>
        <v>40.322580645161203</v>
      </c>
      <c r="H35">
        <f t="shared" ref="H35:H43" si="4">G35/$F$33</f>
        <v>73.98638650488293</v>
      </c>
    </row>
    <row r="36" spans="1:17" x14ac:dyDescent="0.5">
      <c r="A36" s="1">
        <v>1</v>
      </c>
      <c r="B36" s="1">
        <v>0.5</v>
      </c>
      <c r="C36" s="3">
        <v>15.144631228229535</v>
      </c>
      <c r="D36" s="3">
        <v>73.451461456913236</v>
      </c>
      <c r="E36" s="1">
        <v>20.399999999999999</v>
      </c>
      <c r="F36" s="18">
        <f t="shared" si="2"/>
        <v>37.431192660550451</v>
      </c>
      <c r="G36">
        <f t="shared" si="3"/>
        <v>20.439986513823314</v>
      </c>
      <c r="H36">
        <f t="shared" si="4"/>
        <v>37.504562410684976</v>
      </c>
    </row>
    <row r="37" spans="1:17" x14ac:dyDescent="0.5">
      <c r="A37" s="1">
        <f>A36+1</f>
        <v>2</v>
      </c>
      <c r="B37" s="1">
        <f>1+B36</f>
        <v>1.5</v>
      </c>
      <c r="C37" s="3">
        <v>15.144631228229535</v>
      </c>
      <c r="D37" s="3">
        <v>73.451461456913236</v>
      </c>
      <c r="E37" s="1">
        <v>9.18</v>
      </c>
      <c r="F37" s="18">
        <f t="shared" si="2"/>
        <v>16.844036697247706</v>
      </c>
      <c r="G37">
        <f t="shared" si="3"/>
        <v>9.1547434784250097</v>
      </c>
      <c r="H37">
        <f t="shared" si="4"/>
        <v>16.797694455825706</v>
      </c>
    </row>
    <row r="38" spans="1:17" x14ac:dyDescent="0.5">
      <c r="A38" s="1">
        <f>A37+1</f>
        <v>3</v>
      </c>
      <c r="B38" s="1">
        <f>1+B37</f>
        <v>2.5</v>
      </c>
      <c r="C38" s="3">
        <v>15.144631228229535</v>
      </c>
      <c r="D38" s="3">
        <v>73.451461456913236</v>
      </c>
      <c r="E38" s="1">
        <v>5.9</v>
      </c>
      <c r="F38" s="18">
        <f t="shared" si="2"/>
        <v>10.825688073394495</v>
      </c>
      <c r="G38">
        <f t="shared" si="3"/>
        <v>5.8982341781388321</v>
      </c>
      <c r="H38">
        <f t="shared" si="4"/>
        <v>10.82244803328226</v>
      </c>
    </row>
    <row r="39" spans="1:17" x14ac:dyDescent="0.5">
      <c r="A39" s="1">
        <v>5</v>
      </c>
      <c r="B39" s="1">
        <v>4.5</v>
      </c>
      <c r="C39" s="3">
        <v>15.144631228229535</v>
      </c>
      <c r="D39" s="3">
        <v>73.451461456913236</v>
      </c>
      <c r="E39" s="1">
        <v>3.9</v>
      </c>
      <c r="F39" s="18">
        <f t="shared" si="2"/>
        <v>7.1559633027522933</v>
      </c>
      <c r="G39">
        <f t="shared" si="3"/>
        <v>3.4463646182707088</v>
      </c>
      <c r="H39">
        <f t="shared" si="4"/>
        <v>6.3236048041664379</v>
      </c>
    </row>
    <row r="40" spans="1:17" x14ac:dyDescent="0.5">
      <c r="A40" s="1">
        <v>8</v>
      </c>
      <c r="B40" s="1">
        <v>7.5</v>
      </c>
      <c r="C40" s="3">
        <v>15.144631228229535</v>
      </c>
      <c r="D40" s="3">
        <v>73.451461456913236</v>
      </c>
      <c r="E40" s="1">
        <v>2.15</v>
      </c>
      <c r="F40" s="18">
        <f t="shared" si="2"/>
        <v>3.9449541284403664</v>
      </c>
      <c r="G40">
        <f t="shared" si="3"/>
        <v>2.122742671066804</v>
      </c>
      <c r="H40">
        <f t="shared" si="4"/>
        <v>3.894940680856521</v>
      </c>
    </row>
    <row r="41" spans="1:17" x14ac:dyDescent="0.5">
      <c r="A41" s="1">
        <v>12</v>
      </c>
      <c r="B41" s="1">
        <v>11.5</v>
      </c>
      <c r="C41" s="3">
        <v>15.144631228229535</v>
      </c>
      <c r="D41" s="3">
        <v>73.451461456913236</v>
      </c>
      <c r="E41" s="1">
        <v>1.4</v>
      </c>
      <c r="F41" s="18">
        <f t="shared" si="2"/>
        <v>2.568807339449541</v>
      </c>
      <c r="G41">
        <f t="shared" si="3"/>
        <v>1.4038520542552673</v>
      </c>
      <c r="H41">
        <f t="shared" si="4"/>
        <v>2.5758753289087473</v>
      </c>
      <c r="I41" t="s">
        <v>48</v>
      </c>
      <c r="Q41" t="s">
        <v>51</v>
      </c>
    </row>
    <row r="42" spans="1:17" x14ac:dyDescent="0.5">
      <c r="A42" s="1">
        <v>15</v>
      </c>
      <c r="B42" s="1">
        <v>14.5</v>
      </c>
      <c r="C42" s="3">
        <v>15.144631228229535</v>
      </c>
      <c r="D42" s="3">
        <v>73.451461456913236</v>
      </c>
      <c r="E42" s="1">
        <v>1.1499999999999999</v>
      </c>
      <c r="F42" s="18">
        <f t="shared" si="2"/>
        <v>2.1100917431192658</v>
      </c>
      <c r="G42">
        <f t="shared" si="3"/>
        <v>1.1195028945497547</v>
      </c>
      <c r="H42">
        <f t="shared" si="4"/>
        <v>2.0541337514674396</v>
      </c>
      <c r="Q42" t="s">
        <v>52</v>
      </c>
    </row>
    <row r="43" spans="1:17" x14ac:dyDescent="0.5">
      <c r="A43" s="1">
        <v>19</v>
      </c>
      <c r="B43" s="1">
        <v>18.5</v>
      </c>
      <c r="C43" s="3">
        <v>15.144631228229535</v>
      </c>
      <c r="D43" s="3">
        <v>73.451461456913236</v>
      </c>
      <c r="E43" s="1">
        <v>0.8</v>
      </c>
      <c r="F43" s="18">
        <f t="shared" si="2"/>
        <v>1.4678899082568808</v>
      </c>
      <c r="G43">
        <f t="shared" si="3"/>
        <v>0.88145277957502566</v>
      </c>
      <c r="H43">
        <f t="shared" si="4"/>
        <v>1.617344549678946</v>
      </c>
    </row>
    <row r="44" spans="1:17" x14ac:dyDescent="0.5">
      <c r="G44" s="16"/>
    </row>
    <row r="45" spans="1:17" x14ac:dyDescent="0.5">
      <c r="A45" t="s">
        <v>61</v>
      </c>
      <c r="G45" s="1"/>
    </row>
    <row r="46" spans="1:17" ht="28.7" x14ac:dyDescent="0.5">
      <c r="A46" s="1" t="s">
        <v>44</v>
      </c>
      <c r="B46" s="1" t="s">
        <v>45</v>
      </c>
      <c r="C46" s="1" t="s">
        <v>63</v>
      </c>
      <c r="D46" s="1" t="s">
        <v>38</v>
      </c>
      <c r="E46" s="1" t="s">
        <v>39</v>
      </c>
      <c r="F46" s="1" t="s">
        <v>6</v>
      </c>
      <c r="G46" s="1" t="s">
        <v>35</v>
      </c>
      <c r="H46" s="16" t="s">
        <v>46</v>
      </c>
      <c r="I46" s="16" t="s">
        <v>55</v>
      </c>
      <c r="J46" s="16" t="s">
        <v>60</v>
      </c>
    </row>
    <row r="47" spans="1:17" x14ac:dyDescent="0.5">
      <c r="A47" s="1">
        <v>19</v>
      </c>
      <c r="B47" s="1">
        <v>18</v>
      </c>
      <c r="C47" s="1">
        <f>A47-B47</f>
        <v>1</v>
      </c>
      <c r="D47" s="3">
        <v>15.144631228229535</v>
      </c>
      <c r="E47" s="3">
        <v>73.451461456913236</v>
      </c>
      <c r="F47" s="4">
        <f>(0.06+-0.05819633)*1000</f>
        <v>1.8036700000000003</v>
      </c>
      <c r="G47" s="18">
        <f>F47/H47</f>
        <v>2.6267676399912738</v>
      </c>
      <c r="H47" s="4">
        <f>(0.06+-0.05931335)*1000</f>
        <v>0.68664999999999698</v>
      </c>
      <c r="I47" s="19">
        <f t="shared" ref="I47:I56" si="5">(D47/$G$2*A47*$I$2+E47/$G$2*B47*$J$2)/(1+D47/$G$2*A47+E47/$G$2*B47)</f>
        <v>1.8026288647340794</v>
      </c>
      <c r="J47" s="19">
        <f t="shared" ref="J47:J56" si="6">I47/H47</f>
        <v>2.6252513867823306</v>
      </c>
    </row>
    <row r="48" spans="1:17" x14ac:dyDescent="0.5">
      <c r="A48" s="1">
        <v>19</v>
      </c>
      <c r="B48" s="1">
        <v>18.2</v>
      </c>
      <c r="C48" s="1">
        <f t="shared" ref="C48:C56" si="7">A48-B48</f>
        <v>0.80000000000000071</v>
      </c>
      <c r="D48" s="3">
        <v>15.144631228229535</v>
      </c>
      <c r="E48" s="3">
        <v>73.451461456913236</v>
      </c>
      <c r="F48" s="4">
        <f>(0.06+-0.05856974)*1000</f>
        <v>1.4302599999999956</v>
      </c>
      <c r="G48" s="18">
        <f t="shared" ref="G48:G56" si="8">F48/H48</f>
        <v>2.6183249427917632</v>
      </c>
      <c r="H48" s="4">
        <f>(0.06+-0.05945375)*1000</f>
        <v>0.54624999999999813</v>
      </c>
      <c r="I48" s="19">
        <f t="shared" si="5"/>
        <v>1.4292213138153886</v>
      </c>
      <c r="J48" s="19">
        <f t="shared" si="6"/>
        <v>2.6164234577856176</v>
      </c>
    </row>
    <row r="49" spans="1:10" x14ac:dyDescent="0.5">
      <c r="A49" s="1">
        <v>19</v>
      </c>
      <c r="B49" s="1">
        <v>18.399999999999999</v>
      </c>
      <c r="C49" s="1">
        <f t="shared" si="7"/>
        <v>0.60000000000000142</v>
      </c>
      <c r="D49" s="3">
        <v>15.144631228229535</v>
      </c>
      <c r="E49" s="3">
        <v>73.451461456913236</v>
      </c>
      <c r="F49" s="4">
        <f>(0.06+-0.05893655)*1000</f>
        <v>1.0634500000000005</v>
      </c>
      <c r="G49" s="18">
        <f t="shared" si="8"/>
        <v>2.6141196135788185</v>
      </c>
      <c r="H49" s="4">
        <f>(0.06+-0.05959319)*1000</f>
        <v>0.4068100000000005</v>
      </c>
      <c r="I49" s="19">
        <f t="shared" si="5"/>
        <v>1.0624257260365588</v>
      </c>
      <c r="J49" s="19">
        <f t="shared" si="6"/>
        <v>2.6116017945393613</v>
      </c>
    </row>
    <row r="50" spans="1:10" x14ac:dyDescent="0.5">
      <c r="A50" s="1">
        <v>19</v>
      </c>
      <c r="B50" s="1">
        <v>18.600000000000001</v>
      </c>
      <c r="C50" s="1">
        <f t="shared" si="7"/>
        <v>0.39999999999999858</v>
      </c>
      <c r="D50" s="3">
        <v>15.144631228229535</v>
      </c>
      <c r="E50" s="3">
        <v>73.451461456913236</v>
      </c>
      <c r="F50" s="4">
        <f>(0.06+-0.05929691)*1000</f>
        <v>0.70308999999999644</v>
      </c>
      <c r="G50" s="18">
        <f t="shared" si="8"/>
        <v>2.6202437297357872</v>
      </c>
      <c r="H50" s="4">
        <f>(0.06+-0.05973167)*1000</f>
        <v>0.26832999999999718</v>
      </c>
      <c r="I50" s="19">
        <f t="shared" si="5"/>
        <v>0.70206802460133821</v>
      </c>
      <c r="J50" s="19">
        <f t="shared" si="6"/>
        <v>2.6164350784531942</v>
      </c>
    </row>
    <row r="51" spans="1:10" x14ac:dyDescent="0.5">
      <c r="A51" s="1">
        <v>19</v>
      </c>
      <c r="B51" s="1">
        <v>18.8</v>
      </c>
      <c r="C51" s="1">
        <f t="shared" si="7"/>
        <v>0.19999999999999929</v>
      </c>
      <c r="D51" s="3">
        <v>15.144631228229535</v>
      </c>
      <c r="E51" s="3">
        <v>73.451461456913236</v>
      </c>
      <c r="F51" s="4">
        <f>(0.06+-0.05965101)*1000</f>
        <v>0.34899000000000041</v>
      </c>
      <c r="G51" s="18">
        <f t="shared" si="8"/>
        <v>2.6681192660550415</v>
      </c>
      <c r="H51" s="4">
        <f>(0.06+-0.0598692)*1000</f>
        <v>0.13080000000000036</v>
      </c>
      <c r="I51" s="19">
        <f t="shared" si="5"/>
        <v>0.34798019024113175</v>
      </c>
      <c r="J51" s="19">
        <f t="shared" si="6"/>
        <v>2.6603990079597155</v>
      </c>
    </row>
    <row r="52" spans="1:10" x14ac:dyDescent="0.5">
      <c r="A52" s="1">
        <v>19</v>
      </c>
      <c r="B52" s="1">
        <v>18.899999999999999</v>
      </c>
      <c r="C52" s="1">
        <f t="shared" si="7"/>
        <v>0.10000000000000142</v>
      </c>
      <c r="D52" s="3">
        <v>15.144631228229535</v>
      </c>
      <c r="E52" s="3">
        <v>73.451461456913236</v>
      </c>
      <c r="F52" s="4">
        <f>(0.06+-0.05982576)*1000</f>
        <v>0.17423999999999912</v>
      </c>
      <c r="G52" s="18">
        <f t="shared" si="8"/>
        <v>2.792755249238847</v>
      </c>
      <c r="H52" s="4">
        <f>(0.06+-0.05993761)*1000</f>
        <v>6.2389999999995505E-2</v>
      </c>
      <c r="I52" s="19">
        <f t="shared" si="5"/>
        <v>0.17323655898616222</v>
      </c>
      <c r="J52" s="19">
        <f t="shared" si="6"/>
        <v>2.776671886298681</v>
      </c>
    </row>
    <row r="53" spans="1:10" x14ac:dyDescent="0.5">
      <c r="A53" s="1">
        <v>19</v>
      </c>
      <c r="B53" s="1">
        <v>18.95</v>
      </c>
      <c r="C53" s="1">
        <f t="shared" si="7"/>
        <v>5.0000000000000711E-2</v>
      </c>
      <c r="D53" s="3">
        <v>15.144631228229535</v>
      </c>
      <c r="E53" s="3">
        <v>73.451461456913236</v>
      </c>
      <c r="F53" s="4">
        <f>(0.06+-0.05991257)*1000</f>
        <v>8.7429999999999453E-2</v>
      </c>
      <c r="G53" s="18">
        <f t="shared" si="8"/>
        <v>3.0926777502656178</v>
      </c>
      <c r="H53" s="4">
        <f>(0.06+-0.05997173)*1000</f>
        <v>2.8269999999996909E-2</v>
      </c>
      <c r="I53" s="19">
        <f t="shared" si="5"/>
        <v>8.6431116627667989E-2</v>
      </c>
      <c r="J53" s="19">
        <f t="shared" si="6"/>
        <v>3.0573440618209213</v>
      </c>
    </row>
    <row r="54" spans="1:10" x14ac:dyDescent="0.5">
      <c r="A54" s="1">
        <v>19</v>
      </c>
      <c r="B54" s="1">
        <v>18.97</v>
      </c>
      <c r="C54" s="1">
        <f>A54-B54</f>
        <v>3.0000000000001137E-2</v>
      </c>
      <c r="D54" s="3">
        <v>15.144631228229535</v>
      </c>
      <c r="E54" s="3">
        <v>73.451461456913236</v>
      </c>
      <c r="F54" s="4">
        <f>(0.06+-0.05994718)*1000</f>
        <v>5.2819999999995093E-2</v>
      </c>
      <c r="G54" s="18">
        <f t="shared" si="8"/>
        <v>3.6103896103905959</v>
      </c>
      <c r="H54" s="4">
        <f>(0.06+-0.05998537)*1000</f>
        <v>1.4629999999994647E-2</v>
      </c>
      <c r="I54" s="19">
        <f t="shared" si="5"/>
        <v>5.1813886655798141E-2</v>
      </c>
      <c r="J54" s="19">
        <f t="shared" si="6"/>
        <v>3.5416190468774502</v>
      </c>
    </row>
    <row r="55" spans="1:10" x14ac:dyDescent="0.5">
      <c r="A55" s="1">
        <v>19</v>
      </c>
      <c r="B55" s="1">
        <v>18.98</v>
      </c>
      <c r="C55" s="1">
        <f>A55-B55</f>
        <v>1.9999999999999574E-2</v>
      </c>
      <c r="D55" s="3">
        <v>15.144631228229535</v>
      </c>
      <c r="E55" s="3">
        <v>73.451461456913236</v>
      </c>
      <c r="F55" s="4">
        <f>(0.06+-0.05996447)*1000</f>
        <v>3.5529999999998896E-2</v>
      </c>
      <c r="G55" s="18">
        <f t="shared" si="8"/>
        <v>4.5434782608702013</v>
      </c>
      <c r="H55" s="4">
        <f>(0.06+-0.05999218)*1000</f>
        <v>7.8199999999986614E-3</v>
      </c>
      <c r="I55" s="19">
        <f t="shared" si="5"/>
        <v>3.4527682658569224E-2</v>
      </c>
      <c r="J55" s="19">
        <f t="shared" si="6"/>
        <v>4.4153046877973319</v>
      </c>
    </row>
    <row r="56" spans="1:10" x14ac:dyDescent="0.5">
      <c r="A56" s="1">
        <v>19</v>
      </c>
      <c r="B56" s="1">
        <v>18.989999999999998</v>
      </c>
      <c r="C56" s="1">
        <f t="shared" si="7"/>
        <v>1.0000000000001563E-2</v>
      </c>
      <c r="D56" s="3">
        <v>15.144631228229535</v>
      </c>
      <c r="E56" s="3">
        <v>73.451461456913236</v>
      </c>
      <c r="F56" s="4">
        <f>(0.06+-0.05998174)*1000</f>
        <v>1.825999999999911E-2</v>
      </c>
      <c r="G56" s="18">
        <f t="shared" si="8"/>
        <v>18.079207920867514</v>
      </c>
      <c r="H56" s="4">
        <f>(0.06+-0.05999899)*1000</f>
        <v>1.0099999999957365E-3</v>
      </c>
      <c r="I56" s="19">
        <f t="shared" si="5"/>
        <v>1.7256393538293613E-2</v>
      </c>
      <c r="J56" s="19">
        <f t="shared" si="6"/>
        <v>17.085538156798471</v>
      </c>
    </row>
    <row r="57" spans="1:10" x14ac:dyDescent="0.5">
      <c r="A57" s="1"/>
      <c r="B57" s="1"/>
      <c r="C57" s="1"/>
      <c r="D57" s="3"/>
      <c r="E57" s="3"/>
      <c r="G57" s="18"/>
      <c r="H57" s="4"/>
    </row>
    <row r="58" spans="1:10" x14ac:dyDescent="0.5">
      <c r="A58" t="s">
        <v>61</v>
      </c>
      <c r="G58" s="1"/>
    </row>
    <row r="59" spans="1:10" ht="28.7" x14ac:dyDescent="0.5">
      <c r="A59" s="1" t="s">
        <v>44</v>
      </c>
      <c r="B59" s="1" t="s">
        <v>45</v>
      </c>
      <c r="C59" s="1" t="s">
        <v>63</v>
      </c>
      <c r="D59" s="1" t="s">
        <v>38</v>
      </c>
      <c r="E59" s="1" t="s">
        <v>39</v>
      </c>
      <c r="F59" s="1" t="s">
        <v>6</v>
      </c>
      <c r="G59" s="1" t="s">
        <v>35</v>
      </c>
      <c r="H59" s="16" t="s">
        <v>46</v>
      </c>
      <c r="I59" s="16" t="s">
        <v>55</v>
      </c>
      <c r="J59" s="16" t="s">
        <v>60</v>
      </c>
    </row>
    <row r="60" spans="1:10" x14ac:dyDescent="0.5">
      <c r="A60" s="1">
        <v>1</v>
      </c>
      <c r="B60" s="1">
        <v>0</v>
      </c>
      <c r="C60" s="1">
        <f>A60-B60</f>
        <v>1</v>
      </c>
      <c r="D60" s="3">
        <v>15.144631228229535</v>
      </c>
      <c r="E60" s="3">
        <v>73.451461456913236</v>
      </c>
      <c r="F60" s="4">
        <f>(0.06+0.02360022)*1000</f>
        <v>83.600220000000007</v>
      </c>
      <c r="G60" s="18">
        <f>F60/H60</f>
        <v>75.375270484708736</v>
      </c>
      <c r="H60" s="4">
        <f>(0.06+-0.05889088)*1000</f>
        <v>1.1091199999999981</v>
      </c>
      <c r="I60" s="19">
        <f t="shared" ref="I60:I70" si="9">(D60/$G$2*A60*$I$2+E60/$G$2*B60*$J$2)/(1+D60/$G$2*A60+E60/$G$2*B60)</f>
        <v>83.599069206239591</v>
      </c>
      <c r="J60" s="19">
        <f t="shared" ref="J60:J70" si="10">I60/H60</f>
        <v>75.374232910992262</v>
      </c>
    </row>
    <row r="61" spans="1:10" x14ac:dyDescent="0.5">
      <c r="A61" s="1">
        <v>1</v>
      </c>
      <c r="B61" s="1">
        <v>0.2</v>
      </c>
      <c r="C61" s="1">
        <f t="shared" ref="C61:C69" si="11">A61-B61</f>
        <v>0.8</v>
      </c>
      <c r="D61" s="3">
        <v>15.144631228229535</v>
      </c>
      <c r="E61" s="3">
        <v>73.451461456913236</v>
      </c>
      <c r="F61" s="4">
        <f>(0.06+-0.0128341)*1000</f>
        <v>47.165899999999993</v>
      </c>
      <c r="G61" s="18">
        <f t="shared" ref="G61:G70" si="12">F61/H61</f>
        <v>53.457894140315339</v>
      </c>
      <c r="H61" s="4">
        <f>(0.06+-0.0591177)*1000</f>
        <v>0.88229999999999564</v>
      </c>
      <c r="I61" s="19">
        <f t="shared" si="9"/>
        <v>47.164650823557949</v>
      </c>
      <c r="J61" s="19">
        <f t="shared" si="10"/>
        <v>53.456478322065266</v>
      </c>
    </row>
    <row r="62" spans="1:10" x14ac:dyDescent="0.5">
      <c r="A62" s="1">
        <v>1</v>
      </c>
      <c r="B62" s="1">
        <v>0.4</v>
      </c>
      <c r="C62" s="1">
        <f t="shared" si="11"/>
        <v>0.6</v>
      </c>
      <c r="D62" s="3">
        <v>15.144631228229535</v>
      </c>
      <c r="E62" s="3">
        <v>73.451461456913236</v>
      </c>
      <c r="F62" s="4">
        <f>(0.06+-0.03267876)*1000</f>
        <v>27.321239999999996</v>
      </c>
      <c r="G62" s="18">
        <f t="shared" si="12"/>
        <v>41.523534507652265</v>
      </c>
      <c r="H62" s="4">
        <f>(0.06+-0.05934203)*1000</f>
        <v>0.65797000000000083</v>
      </c>
      <c r="I62" s="19">
        <f t="shared" si="9"/>
        <v>27.320095761160374</v>
      </c>
      <c r="J62" s="19">
        <f t="shared" si="10"/>
        <v>41.521795463562682</v>
      </c>
    </row>
    <row r="63" spans="1:10" x14ac:dyDescent="0.5">
      <c r="A63" s="1">
        <v>1</v>
      </c>
      <c r="B63" s="1">
        <v>0.6</v>
      </c>
      <c r="C63" s="1">
        <f t="shared" si="11"/>
        <v>0.4</v>
      </c>
      <c r="D63" s="3">
        <v>15.144631228229535</v>
      </c>
      <c r="E63" s="3">
        <v>73.451461456913236</v>
      </c>
      <c r="F63" s="4">
        <f>(0.06+-0.0451632)*1000</f>
        <v>14.836799999999997</v>
      </c>
      <c r="G63" s="18">
        <f t="shared" si="12"/>
        <v>34.022334839138693</v>
      </c>
      <c r="H63" s="4">
        <f>(0.06+-0.05956391)*1000</f>
        <v>0.43609000000000009</v>
      </c>
      <c r="I63" s="19">
        <f t="shared" si="9"/>
        <v>14.835774098573768</v>
      </c>
      <c r="J63" s="19">
        <f t="shared" si="10"/>
        <v>34.019982339823812</v>
      </c>
    </row>
    <row r="64" spans="1:10" x14ac:dyDescent="0.5">
      <c r="A64" s="1">
        <v>1</v>
      </c>
      <c r="B64" s="1">
        <v>0.8</v>
      </c>
      <c r="C64" s="1">
        <f t="shared" si="11"/>
        <v>0.19999999999999996</v>
      </c>
      <c r="D64" s="3">
        <v>15.144631228229535</v>
      </c>
      <c r="E64" s="3">
        <v>73.451461456913236</v>
      </c>
      <c r="F64" s="4">
        <f>(0.06+-0.05374162)*1000</f>
        <v>6.2583800000000007</v>
      </c>
      <c r="G64" s="18">
        <f t="shared" si="12"/>
        <v>28.891053457667716</v>
      </c>
      <c r="H64" s="4">
        <f>(0.06+-0.05978338)*1000</f>
        <v>0.2166200000000007</v>
      </c>
      <c r="I64" s="19">
        <f t="shared" si="9"/>
        <v>6.2574589555849442</v>
      </c>
      <c r="J64" s="19">
        <f t="shared" si="10"/>
        <v>28.886801567652682</v>
      </c>
    </row>
    <row r="65" spans="1:10" x14ac:dyDescent="0.5">
      <c r="A65" s="1">
        <v>1</v>
      </c>
      <c r="B65" s="1">
        <v>0.9</v>
      </c>
      <c r="C65" s="1">
        <f t="shared" si="11"/>
        <v>9.9999999999999978E-2</v>
      </c>
      <c r="D65" s="3">
        <v>15.144631228229535</v>
      </c>
      <c r="E65" s="3">
        <v>73.451461456913236</v>
      </c>
      <c r="F65" s="4">
        <f>(0.06+-0.05709737)*1000</f>
        <v>2.9026299999999963</v>
      </c>
      <c r="G65" s="18">
        <f t="shared" si="12"/>
        <v>26.933562215829951</v>
      </c>
      <c r="H65" s="4">
        <f>(0.06+-0.05989223)*1000</f>
        <v>0.10777000000000009</v>
      </c>
      <c r="I65" s="19">
        <f t="shared" si="9"/>
        <v>2.9017590044274266</v>
      </c>
      <c r="J65" s="19">
        <f t="shared" si="10"/>
        <v>26.92548023037417</v>
      </c>
    </row>
    <row r="66" spans="1:10" x14ac:dyDescent="0.5">
      <c r="A66" s="1">
        <v>1</v>
      </c>
      <c r="B66" s="1">
        <v>0.95</v>
      </c>
      <c r="C66" s="1">
        <f t="shared" si="11"/>
        <v>5.0000000000000044E-2</v>
      </c>
      <c r="D66" s="3">
        <v>15.144631228229535</v>
      </c>
      <c r="E66" s="3">
        <v>73.451461456913236</v>
      </c>
      <c r="F66" s="4">
        <f>(0.06+-0.05859905)*1000</f>
        <v>1.4009499999999981</v>
      </c>
      <c r="G66" s="18">
        <f t="shared" si="12"/>
        <v>26.151764047043248</v>
      </c>
      <c r="H66" s="4">
        <f>(0.06+-0.05994643)*1000</f>
        <v>5.3569999999995843E-2</v>
      </c>
      <c r="I66" s="19">
        <f t="shared" si="9"/>
        <v>1.4000952642138593</v>
      </c>
      <c r="J66" s="19">
        <f t="shared" si="10"/>
        <v>26.135808553555496</v>
      </c>
    </row>
    <row r="67" spans="1:10" x14ac:dyDescent="0.5">
      <c r="A67" s="1">
        <v>1</v>
      </c>
      <c r="B67" s="1">
        <v>0.97</v>
      </c>
      <c r="C67" s="1">
        <f t="shared" si="11"/>
        <v>3.0000000000000027E-2</v>
      </c>
      <c r="D67" s="3">
        <v>15.144631228229535</v>
      </c>
      <c r="E67" s="3">
        <v>73.451461456913236</v>
      </c>
      <c r="F67" s="4">
        <f>(0.06+-0.0591707)*1000</f>
        <v>0.82929999999999815</v>
      </c>
      <c r="G67" s="18">
        <f t="shared" si="12"/>
        <v>25.972439711870098</v>
      </c>
      <c r="H67" s="4">
        <f>(0.06+-0.05996807)*1000</f>
        <v>3.1929999999999459E-2</v>
      </c>
      <c r="I67" s="19">
        <f t="shared" si="9"/>
        <v>0.82845795789384657</v>
      </c>
      <c r="J67" s="19">
        <f t="shared" si="10"/>
        <v>25.946068208388994</v>
      </c>
    </row>
    <row r="68" spans="1:10" x14ac:dyDescent="0.5">
      <c r="A68" s="1">
        <v>1</v>
      </c>
      <c r="B68" s="1">
        <v>0.98</v>
      </c>
      <c r="C68" s="1">
        <f t="shared" si="11"/>
        <v>2.0000000000000018E-2</v>
      </c>
      <c r="D68" s="3">
        <v>15.144631228229535</v>
      </c>
      <c r="E68" s="3">
        <v>73.451461456913236</v>
      </c>
      <c r="F68" s="4">
        <f>(0.06+-0.05945064)*1000</f>
        <v>0.54935999999999874</v>
      </c>
      <c r="G68" s="18">
        <f t="shared" si="12"/>
        <v>26.011363636364226</v>
      </c>
      <c r="H68" s="4">
        <f>(0.06+-0.05997888)*1000</f>
        <v>2.1119999999999473E-2</v>
      </c>
      <c r="I68" s="19">
        <f t="shared" si="9"/>
        <v>0.54851843474327833</v>
      </c>
      <c r="J68" s="19">
        <f t="shared" si="10"/>
        <v>25.971516796557388</v>
      </c>
    </row>
    <row r="69" spans="1:10" x14ac:dyDescent="0.5">
      <c r="A69" s="1">
        <v>1</v>
      </c>
      <c r="B69" s="1">
        <v>0.99</v>
      </c>
      <c r="C69" s="1">
        <f t="shared" si="11"/>
        <v>1.0000000000000009E-2</v>
      </c>
      <c r="D69" s="3">
        <v>15.144631228229535</v>
      </c>
      <c r="E69" s="3">
        <v>73.451461456913236</v>
      </c>
      <c r="F69" s="4">
        <f>(0.06+-0.05972677)*1000</f>
        <v>0.27322999999999931</v>
      </c>
      <c r="G69" s="18">
        <f t="shared" si="12"/>
        <v>26.475775193795403</v>
      </c>
      <c r="H69" s="4">
        <f>(0.06+-0.05998968)*1000</f>
        <v>1.0320000000001162E-2</v>
      </c>
      <c r="I69" s="19">
        <f t="shared" si="9"/>
        <v>0.27239156990214197</v>
      </c>
      <c r="J69" s="19">
        <f t="shared" si="10"/>
        <v>26.39453196725885</v>
      </c>
    </row>
    <row r="70" spans="1:10" x14ac:dyDescent="0.5">
      <c r="A70" s="1">
        <v>1</v>
      </c>
      <c r="B70" s="1">
        <v>0.999</v>
      </c>
      <c r="C70" s="1">
        <f>A70-B70</f>
        <v>1.0000000000000009E-3</v>
      </c>
      <c r="D70" s="3">
        <v>15.144631228229535</v>
      </c>
      <c r="E70" s="3">
        <v>73.451461456913236</v>
      </c>
      <c r="F70" s="4">
        <f>(0.06+-0.0599721)*1000</f>
        <v>2.7899999999997371E-2</v>
      </c>
      <c r="G70" s="18">
        <f t="shared" si="12"/>
        <v>46.500000000271775</v>
      </c>
      <c r="H70" s="4">
        <f>(0.06+-0.0599994)*1000</f>
        <v>5.9999999999643672E-4</v>
      </c>
      <c r="I70" s="19">
        <f t="shared" si="9"/>
        <v>2.7073230296903266E-2</v>
      </c>
      <c r="J70" s="19">
        <f t="shared" si="10"/>
        <v>45.122050495106748</v>
      </c>
    </row>
    <row r="73" spans="1:10" x14ac:dyDescent="0.5">
      <c r="A73" t="s">
        <v>61</v>
      </c>
      <c r="G73" s="1"/>
    </row>
    <row r="74" spans="1:10" ht="28.7" x14ac:dyDescent="0.5">
      <c r="A74" s="1" t="s">
        <v>44</v>
      </c>
      <c r="B74" s="1" t="s">
        <v>45</v>
      </c>
      <c r="C74" s="1" t="s">
        <v>63</v>
      </c>
      <c r="D74" s="1" t="s">
        <v>38</v>
      </c>
      <c r="E74" s="1" t="s">
        <v>39</v>
      </c>
      <c r="F74" s="16" t="s">
        <v>46</v>
      </c>
      <c r="G74" s="16" t="s">
        <v>55</v>
      </c>
      <c r="H74" s="16" t="s">
        <v>60</v>
      </c>
    </row>
    <row r="75" spans="1:10" x14ac:dyDescent="0.5">
      <c r="A75" s="1">
        <v>10</v>
      </c>
      <c r="B75" s="1">
        <v>9</v>
      </c>
      <c r="C75" s="1">
        <f>A75-B75</f>
        <v>1</v>
      </c>
      <c r="D75" s="3">
        <v>15.144631228229535</v>
      </c>
      <c r="E75" s="3">
        <v>73.451461456913236</v>
      </c>
      <c r="F75" s="4">
        <f>(0.06+-0.059151)*1000</f>
        <v>0.84899999999999554</v>
      </c>
      <c r="G75" s="19">
        <f t="shared" ref="G75:G84" si="13">(D75/$G$2*A75*$I$2+E75/$G$2*B75*$J$2)/(1+D75/$G$2*A75+E75/$G$2*B75)</f>
        <v>3.5291592232939086</v>
      </c>
      <c r="H75" s="19">
        <f t="shared" ref="H75:H84" si="14">G75/F75</f>
        <v>4.1568424302637537</v>
      </c>
      <c r="I75" s="19">
        <f>AVERAGE(H75:H81)</f>
        <v>4.1059298582870216</v>
      </c>
    </row>
    <row r="76" spans="1:10" x14ac:dyDescent="0.5">
      <c r="A76" s="1">
        <v>10</v>
      </c>
      <c r="B76" s="1">
        <v>9.1999999999999993</v>
      </c>
      <c r="C76" s="1">
        <f t="shared" ref="C76:C84" si="15">A76-B76</f>
        <v>0.80000000000000071</v>
      </c>
      <c r="D76" s="3">
        <v>15.144631228229535</v>
      </c>
      <c r="E76" s="3">
        <v>73.451461456913236</v>
      </c>
      <c r="F76" s="4">
        <f>(0.06+-0.05932445)*1000</f>
        <v>0.67554999999999699</v>
      </c>
      <c r="G76" s="19">
        <f t="shared" si="13"/>
        <v>2.7743713867924269</v>
      </c>
      <c r="H76" s="19">
        <f t="shared" si="14"/>
        <v>4.106833523488179</v>
      </c>
    </row>
    <row r="77" spans="1:10" x14ac:dyDescent="0.5">
      <c r="A77" s="1">
        <v>10</v>
      </c>
      <c r="B77" s="1">
        <v>9.4</v>
      </c>
      <c r="C77" s="1">
        <f t="shared" si="15"/>
        <v>0.59999999999999964</v>
      </c>
      <c r="D77" s="3">
        <v>15.144631228229535</v>
      </c>
      <c r="E77" s="3">
        <v>73.451461456913236</v>
      </c>
      <c r="F77" s="4">
        <f>(0.06+-0.05949643)*1000</f>
        <v>0.50356999999999486</v>
      </c>
      <c r="G77" s="19">
        <f t="shared" si="13"/>
        <v>2.0453131754014207</v>
      </c>
      <c r="H77" s="19">
        <f t="shared" si="14"/>
        <v>4.0616263387442491</v>
      </c>
    </row>
    <row r="78" spans="1:10" x14ac:dyDescent="0.5">
      <c r="A78" s="1">
        <v>10</v>
      </c>
      <c r="B78" s="1">
        <v>9.6</v>
      </c>
      <c r="C78" s="1">
        <f t="shared" si="15"/>
        <v>0.40000000000000036</v>
      </c>
      <c r="D78" s="3">
        <v>15.144631228229535</v>
      </c>
      <c r="E78" s="3">
        <v>73.451461456913236</v>
      </c>
      <c r="F78" s="4">
        <f>(0.06+-0.05966695)*1000</f>
        <v>0.33304999999999446</v>
      </c>
      <c r="G78" s="19">
        <f t="shared" si="13"/>
        <v>1.3406910087317747</v>
      </c>
      <c r="H78" s="19">
        <f t="shared" si="14"/>
        <v>4.0254946966875753</v>
      </c>
    </row>
    <row r="79" spans="1:10" x14ac:dyDescent="0.5">
      <c r="A79" s="1">
        <v>10</v>
      </c>
      <c r="B79" s="1">
        <v>9.8000000000000007</v>
      </c>
      <c r="C79" s="1">
        <f t="shared" si="15"/>
        <v>0.19999999999999929</v>
      </c>
      <c r="D79" s="3">
        <v>15.144631228229535</v>
      </c>
      <c r="E79" s="3">
        <v>73.451461456913236</v>
      </c>
      <c r="F79" s="4">
        <f>(0.06+-0.05983605)*1000</f>
        <v>0.16394999999999604</v>
      </c>
      <c r="G79" s="19">
        <f t="shared" si="13"/>
        <v>0.65929659170849619</v>
      </c>
      <c r="H79" s="19">
        <f t="shared" si="14"/>
        <v>4.0213271833395066</v>
      </c>
    </row>
    <row r="80" spans="1:10" x14ac:dyDescent="0.5">
      <c r="A80" s="1">
        <v>10</v>
      </c>
      <c r="B80" s="1">
        <v>9.9</v>
      </c>
      <c r="C80" s="1">
        <f t="shared" si="15"/>
        <v>9.9999999999999645E-2</v>
      </c>
      <c r="D80" s="3">
        <v>15.144631228229535</v>
      </c>
      <c r="E80" s="3">
        <v>73.451461456913236</v>
      </c>
      <c r="F80" s="4">
        <f>(0.06+-0.05992007)*1000</f>
        <v>7.9929999999998891E-2</v>
      </c>
      <c r="G80" s="19">
        <f t="shared" si="13"/>
        <v>0.32695380176488426</v>
      </c>
      <c r="H80" s="19">
        <f t="shared" si="14"/>
        <v>4.0905017110582857</v>
      </c>
    </row>
    <row r="81" spans="1:11" x14ac:dyDescent="0.5">
      <c r="A81" s="1">
        <v>10</v>
      </c>
      <c r="B81" s="1">
        <v>9.9499999999999993</v>
      </c>
      <c r="C81" s="1">
        <f t="shared" si="15"/>
        <v>5.0000000000000711E-2</v>
      </c>
      <c r="D81" s="3">
        <v>15.144631228229535</v>
      </c>
      <c r="E81" s="3">
        <v>73.451461456913236</v>
      </c>
      <c r="F81" s="4">
        <f>(0.06+-0.05996195)*1000</f>
        <v>3.8049999999997808E-2</v>
      </c>
      <c r="G81" s="19">
        <f t="shared" si="13"/>
        <v>0.16281150288446067</v>
      </c>
      <c r="H81" s="19">
        <f t="shared" si="14"/>
        <v>4.2788831244275967</v>
      </c>
    </row>
    <row r="82" spans="1:11" x14ac:dyDescent="0.5">
      <c r="A82" s="1">
        <v>10</v>
      </c>
      <c r="B82" s="1">
        <v>9.9700000000000006</v>
      </c>
      <c r="C82" s="1">
        <f t="shared" si="15"/>
        <v>2.9999999999999361E-2</v>
      </c>
      <c r="D82" s="3">
        <v>15.144631228229535</v>
      </c>
      <c r="E82" s="3">
        <v>73.451461456913236</v>
      </c>
      <c r="F82" s="4">
        <f>(0.06+-0.05997868)*1000</f>
        <v>2.1319999999998285E-2</v>
      </c>
      <c r="G82" s="19">
        <f t="shared" si="13"/>
        <v>9.7528114741329122E-2</v>
      </c>
      <c r="H82" s="19">
        <f t="shared" si="14"/>
        <v>4.5744894343966687</v>
      </c>
    </row>
    <row r="83" spans="1:11" x14ac:dyDescent="0.5">
      <c r="A83" s="1">
        <v>10</v>
      </c>
      <c r="B83" s="1">
        <v>9.98</v>
      </c>
      <c r="C83" s="1">
        <f t="shared" si="15"/>
        <v>1.9999999999999574E-2</v>
      </c>
      <c r="D83" s="3">
        <v>15.144631228229535</v>
      </c>
      <c r="E83" s="3">
        <v>73.451461456913236</v>
      </c>
      <c r="F83" s="4">
        <f>(0.06+-0.05998703)*1000</f>
        <v>1.2970000000001036E-2</v>
      </c>
      <c r="G83" s="19">
        <f t="shared" si="13"/>
        <v>6.4965943111272489E-2</v>
      </c>
      <c r="H83" s="19">
        <f t="shared" si="14"/>
        <v>5.0089393300899996</v>
      </c>
    </row>
    <row r="84" spans="1:11" x14ac:dyDescent="0.5">
      <c r="A84" s="1">
        <v>10</v>
      </c>
      <c r="B84" s="1">
        <v>9.99</v>
      </c>
      <c r="C84" s="1">
        <f t="shared" si="15"/>
        <v>9.9999999999997868E-3</v>
      </c>
      <c r="D84" s="3">
        <v>15.144631228229535</v>
      </c>
      <c r="E84" s="3">
        <v>73.451461456913236</v>
      </c>
      <c r="F84" s="4">
        <f>(0.06+-0.05999539)*1000</f>
        <v>4.6099999999951735E-3</v>
      </c>
      <c r="G84" s="19">
        <f t="shared" si="13"/>
        <v>3.2456614373604024E-2</v>
      </c>
      <c r="H84" s="19">
        <f t="shared" si="14"/>
        <v>7.0404803413531463</v>
      </c>
    </row>
    <row r="85" spans="1:11" x14ac:dyDescent="0.5">
      <c r="A85" s="1"/>
      <c r="B85" s="1"/>
      <c r="C85" s="1"/>
      <c r="E85" s="3"/>
      <c r="F85" s="3"/>
      <c r="G85" s="4"/>
      <c r="H85" s="18"/>
      <c r="I85" s="4"/>
      <c r="J85" s="19"/>
      <c r="K85" s="19"/>
    </row>
    <row r="87" spans="1:11" x14ac:dyDescent="0.5">
      <c r="A87" t="s">
        <v>61</v>
      </c>
      <c r="G87" s="1"/>
    </row>
    <row r="88" spans="1:11" ht="28.7" x14ac:dyDescent="0.5">
      <c r="A88" s="1" t="s">
        <v>44</v>
      </c>
      <c r="B88" s="1" t="s">
        <v>45</v>
      </c>
      <c r="C88" s="1" t="s">
        <v>63</v>
      </c>
      <c r="D88" s="1" t="s">
        <v>38</v>
      </c>
      <c r="E88" s="1" t="s">
        <v>39</v>
      </c>
      <c r="F88" s="16" t="s">
        <v>46</v>
      </c>
      <c r="G88" s="16" t="s">
        <v>55</v>
      </c>
      <c r="H88" s="16" t="s">
        <v>60</v>
      </c>
    </row>
    <row r="89" spans="1:11" x14ac:dyDescent="0.5">
      <c r="A89" s="1">
        <v>3</v>
      </c>
      <c r="B89" s="1">
        <v>2</v>
      </c>
      <c r="C89" s="1">
        <f>A89-B89</f>
        <v>1</v>
      </c>
      <c r="D89" s="3">
        <v>15.144631228229535</v>
      </c>
      <c r="E89" s="3">
        <v>73.451461456913236</v>
      </c>
      <c r="F89" s="4">
        <f>(0.06+-0.05896137)*1000</f>
        <v>1.0386299999999986</v>
      </c>
      <c r="G89" s="19">
        <f t="shared" ref="G89:G96" si="16">(D89/$G$2*A89*$I$2+E89/$G$2*B89*$J$2)/(1+D89/$G$2*A89+E89/$G$2*B89)</f>
        <v>13.836783019271643</v>
      </c>
      <c r="H89" s="19">
        <f t="shared" ref="H89:H96" si="17">G89/F89</f>
        <v>13.322148425591077</v>
      </c>
    </row>
    <row r="90" spans="1:11" x14ac:dyDescent="0.5">
      <c r="A90" s="1">
        <v>3</v>
      </c>
      <c r="B90" s="1">
        <v>2.2000000000000002</v>
      </c>
      <c r="C90" s="1">
        <f t="shared" ref="C90:C96" si="18">A90-B90</f>
        <v>0.79999999999999982</v>
      </c>
      <c r="D90" s="3">
        <v>15.144631228229535</v>
      </c>
      <c r="E90" s="3">
        <v>73.451461456913236</v>
      </c>
      <c r="F90" s="4">
        <f>(0.06+-0.05917367)*1000</f>
        <v>0.82633000000000012</v>
      </c>
      <c r="G90" s="19">
        <f t="shared" si="16"/>
        <v>10.353154643576643</v>
      </c>
      <c r="H90" s="19">
        <f t="shared" si="17"/>
        <v>12.529079960278146</v>
      </c>
    </row>
    <row r="91" spans="1:11" x14ac:dyDescent="0.5">
      <c r="A91" s="1">
        <v>3</v>
      </c>
      <c r="B91" s="1">
        <v>2.4</v>
      </c>
      <c r="C91" s="1">
        <f t="shared" si="18"/>
        <v>0.60000000000000009</v>
      </c>
      <c r="D91" s="3">
        <v>15.144631228229535</v>
      </c>
      <c r="E91" s="3">
        <v>73.451461456913236</v>
      </c>
      <c r="F91" s="4">
        <f>(0.06+-0.05938379)*1000</f>
        <v>0.61620999999999904</v>
      </c>
      <c r="G91" s="19">
        <f t="shared" si="16"/>
        <v>7.2929589113191238</v>
      </c>
      <c r="H91" s="19">
        <f t="shared" si="17"/>
        <v>11.83518428996468</v>
      </c>
    </row>
    <row r="92" spans="1:11" x14ac:dyDescent="0.5">
      <c r="A92" s="1">
        <v>3</v>
      </c>
      <c r="B92" s="1">
        <v>2.6</v>
      </c>
      <c r="C92" s="1">
        <f t="shared" si="18"/>
        <v>0.39999999999999991</v>
      </c>
      <c r="D92" s="3">
        <v>15.144631228229535</v>
      </c>
      <c r="E92" s="3">
        <v>73.451461456913236</v>
      </c>
      <c r="F92" s="4">
        <f>(0.06+-0.05959176)*1000</f>
        <v>0.40823999999999722</v>
      </c>
      <c r="G92" s="19">
        <f t="shared" si="16"/>
        <v>4.5834170082572374</v>
      </c>
      <c r="H92" s="19">
        <f t="shared" si="17"/>
        <v>11.227260945172615</v>
      </c>
    </row>
    <row r="93" spans="1:11" x14ac:dyDescent="0.5">
      <c r="A93" s="1">
        <v>3</v>
      </c>
      <c r="B93" s="1">
        <v>2.8</v>
      </c>
      <c r="C93" s="1">
        <f t="shared" si="18"/>
        <v>0.20000000000000018</v>
      </c>
      <c r="D93" s="3">
        <v>15.144631228229535</v>
      </c>
      <c r="E93" s="3">
        <v>73.451461456913236</v>
      </c>
      <c r="F93" s="4">
        <f>(0.06+-0.0597976)*1000</f>
        <v>0.20239999999999841</v>
      </c>
      <c r="G93" s="19">
        <f t="shared" si="16"/>
        <v>2.1675251108901392</v>
      </c>
      <c r="H93" s="19">
        <f t="shared" si="17"/>
        <v>10.709116160524488</v>
      </c>
    </row>
    <row r="94" spans="1:11" x14ac:dyDescent="0.5">
      <c r="A94" s="1">
        <v>3</v>
      </c>
      <c r="B94" s="1">
        <v>2.9</v>
      </c>
      <c r="C94" s="1">
        <f t="shared" si="18"/>
        <v>0.10000000000000009</v>
      </c>
      <c r="D94" s="3">
        <v>15.144631228229535</v>
      </c>
      <c r="E94" s="3">
        <v>73.451461456913236</v>
      </c>
      <c r="F94" s="4">
        <f>(0.06+-0.05989974)*1000</f>
        <v>0.10025999999999785</v>
      </c>
      <c r="G94" s="19">
        <f t="shared" si="16"/>
        <v>1.0551736141328003</v>
      </c>
      <c r="H94" s="19">
        <f t="shared" si="17"/>
        <v>10.524372772120715</v>
      </c>
    </row>
    <row r="95" spans="1:11" x14ac:dyDescent="0.5">
      <c r="A95" s="1">
        <v>3</v>
      </c>
      <c r="B95" s="1">
        <v>2.95</v>
      </c>
      <c r="C95" s="1">
        <f t="shared" si="18"/>
        <v>4.9999999999999822E-2</v>
      </c>
      <c r="D95" s="3">
        <v>15.144631228229535</v>
      </c>
      <c r="E95" s="3">
        <v>73.451461456913236</v>
      </c>
      <c r="F95" s="4">
        <f>(0.06+-0.05995062)*1000</f>
        <v>4.9379999999994706E-2</v>
      </c>
      <c r="G95" s="19">
        <f t="shared" si="16"/>
        <v>0.5207186991695345</v>
      </c>
      <c r="H95" s="19">
        <f t="shared" si="17"/>
        <v>10.545133640534434</v>
      </c>
    </row>
    <row r="96" spans="1:11" x14ac:dyDescent="0.5">
      <c r="A96" s="1">
        <v>3</v>
      </c>
      <c r="B96" s="1">
        <v>2.99</v>
      </c>
      <c r="C96" s="1">
        <f t="shared" si="18"/>
        <v>9.9999999999997868E-3</v>
      </c>
      <c r="D96" s="3">
        <v>15.144631228229535</v>
      </c>
      <c r="E96" s="3">
        <v>73.451461456913236</v>
      </c>
      <c r="F96" s="4">
        <f>(0.06+-0.05999122)*1000</f>
        <v>8.779999999999899E-3</v>
      </c>
      <c r="G96" s="19">
        <f t="shared" si="16"/>
        <v>0.10307032690294766</v>
      </c>
      <c r="H96" s="19">
        <f t="shared" si="17"/>
        <v>11.739217187124014</v>
      </c>
    </row>
    <row r="99" spans="1:10" x14ac:dyDescent="0.5">
      <c r="A99" t="s">
        <v>61</v>
      </c>
      <c r="G99" s="1"/>
    </row>
    <row r="100" spans="1:10" ht="28.7" x14ac:dyDescent="0.5">
      <c r="A100" s="1" t="s">
        <v>44</v>
      </c>
      <c r="B100" s="1" t="s">
        <v>45</v>
      </c>
      <c r="C100" s="1" t="s">
        <v>63</v>
      </c>
      <c r="D100" s="1" t="s">
        <v>38</v>
      </c>
      <c r="E100" s="1" t="s">
        <v>39</v>
      </c>
      <c r="F100" s="1" t="s">
        <v>6</v>
      </c>
      <c r="G100" s="1" t="s">
        <v>35</v>
      </c>
      <c r="H100" s="16" t="s">
        <v>46</v>
      </c>
      <c r="I100" s="16" t="s">
        <v>55</v>
      </c>
      <c r="J100" s="16" t="s">
        <v>60</v>
      </c>
    </row>
    <row r="101" spans="1:10" x14ac:dyDescent="0.5">
      <c r="A101" s="1">
        <v>19</v>
      </c>
      <c r="B101" s="1">
        <v>18</v>
      </c>
      <c r="C101" s="1">
        <f>A101-B101</f>
        <v>1</v>
      </c>
      <c r="D101" s="3">
        <v>1.064928703023333</v>
      </c>
      <c r="E101" s="3">
        <v>5.164904209663165</v>
      </c>
      <c r="F101" s="4">
        <f>(0.06+-0.05819633)*1000</f>
        <v>1.8036700000000003</v>
      </c>
      <c r="G101" s="18">
        <f>F101/H101</f>
        <v>2.6267676399912738</v>
      </c>
      <c r="H101" s="4">
        <f>(0.06+-0.05931335)*1000</f>
        <v>0.68664999999999698</v>
      </c>
      <c r="I101" s="19">
        <f t="shared" ref="I101:I110" si="19">(D101/$G$2*A101*$I$2+E101/$G$2*B101*$J$2)/(1+D101/$G$2*A101+E101/$G$2*B101)</f>
        <v>1.5509999152546476</v>
      </c>
      <c r="J101" s="19">
        <f t="shared" ref="J101:J110" si="20">I101/H101</f>
        <v>2.2587925657243928</v>
      </c>
    </row>
    <row r="102" spans="1:10" x14ac:dyDescent="0.5">
      <c r="A102" s="1">
        <v>19</v>
      </c>
      <c r="B102" s="1">
        <v>18.2</v>
      </c>
      <c r="C102" s="1">
        <f t="shared" ref="C102:C110" si="21">A102-B102</f>
        <v>0.80000000000000071</v>
      </c>
      <c r="D102" s="3">
        <v>1.064928703023333</v>
      </c>
      <c r="E102" s="3">
        <v>5.164904209663165</v>
      </c>
      <c r="F102" s="4">
        <f>(0.06+-0.05856974)*1000</f>
        <v>1.4302599999999956</v>
      </c>
      <c r="G102" s="18">
        <f t="shared" ref="G102:G110" si="22">F102/H102</f>
        <v>2.6183249427917632</v>
      </c>
      <c r="H102" s="4">
        <f>(0.06+-0.05945375)*1000</f>
        <v>0.54624999999999813</v>
      </c>
      <c r="I102" s="19">
        <f t="shared" si="19"/>
        <v>1.2312515767477519</v>
      </c>
      <c r="J102" s="19">
        <f t="shared" si="20"/>
        <v>2.254007463153787</v>
      </c>
    </row>
    <row r="103" spans="1:10" x14ac:dyDescent="0.5">
      <c r="A103" s="1">
        <v>19</v>
      </c>
      <c r="B103" s="1">
        <v>18.399999999999999</v>
      </c>
      <c r="C103" s="1">
        <f t="shared" si="21"/>
        <v>0.60000000000000142</v>
      </c>
      <c r="D103" s="3">
        <v>1.064928703023333</v>
      </c>
      <c r="E103" s="3">
        <v>5.164904209663165</v>
      </c>
      <c r="F103" s="4">
        <f>(0.06+-0.05893655)*1000</f>
        <v>1.0634500000000005</v>
      </c>
      <c r="G103" s="18">
        <f t="shared" si="22"/>
        <v>2.6141196135788185</v>
      </c>
      <c r="H103" s="4">
        <f>(0.06+-0.05959319)*1000</f>
        <v>0.4068100000000005</v>
      </c>
      <c r="I103" s="19">
        <f t="shared" si="19"/>
        <v>0.91638679080401442</v>
      </c>
      <c r="J103" s="19">
        <f t="shared" si="20"/>
        <v>2.2526161864359611</v>
      </c>
    </row>
    <row r="104" spans="1:10" x14ac:dyDescent="0.5">
      <c r="A104" s="1">
        <v>19</v>
      </c>
      <c r="B104" s="1">
        <v>18.600000000000001</v>
      </c>
      <c r="C104" s="1">
        <f t="shared" si="21"/>
        <v>0.39999999999999858</v>
      </c>
      <c r="D104" s="3">
        <v>1.064928703023333</v>
      </c>
      <c r="E104" s="3">
        <v>5.164904209663165</v>
      </c>
      <c r="F104" s="4">
        <f>(0.06+-0.05929691)*1000</f>
        <v>0.70308999999999644</v>
      </c>
      <c r="G104" s="18">
        <f t="shared" si="22"/>
        <v>2.6202437297357872</v>
      </c>
      <c r="H104" s="4">
        <f>(0.06+-0.05973167)*1000</f>
        <v>0.26832999999999718</v>
      </c>
      <c r="I104" s="19">
        <f t="shared" si="19"/>
        <v>0.60629452475416223</v>
      </c>
      <c r="J104" s="19">
        <f t="shared" si="20"/>
        <v>2.2595107694039749</v>
      </c>
    </row>
    <row r="105" spans="1:10" x14ac:dyDescent="0.5">
      <c r="A105" s="1">
        <v>19</v>
      </c>
      <c r="B105" s="1">
        <v>18.8</v>
      </c>
      <c r="C105" s="1">
        <f t="shared" si="21"/>
        <v>0.19999999999999929</v>
      </c>
      <c r="D105" s="3">
        <v>1.064928703023333</v>
      </c>
      <c r="E105" s="3">
        <v>5.164904209663165</v>
      </c>
      <c r="F105" s="4">
        <f>(0.06+-0.05965101)*1000</f>
        <v>0.34899000000000041</v>
      </c>
      <c r="G105" s="18">
        <f t="shared" si="22"/>
        <v>2.6681192660550415</v>
      </c>
      <c r="H105" s="4">
        <f>(0.06+-0.0598692)*1000</f>
        <v>0.13080000000000036</v>
      </c>
      <c r="I105" s="19">
        <f t="shared" si="19"/>
        <v>0.30086708653651045</v>
      </c>
      <c r="J105" s="19">
        <f t="shared" si="20"/>
        <v>2.3002070836124591</v>
      </c>
    </row>
    <row r="106" spans="1:10" x14ac:dyDescent="0.5">
      <c r="A106" s="1">
        <v>19</v>
      </c>
      <c r="B106" s="1">
        <v>18.899999999999999</v>
      </c>
      <c r="C106" s="1">
        <f t="shared" si="21"/>
        <v>0.10000000000000142</v>
      </c>
      <c r="D106" s="3">
        <v>1.064928703023333</v>
      </c>
      <c r="E106" s="3">
        <v>5.164904209663165</v>
      </c>
      <c r="F106" s="4">
        <f>(0.06+-0.05982576)*1000</f>
        <v>0.17423999999999912</v>
      </c>
      <c r="G106" s="18">
        <f t="shared" si="22"/>
        <v>2.792755249238847</v>
      </c>
      <c r="H106" s="4">
        <f>(0.06+-0.05993761)*1000</f>
        <v>6.2389999999995505E-2</v>
      </c>
      <c r="I106" s="19">
        <f t="shared" si="19"/>
        <v>0.14986990674075615</v>
      </c>
      <c r="J106" s="19">
        <f t="shared" si="20"/>
        <v>2.4021462853144246</v>
      </c>
    </row>
    <row r="107" spans="1:10" x14ac:dyDescent="0.5">
      <c r="A107" s="1">
        <v>19</v>
      </c>
      <c r="B107" s="1">
        <v>18.95</v>
      </c>
      <c r="C107" s="1">
        <f t="shared" si="21"/>
        <v>5.0000000000000711E-2</v>
      </c>
      <c r="D107" s="3">
        <v>1.064928703023333</v>
      </c>
      <c r="E107" s="3">
        <v>5.164904209663165</v>
      </c>
      <c r="F107" s="4">
        <f>(0.06+-0.05991257)*1000</f>
        <v>8.7429999999999453E-2</v>
      </c>
      <c r="G107" s="18">
        <f t="shared" si="22"/>
        <v>3.0926777502656178</v>
      </c>
      <c r="H107" s="4">
        <f>(0.06+-0.05997173)*1000</f>
        <v>2.8269999999996909E-2</v>
      </c>
      <c r="I107" s="19">
        <f t="shared" si="19"/>
        <v>7.4794834684140984E-2</v>
      </c>
      <c r="J107" s="19">
        <f t="shared" si="20"/>
        <v>2.6457316832030124</v>
      </c>
    </row>
    <row r="108" spans="1:10" x14ac:dyDescent="0.5">
      <c r="A108" s="1">
        <v>19</v>
      </c>
      <c r="B108" s="1">
        <v>18.97</v>
      </c>
      <c r="C108" s="1">
        <f t="shared" si="21"/>
        <v>3.0000000000001137E-2</v>
      </c>
      <c r="D108" s="3">
        <v>1.064928703023333</v>
      </c>
      <c r="E108" s="3">
        <v>5.164904209663165</v>
      </c>
      <c r="F108" s="4">
        <f>(0.06+-0.05994718)*1000</f>
        <v>5.2819999999995093E-2</v>
      </c>
      <c r="G108" s="18">
        <f t="shared" si="22"/>
        <v>3.6103896103905959</v>
      </c>
      <c r="H108" s="4">
        <f>(0.06+-0.05998537)*1000</f>
        <v>1.4629999999994647E-2</v>
      </c>
      <c r="I108" s="19">
        <f t="shared" si="19"/>
        <v>4.4843360293293819E-2</v>
      </c>
      <c r="J108" s="19">
        <f t="shared" si="20"/>
        <v>3.0651647500553811</v>
      </c>
    </row>
    <row r="109" spans="1:10" x14ac:dyDescent="0.5">
      <c r="A109" s="1">
        <v>19</v>
      </c>
      <c r="B109" s="1">
        <v>18.98</v>
      </c>
      <c r="C109" s="1">
        <f t="shared" si="21"/>
        <v>1.9999999999999574E-2</v>
      </c>
      <c r="D109" s="3">
        <v>1.064928703023333</v>
      </c>
      <c r="E109" s="3">
        <v>5.164904209663165</v>
      </c>
      <c r="F109" s="4">
        <f>(0.06+-0.05996447)*1000</f>
        <v>3.5529999999998896E-2</v>
      </c>
      <c r="G109" s="18">
        <f t="shared" si="22"/>
        <v>4.5434782608702013</v>
      </c>
      <c r="H109" s="4">
        <f>(0.06+-0.05999218)*1000</f>
        <v>7.8199999999986614E-3</v>
      </c>
      <c r="I109" s="19">
        <f t="shared" si="19"/>
        <v>2.9884405885693521E-2</v>
      </c>
      <c r="J109" s="19">
        <f t="shared" si="20"/>
        <v>3.8215352795011044</v>
      </c>
    </row>
    <row r="110" spans="1:10" x14ac:dyDescent="0.5">
      <c r="A110" s="1">
        <v>19</v>
      </c>
      <c r="B110" s="1">
        <v>18.989999999999998</v>
      </c>
      <c r="C110" s="1">
        <f t="shared" si="21"/>
        <v>1.0000000000001563E-2</v>
      </c>
      <c r="D110" s="3">
        <v>1.064928703023333</v>
      </c>
      <c r="E110" s="3">
        <v>5.164904209663165</v>
      </c>
      <c r="F110" s="4">
        <f>(0.06+-0.05998174)*1000</f>
        <v>1.825999999999911E-2</v>
      </c>
      <c r="G110" s="18">
        <f t="shared" si="22"/>
        <v>18.079207920867514</v>
      </c>
      <c r="H110" s="4">
        <f>(0.06+-0.05999899)*1000</f>
        <v>1.0099999999957365E-3</v>
      </c>
      <c r="I110" s="19">
        <f t="shared" si="19"/>
        <v>1.4936623291438335E-2</v>
      </c>
      <c r="J110" s="19">
        <f t="shared" si="20"/>
        <v>14.788735932179589</v>
      </c>
    </row>
    <row r="111" spans="1:10" x14ac:dyDescent="0.5">
      <c r="A111" s="1"/>
      <c r="B111" s="1"/>
      <c r="C111" s="1"/>
      <c r="D111" s="3"/>
      <c r="E111" s="3"/>
      <c r="G111" s="18"/>
      <c r="H111" s="4"/>
    </row>
    <row r="112" spans="1:10" x14ac:dyDescent="0.5">
      <c r="A112" t="s">
        <v>61</v>
      </c>
      <c r="G112" s="1"/>
    </row>
    <row r="113" spans="1:10" ht="28.7" x14ac:dyDescent="0.5">
      <c r="A113" s="1" t="s">
        <v>44</v>
      </c>
      <c r="B113" s="1" t="s">
        <v>45</v>
      </c>
      <c r="C113" s="1" t="s">
        <v>63</v>
      </c>
      <c r="D113" s="1" t="s">
        <v>38</v>
      </c>
      <c r="E113" s="1" t="s">
        <v>39</v>
      </c>
      <c r="F113" s="1" t="s">
        <v>6</v>
      </c>
      <c r="G113" s="1" t="s">
        <v>35</v>
      </c>
      <c r="H113" s="16" t="s">
        <v>46</v>
      </c>
      <c r="I113" s="16" t="s">
        <v>55</v>
      </c>
      <c r="J113" s="16" t="s">
        <v>60</v>
      </c>
    </row>
    <row r="114" spans="1:10" x14ac:dyDescent="0.5">
      <c r="A114" s="1">
        <v>1</v>
      </c>
      <c r="B114" s="1">
        <v>0</v>
      </c>
      <c r="C114" s="1">
        <f>A114-B114</f>
        <v>1</v>
      </c>
      <c r="D114" s="3">
        <v>1.064928703023333</v>
      </c>
      <c r="E114" s="3">
        <v>5.164904209663165</v>
      </c>
      <c r="F114" s="4">
        <f>(0.06+0.02360022)*1000</f>
        <v>83.600220000000007</v>
      </c>
      <c r="G114" s="18">
        <f>F114/H114</f>
        <v>75.375270484708736</v>
      </c>
      <c r="H114" s="4">
        <f>(0.06+-0.05889088)*1000</f>
        <v>1.1091199999999981</v>
      </c>
      <c r="I114" s="19">
        <f t="shared" ref="I114:I124" si="23">(D114/$G$2*A114*$I$2+E114/$G$2*B114*$J$2)/(1+D114/$G$2*A114+E114/$G$2*B114)</f>
        <v>9.8075892541176746</v>
      </c>
      <c r="J114" s="19">
        <f t="shared" ref="J114:J124" si="24">I114/H114</f>
        <v>8.842676404823365</v>
      </c>
    </row>
    <row r="115" spans="1:10" x14ac:dyDescent="0.5">
      <c r="A115" s="1">
        <v>1</v>
      </c>
      <c r="B115" s="1">
        <v>0.2</v>
      </c>
      <c r="C115" s="1">
        <f t="shared" ref="C115:C124" si="25">A115-B115</f>
        <v>0.8</v>
      </c>
      <c r="D115" s="3">
        <v>1.064928703023333</v>
      </c>
      <c r="E115" s="3">
        <v>5.164904209663165</v>
      </c>
      <c r="F115" s="4">
        <f>(0.06+-0.0128341)*1000</f>
        <v>47.165899999999993</v>
      </c>
      <c r="G115" s="18">
        <f t="shared" ref="G115:G124" si="26">F115/H115</f>
        <v>53.457894140315339</v>
      </c>
      <c r="H115" s="4">
        <f>(0.06+-0.0591177)*1000</f>
        <v>0.88229999999999564</v>
      </c>
      <c r="I115" s="19">
        <f t="shared" si="23"/>
        <v>7.479301803321353</v>
      </c>
      <c r="J115" s="19">
        <f t="shared" si="24"/>
        <v>8.4770506668042493</v>
      </c>
    </row>
    <row r="116" spans="1:10" x14ac:dyDescent="0.5">
      <c r="A116" s="1">
        <v>1</v>
      </c>
      <c r="B116" s="1">
        <v>0.4</v>
      </c>
      <c r="C116" s="1">
        <f t="shared" si="25"/>
        <v>0.6</v>
      </c>
      <c r="D116" s="3">
        <v>1.064928703023333</v>
      </c>
      <c r="E116" s="3">
        <v>5.164904209663165</v>
      </c>
      <c r="F116" s="4">
        <f>(0.06+-0.03267876)*1000</f>
        <v>27.321239999999996</v>
      </c>
      <c r="G116" s="18">
        <f t="shared" si="26"/>
        <v>41.523534507652265</v>
      </c>
      <c r="H116" s="4">
        <f>(0.06+-0.05934203)*1000</f>
        <v>0.65797000000000083</v>
      </c>
      <c r="I116" s="19">
        <f t="shared" si="23"/>
        <v>5.3589679843098272</v>
      </c>
      <c r="J116" s="19">
        <f t="shared" si="24"/>
        <v>8.1446995825186868</v>
      </c>
    </row>
    <row r="117" spans="1:10" x14ac:dyDescent="0.5">
      <c r="A117" s="1">
        <v>1</v>
      </c>
      <c r="B117" s="1">
        <v>0.6</v>
      </c>
      <c r="C117" s="1">
        <f t="shared" si="25"/>
        <v>0.4</v>
      </c>
      <c r="D117" s="3">
        <v>1.064928703023333</v>
      </c>
      <c r="E117" s="3">
        <v>5.164904209663165</v>
      </c>
      <c r="F117" s="4">
        <f>(0.06+-0.0451632)*1000</f>
        <v>14.836799999999997</v>
      </c>
      <c r="G117" s="18">
        <f t="shared" si="26"/>
        <v>34.022334839138693</v>
      </c>
      <c r="H117" s="4">
        <f>(0.06+-0.05956391)*1000</f>
        <v>0.43609000000000009</v>
      </c>
      <c r="I117" s="19">
        <f t="shared" si="23"/>
        <v>3.4199183802984514</v>
      </c>
      <c r="J117" s="19">
        <f t="shared" si="24"/>
        <v>7.8422306870105958</v>
      </c>
    </row>
    <row r="118" spans="1:10" x14ac:dyDescent="0.5">
      <c r="A118" s="1">
        <v>1</v>
      </c>
      <c r="B118" s="1">
        <v>0.8</v>
      </c>
      <c r="C118" s="1">
        <f t="shared" si="25"/>
        <v>0.19999999999999996</v>
      </c>
      <c r="D118" s="3">
        <v>1.064928703023333</v>
      </c>
      <c r="E118" s="3">
        <v>5.164904209663165</v>
      </c>
      <c r="F118" s="4">
        <f>(0.06+-0.05374162)*1000</f>
        <v>6.2583800000000007</v>
      </c>
      <c r="G118" s="18">
        <f t="shared" si="26"/>
        <v>28.891053457667716</v>
      </c>
      <c r="H118" s="4">
        <f>(0.06+-0.05978338)*1000</f>
        <v>0.2166200000000007</v>
      </c>
      <c r="I118" s="19">
        <f t="shared" si="23"/>
        <v>1.639856977422381</v>
      </c>
      <c r="J118" s="19">
        <f t="shared" si="24"/>
        <v>7.5702011698937115</v>
      </c>
    </row>
    <row r="119" spans="1:10" x14ac:dyDescent="0.5">
      <c r="A119" s="1">
        <v>1</v>
      </c>
      <c r="B119" s="1">
        <v>0.9</v>
      </c>
      <c r="C119" s="1">
        <f t="shared" si="25"/>
        <v>9.9999999999999978E-2</v>
      </c>
      <c r="D119" s="3">
        <v>1.064928703023333</v>
      </c>
      <c r="E119" s="3">
        <v>5.164904209663165</v>
      </c>
      <c r="F119" s="4">
        <f>(0.06+-0.05709737)*1000</f>
        <v>2.9026299999999963</v>
      </c>
      <c r="G119" s="18">
        <f t="shared" si="26"/>
        <v>26.933562215829951</v>
      </c>
      <c r="H119" s="4">
        <f>(0.06+-0.05989223)*1000</f>
        <v>0.10777000000000009</v>
      </c>
      <c r="I119" s="19">
        <f t="shared" si="23"/>
        <v>0.80345901530713648</v>
      </c>
      <c r="J119" s="19">
        <f t="shared" si="24"/>
        <v>7.4553123810627806</v>
      </c>
    </row>
    <row r="120" spans="1:10" x14ac:dyDescent="0.5">
      <c r="A120" s="1">
        <v>1</v>
      </c>
      <c r="B120" s="1">
        <v>0.95</v>
      </c>
      <c r="C120" s="1">
        <f t="shared" si="25"/>
        <v>5.0000000000000044E-2</v>
      </c>
      <c r="D120" s="3">
        <v>1.064928703023333</v>
      </c>
      <c r="E120" s="3">
        <v>5.164904209663165</v>
      </c>
      <c r="F120" s="4">
        <f>(0.06+-0.05859905)*1000</f>
        <v>1.4009499999999981</v>
      </c>
      <c r="G120" s="18">
        <f t="shared" si="26"/>
        <v>26.151764047043248</v>
      </c>
      <c r="H120" s="4">
        <f>(0.06+-0.05994643)*1000</f>
        <v>5.3569999999995843E-2</v>
      </c>
      <c r="I120" s="19">
        <f t="shared" si="23"/>
        <v>0.39773496090306398</v>
      </c>
      <c r="J120" s="19">
        <f t="shared" si="24"/>
        <v>7.4245839257624571</v>
      </c>
    </row>
    <row r="121" spans="1:10" x14ac:dyDescent="0.5">
      <c r="A121" s="1">
        <v>1</v>
      </c>
      <c r="B121" s="1">
        <v>0.97</v>
      </c>
      <c r="C121" s="1">
        <f t="shared" si="25"/>
        <v>3.0000000000000027E-2</v>
      </c>
      <c r="D121" s="3">
        <v>1.064928703023333</v>
      </c>
      <c r="E121" s="3">
        <v>5.164904209663165</v>
      </c>
      <c r="F121" s="4">
        <f>(0.06+-0.0591707)*1000</f>
        <v>0.82929999999999815</v>
      </c>
      <c r="G121" s="18">
        <f t="shared" si="26"/>
        <v>25.972439711870098</v>
      </c>
      <c r="H121" s="4">
        <f>(0.06+-0.05996807)*1000</f>
        <v>3.1929999999999459E-2</v>
      </c>
      <c r="I121" s="19">
        <f t="shared" si="23"/>
        <v>0.23769557812710593</v>
      </c>
      <c r="J121" s="19">
        <f t="shared" si="24"/>
        <v>7.4442711596338853</v>
      </c>
    </row>
    <row r="122" spans="1:10" x14ac:dyDescent="0.5">
      <c r="A122" s="1">
        <v>1</v>
      </c>
      <c r="B122" s="1">
        <v>0.98</v>
      </c>
      <c r="C122" s="1">
        <f t="shared" si="25"/>
        <v>2.0000000000000018E-2</v>
      </c>
      <c r="D122" s="3">
        <v>1.064928703023333</v>
      </c>
      <c r="E122" s="3">
        <v>5.164904209663165</v>
      </c>
      <c r="F122" s="4">
        <f>(0.06+-0.05945064)*1000</f>
        <v>0.54935999999999874</v>
      </c>
      <c r="G122" s="18">
        <f t="shared" si="26"/>
        <v>26.011363636364226</v>
      </c>
      <c r="H122" s="4">
        <f>(0.06+-0.05997888)*1000</f>
        <v>2.1119999999999473E-2</v>
      </c>
      <c r="I122" s="19">
        <f t="shared" si="23"/>
        <v>0.15815045488635907</v>
      </c>
      <c r="J122" s="19">
        <f t="shared" si="24"/>
        <v>7.4881844169679459</v>
      </c>
    </row>
    <row r="123" spans="1:10" x14ac:dyDescent="0.5">
      <c r="A123" s="1">
        <v>1</v>
      </c>
      <c r="B123" s="1">
        <v>0.99</v>
      </c>
      <c r="C123" s="1">
        <f t="shared" si="25"/>
        <v>1.0000000000000009E-2</v>
      </c>
      <c r="D123" s="3">
        <v>1.064928703023333</v>
      </c>
      <c r="E123" s="3">
        <v>5.164904209663165</v>
      </c>
      <c r="F123" s="4">
        <f>(0.06+-0.05972677)*1000</f>
        <v>0.27322999999999931</v>
      </c>
      <c r="G123" s="18">
        <f t="shared" si="26"/>
        <v>26.475775193795403</v>
      </c>
      <c r="H123" s="4">
        <f>(0.06+-0.05998968)*1000</f>
        <v>1.0320000000001162E-2</v>
      </c>
      <c r="I123" s="19">
        <f t="shared" si="23"/>
        <v>7.8919213574105654E-2</v>
      </c>
      <c r="J123" s="19">
        <f t="shared" si="24"/>
        <v>7.6472106176450358</v>
      </c>
    </row>
    <row r="124" spans="1:10" x14ac:dyDescent="0.5">
      <c r="A124" s="1">
        <v>1</v>
      </c>
      <c r="B124" s="1">
        <v>0.999</v>
      </c>
      <c r="C124" s="1">
        <f t="shared" si="25"/>
        <v>1.0000000000000009E-3</v>
      </c>
      <c r="D124" s="3">
        <v>1.064928703023333</v>
      </c>
      <c r="E124" s="3">
        <v>5.164904209663165</v>
      </c>
      <c r="F124" s="4">
        <f>(0.06+-0.0599721)*1000</f>
        <v>2.7899999999997371E-2</v>
      </c>
      <c r="G124" s="18">
        <f t="shared" si="26"/>
        <v>46.500000000271775</v>
      </c>
      <c r="H124" s="4">
        <f>(0.06+-0.0599994)*1000</f>
        <v>5.9999999999643672E-4</v>
      </c>
      <c r="I124" s="19">
        <f t="shared" si="23"/>
        <v>7.8779326517989887E-3</v>
      </c>
      <c r="J124" s="19">
        <f t="shared" si="24"/>
        <v>13.129887753076291</v>
      </c>
    </row>
    <row r="127" spans="1:10" x14ac:dyDescent="0.5">
      <c r="A127" t="s">
        <v>61</v>
      </c>
      <c r="G127" s="1"/>
    </row>
    <row r="128" spans="1:10" ht="28.7" x14ac:dyDescent="0.5">
      <c r="A128" s="1" t="s">
        <v>44</v>
      </c>
      <c r="B128" s="1" t="s">
        <v>45</v>
      </c>
      <c r="C128" s="1" t="s">
        <v>63</v>
      </c>
      <c r="D128" s="1" t="s">
        <v>38</v>
      </c>
      <c r="E128" s="1" t="s">
        <v>39</v>
      </c>
      <c r="F128" s="16" t="s">
        <v>46</v>
      </c>
      <c r="G128" s="16" t="s">
        <v>55</v>
      </c>
      <c r="H128" s="16" t="s">
        <v>60</v>
      </c>
    </row>
    <row r="129" spans="1:10" x14ac:dyDescent="0.5">
      <c r="A129" s="1">
        <v>10</v>
      </c>
      <c r="B129" s="1">
        <v>9</v>
      </c>
      <c r="C129" s="1">
        <f>A129-B129</f>
        <v>1</v>
      </c>
      <c r="D129" s="3">
        <v>1.064928703023333</v>
      </c>
      <c r="E129" s="3">
        <v>5.164904209663165</v>
      </c>
      <c r="F129" s="4">
        <f>(0.06+-0.059151)*1000</f>
        <v>0.84899999999999554</v>
      </c>
      <c r="G129" s="19">
        <f t="shared" ref="G129:G138" si="27">(D129/$G$2*A129*$I$2+E129/$G$2*B129*$J$2)/(1+D129/$G$2*A129+E129/$G$2*B129)</f>
        <v>2.678425969134592</v>
      </c>
      <c r="H129" s="19">
        <f t="shared" ref="H129:H138" si="28">G129/F129</f>
        <v>3.1548009059300424</v>
      </c>
      <c r="I129" s="19">
        <f>AVERAGE(H129:H135)</f>
        <v>3.1508936652103432</v>
      </c>
    </row>
    <row r="130" spans="1:10" x14ac:dyDescent="0.5">
      <c r="A130" s="1">
        <v>10</v>
      </c>
      <c r="B130" s="1">
        <v>9.1999999999999993</v>
      </c>
      <c r="C130" s="1">
        <f t="shared" ref="C130:C138" si="29">A130-B130</f>
        <v>0.80000000000000071</v>
      </c>
      <c r="D130" s="3">
        <v>1.064928703023333</v>
      </c>
      <c r="E130" s="3">
        <v>5.164904209663165</v>
      </c>
      <c r="F130" s="4">
        <f>(0.06+-0.05932445)*1000</f>
        <v>0.67554999999999699</v>
      </c>
      <c r="G130" s="19">
        <f t="shared" si="27"/>
        <v>2.1144241327727555</v>
      </c>
      <c r="H130" s="19">
        <f t="shared" si="28"/>
        <v>3.1299298834620162</v>
      </c>
    </row>
    <row r="131" spans="1:10" x14ac:dyDescent="0.5">
      <c r="A131" s="1">
        <v>10</v>
      </c>
      <c r="B131" s="1">
        <v>9.4</v>
      </c>
      <c r="C131" s="1">
        <f t="shared" si="29"/>
        <v>0.59999999999999964</v>
      </c>
      <c r="D131" s="3">
        <v>1.064928703023333</v>
      </c>
      <c r="E131" s="3">
        <v>5.164904209663165</v>
      </c>
      <c r="F131" s="4">
        <f>(0.06+-0.05949643)*1000</f>
        <v>0.50356999999999486</v>
      </c>
      <c r="G131" s="19">
        <f t="shared" si="27"/>
        <v>1.5651346096441316</v>
      </c>
      <c r="H131" s="19">
        <f t="shared" si="28"/>
        <v>3.1080775456126211</v>
      </c>
    </row>
    <row r="132" spans="1:10" x14ac:dyDescent="0.5">
      <c r="A132" s="1">
        <v>10</v>
      </c>
      <c r="B132" s="1">
        <v>9.6</v>
      </c>
      <c r="C132" s="1">
        <f t="shared" si="29"/>
        <v>0.40000000000000036</v>
      </c>
      <c r="D132" s="3">
        <v>1.064928703023333</v>
      </c>
      <c r="E132" s="3">
        <v>5.164904209663165</v>
      </c>
      <c r="F132" s="4">
        <f>(0.06+-0.05966695)*1000</f>
        <v>0.33304999999999446</v>
      </c>
      <c r="G132" s="19">
        <f t="shared" si="27"/>
        <v>1.0299891426402243</v>
      </c>
      <c r="H132" s="19">
        <f t="shared" si="28"/>
        <v>3.0925961346351643</v>
      </c>
    </row>
    <row r="133" spans="1:10" x14ac:dyDescent="0.5">
      <c r="A133" s="1">
        <v>10</v>
      </c>
      <c r="B133" s="1">
        <v>9.8000000000000007</v>
      </c>
      <c r="C133" s="1">
        <f t="shared" si="29"/>
        <v>0.19999999999999929</v>
      </c>
      <c r="D133" s="3">
        <v>1.064928703023333</v>
      </c>
      <c r="E133" s="3">
        <v>5.164904209663165</v>
      </c>
      <c r="F133" s="4">
        <f>(0.06+-0.05983605)*1000</f>
        <v>0.16394999999999604</v>
      </c>
      <c r="G133" s="19">
        <f t="shared" si="27"/>
        <v>0.50844836759244516</v>
      </c>
      <c r="H133" s="19">
        <f t="shared" si="28"/>
        <v>3.1012404244736653</v>
      </c>
    </row>
    <row r="134" spans="1:10" x14ac:dyDescent="0.5">
      <c r="A134" s="1">
        <v>10</v>
      </c>
      <c r="B134" s="1">
        <v>9.9</v>
      </c>
      <c r="C134" s="1">
        <f t="shared" si="29"/>
        <v>9.9999999999999645E-2</v>
      </c>
      <c r="D134" s="3">
        <v>1.064928703023333</v>
      </c>
      <c r="E134" s="3">
        <v>5.164904209663165</v>
      </c>
      <c r="F134" s="4">
        <f>(0.06+-0.05992007)*1000</f>
        <v>7.9929999999998891E-2</v>
      </c>
      <c r="G134" s="19">
        <f t="shared" si="27"/>
        <v>0.25261863960955605</v>
      </c>
      <c r="H134" s="19">
        <f t="shared" si="28"/>
        <v>3.1604984312468356</v>
      </c>
    </row>
    <row r="135" spans="1:10" x14ac:dyDescent="0.5">
      <c r="A135" s="1">
        <v>10</v>
      </c>
      <c r="B135" s="1">
        <v>9.9499999999999993</v>
      </c>
      <c r="C135" s="1">
        <f t="shared" si="29"/>
        <v>5.0000000000000711E-2</v>
      </c>
      <c r="D135" s="3">
        <v>1.064928703023333</v>
      </c>
      <c r="E135" s="3">
        <v>5.164904209663165</v>
      </c>
      <c r="F135" s="4">
        <f>(0.06+-0.05996195)*1000</f>
        <v>3.8049999999997808E-2</v>
      </c>
      <c r="G135" s="19">
        <f t="shared" si="27"/>
        <v>0.12591172419880656</v>
      </c>
      <c r="H135" s="19">
        <f t="shared" si="28"/>
        <v>3.309112331112058</v>
      </c>
    </row>
    <row r="136" spans="1:10" x14ac:dyDescent="0.5">
      <c r="A136" s="1">
        <v>10</v>
      </c>
      <c r="B136" s="1">
        <v>9.9700000000000006</v>
      </c>
      <c r="C136" s="1">
        <f t="shared" si="29"/>
        <v>2.9999999999999361E-2</v>
      </c>
      <c r="D136" s="3">
        <v>1.064928703023333</v>
      </c>
      <c r="E136" s="3">
        <v>5.164904209663165</v>
      </c>
      <c r="F136" s="4">
        <f>(0.06+-0.05997868)*1000</f>
        <v>2.1319999999998285E-2</v>
      </c>
      <c r="G136" s="19">
        <f t="shared" si="27"/>
        <v>7.5452031565390681E-2</v>
      </c>
      <c r="H136" s="19">
        <f t="shared" si="28"/>
        <v>3.5390258707972211</v>
      </c>
    </row>
    <row r="137" spans="1:10" x14ac:dyDescent="0.5">
      <c r="A137" s="1">
        <v>10</v>
      </c>
      <c r="B137" s="1">
        <v>9.98</v>
      </c>
      <c r="C137" s="1">
        <f t="shared" si="29"/>
        <v>1.9999999999999574E-2</v>
      </c>
      <c r="D137" s="3">
        <v>1.064928703023333</v>
      </c>
      <c r="E137" s="3">
        <v>5.164904209663165</v>
      </c>
      <c r="F137" s="4">
        <f>(0.06+-0.05998703)*1000</f>
        <v>1.2970000000001036E-2</v>
      </c>
      <c r="G137" s="19">
        <f t="shared" si="27"/>
        <v>5.0269746422814919E-2</v>
      </c>
      <c r="H137" s="19">
        <f t="shared" si="28"/>
        <v>3.8758478352205783</v>
      </c>
    </row>
    <row r="138" spans="1:10" x14ac:dyDescent="0.5">
      <c r="A138" s="1">
        <v>10</v>
      </c>
      <c r="B138" s="1">
        <v>9.99</v>
      </c>
      <c r="C138" s="1">
        <f t="shared" si="29"/>
        <v>9.9999999999997868E-3</v>
      </c>
      <c r="D138" s="3">
        <v>1.064928703023333</v>
      </c>
      <c r="E138" s="3">
        <v>5.164904209663165</v>
      </c>
      <c r="F138" s="4">
        <f>(0.06+-0.05999539)*1000</f>
        <v>4.6099999999951735E-3</v>
      </c>
      <c r="G138" s="19">
        <f t="shared" si="27"/>
        <v>2.5119089083423283E-2</v>
      </c>
      <c r="H138" s="19">
        <f t="shared" si="28"/>
        <v>5.4488262653903652</v>
      </c>
    </row>
    <row r="139" spans="1:10" x14ac:dyDescent="0.5">
      <c r="A139" s="1"/>
      <c r="B139" s="1"/>
      <c r="C139" s="1"/>
      <c r="E139" s="3"/>
      <c r="F139" s="3"/>
      <c r="G139" s="4"/>
      <c r="H139" s="18"/>
      <c r="I139" s="4"/>
      <c r="J139" s="19"/>
    </row>
    <row r="141" spans="1:10" x14ac:dyDescent="0.5">
      <c r="A141" t="s">
        <v>61</v>
      </c>
      <c r="G141" s="1"/>
    </row>
    <row r="142" spans="1:10" ht="28.7" x14ac:dyDescent="0.5">
      <c r="A142" s="1" t="s">
        <v>44</v>
      </c>
      <c r="B142" s="1" t="s">
        <v>45</v>
      </c>
      <c r="C142" s="1" t="s">
        <v>63</v>
      </c>
      <c r="D142" s="1" t="s">
        <v>38</v>
      </c>
      <c r="E142" s="1" t="s">
        <v>39</v>
      </c>
      <c r="F142" s="16" t="s">
        <v>46</v>
      </c>
      <c r="G142" s="16" t="s">
        <v>55</v>
      </c>
      <c r="H142" s="16" t="s">
        <v>60</v>
      </c>
    </row>
    <row r="143" spans="1:10" x14ac:dyDescent="0.5">
      <c r="A143" s="1">
        <v>3</v>
      </c>
      <c r="B143" s="1">
        <v>2</v>
      </c>
      <c r="C143" s="1">
        <f>A143-B143</f>
        <v>1</v>
      </c>
      <c r="D143" s="3">
        <v>1.064928703023333</v>
      </c>
      <c r="E143" s="3">
        <v>5.164904209663165</v>
      </c>
      <c r="F143" s="4">
        <f>(0.06+-0.05896137)*1000</f>
        <v>1.0386299999999986</v>
      </c>
      <c r="G143" s="19">
        <f t="shared" ref="G143:G150" si="30">(D143/$G$2*A143*$I$2+E143/$G$2*B143*$J$2)/(1+D143/$G$2*A143+E143/$G$2*B143)</f>
        <v>6.1625254918902472</v>
      </c>
      <c r="H143" s="19">
        <f t="shared" ref="H143:H150" si="31">G143/F143</f>
        <v>5.9333212904405377</v>
      </c>
    </row>
    <row r="144" spans="1:10" x14ac:dyDescent="0.5">
      <c r="A144" s="1">
        <v>3</v>
      </c>
      <c r="B144" s="1">
        <v>2.2000000000000002</v>
      </c>
      <c r="C144" s="1">
        <f t="shared" ref="C144:C150" si="32">A144-B144</f>
        <v>0.79999999999999982</v>
      </c>
      <c r="D144" s="3">
        <v>1.064928703023333</v>
      </c>
      <c r="E144" s="3">
        <v>5.164904209663165</v>
      </c>
      <c r="F144" s="4">
        <f>(0.06+-0.05917367)*1000</f>
        <v>0.82633000000000012</v>
      </c>
      <c r="G144" s="19">
        <f t="shared" si="30"/>
        <v>4.7826542498443807</v>
      </c>
      <c r="H144" s="19">
        <f t="shared" si="31"/>
        <v>5.7878259894284128</v>
      </c>
    </row>
    <row r="145" spans="1:8" x14ac:dyDescent="0.5">
      <c r="A145" s="1">
        <v>3</v>
      </c>
      <c r="B145" s="1">
        <v>2.4</v>
      </c>
      <c r="C145" s="1">
        <f t="shared" si="32"/>
        <v>0.60000000000000009</v>
      </c>
      <c r="D145" s="3">
        <v>1.064928703023333</v>
      </c>
      <c r="E145" s="3">
        <v>5.164904209663165</v>
      </c>
      <c r="F145" s="4">
        <f>(0.06+-0.05938379)*1000</f>
        <v>0.61620999999999904</v>
      </c>
      <c r="G145" s="19">
        <f t="shared" si="30"/>
        <v>3.4828818154072683</v>
      </c>
      <c r="H145" s="19">
        <f t="shared" si="31"/>
        <v>5.6521020681379301</v>
      </c>
    </row>
    <row r="146" spans="1:8" x14ac:dyDescent="0.5">
      <c r="A146" s="1">
        <v>3</v>
      </c>
      <c r="B146" s="1">
        <v>2.6</v>
      </c>
      <c r="C146" s="1">
        <f t="shared" si="32"/>
        <v>0.39999999999999991</v>
      </c>
      <c r="D146" s="3">
        <v>1.064928703023333</v>
      </c>
      <c r="E146" s="3">
        <v>5.164904209663165</v>
      </c>
      <c r="F146" s="4">
        <f>(0.06+-0.05959176)*1000</f>
        <v>0.40823999999999722</v>
      </c>
      <c r="G146" s="19">
        <f t="shared" si="30"/>
        <v>2.2564305362511878</v>
      </c>
      <c r="H146" s="19">
        <f t="shared" si="31"/>
        <v>5.5272156972643618</v>
      </c>
    </row>
    <row r="147" spans="1:8" x14ac:dyDescent="0.5">
      <c r="A147" s="1">
        <v>3</v>
      </c>
      <c r="B147" s="1">
        <v>2.8</v>
      </c>
      <c r="C147" s="1">
        <f t="shared" si="32"/>
        <v>0.20000000000000018</v>
      </c>
      <c r="D147" s="3">
        <v>1.064928703023333</v>
      </c>
      <c r="E147" s="3">
        <v>5.164904209663165</v>
      </c>
      <c r="F147" s="4">
        <f>(0.06+-0.0597976)*1000</f>
        <v>0.20239999999999841</v>
      </c>
      <c r="G147" s="19">
        <f t="shared" si="30"/>
        <v>1.0972664490987196</v>
      </c>
      <c r="H147" s="19">
        <f t="shared" si="31"/>
        <v>5.4212769224245463</v>
      </c>
    </row>
    <row r="148" spans="1:8" x14ac:dyDescent="0.5">
      <c r="A148" s="1">
        <v>3</v>
      </c>
      <c r="B148" s="1">
        <v>2.9</v>
      </c>
      <c r="C148" s="1">
        <f t="shared" si="32"/>
        <v>0.10000000000000009</v>
      </c>
      <c r="D148" s="3">
        <v>1.064928703023333</v>
      </c>
      <c r="E148" s="3">
        <v>5.164904209663165</v>
      </c>
      <c r="F148" s="4">
        <f>(0.06+-0.05989974)*1000</f>
        <v>0.10025999999999785</v>
      </c>
      <c r="G148" s="19">
        <f t="shared" si="30"/>
        <v>0.54121007878233562</v>
      </c>
      <c r="H148" s="19">
        <f t="shared" si="31"/>
        <v>5.3980658167000524</v>
      </c>
    </row>
    <row r="149" spans="1:8" x14ac:dyDescent="0.5">
      <c r="A149" s="1">
        <v>3</v>
      </c>
      <c r="B149" s="1">
        <v>2.95</v>
      </c>
      <c r="C149" s="1">
        <f t="shared" si="32"/>
        <v>4.9999999999999822E-2</v>
      </c>
      <c r="D149" s="3">
        <v>1.064928703023333</v>
      </c>
      <c r="E149" s="3">
        <v>5.164904209663165</v>
      </c>
      <c r="F149" s="4">
        <f>(0.06+-0.05995062)*1000</f>
        <v>4.9379999999994706E-2</v>
      </c>
      <c r="G149" s="19">
        <f t="shared" si="30"/>
        <v>0.26878666374788585</v>
      </c>
      <c r="H149" s="19">
        <f t="shared" si="31"/>
        <v>5.4432293185077896</v>
      </c>
    </row>
    <row r="150" spans="1:8" x14ac:dyDescent="0.5">
      <c r="A150" s="1">
        <v>3</v>
      </c>
      <c r="B150" s="1">
        <v>2.99</v>
      </c>
      <c r="C150" s="1">
        <f t="shared" si="32"/>
        <v>9.9999999999997868E-3</v>
      </c>
      <c r="D150" s="3">
        <v>1.064928703023333</v>
      </c>
      <c r="E150" s="3">
        <v>5.164904209663165</v>
      </c>
      <c r="F150" s="4">
        <f>(0.06+-0.05999122)*1000</f>
        <v>8.779999999999899E-3</v>
      </c>
      <c r="G150" s="19">
        <f t="shared" si="30"/>
        <v>5.3469892867281363E-2</v>
      </c>
      <c r="H150" s="19">
        <f t="shared" si="31"/>
        <v>6.0899650190526167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A82F-55B6-48B8-B8DF-269C10C7475C}">
  <dimension ref="A1:AT28"/>
  <sheetViews>
    <sheetView topLeftCell="F1" workbookViewId="0">
      <selection activeCell="AC46" sqref="AC46"/>
    </sheetView>
  </sheetViews>
  <sheetFormatPr defaultRowHeight="14.35" x14ac:dyDescent="0.5"/>
  <cols>
    <col min="1" max="1" width="8.87890625" style="2"/>
    <col min="2" max="2" width="9" style="1" bestFit="1" customWidth="1"/>
    <col min="3" max="3" width="9.52734375" style="1" bestFit="1" customWidth="1"/>
  </cols>
  <sheetData>
    <row r="1" spans="1:6" x14ac:dyDescent="0.5">
      <c r="A1" s="2" t="s">
        <v>56</v>
      </c>
      <c r="B1" s="1" t="s">
        <v>38</v>
      </c>
      <c r="C1" s="1" t="s">
        <v>39</v>
      </c>
      <c r="E1" t="s">
        <v>69</v>
      </c>
      <c r="F1">
        <v>194</v>
      </c>
    </row>
    <row r="2" spans="1:6" x14ac:dyDescent="0.5">
      <c r="A2" s="2">
        <v>1</v>
      </c>
      <c r="B2" s="3">
        <f t="shared" ref="B2:B8" si="0">A2*$F$3/($F$1-A2*$F$3)</f>
        <v>0.11494252873563218</v>
      </c>
      <c r="C2" s="3">
        <f t="shared" ref="C2:C8" si="1">-B2*$F$1/$F$2</f>
        <v>0.55747126436781602</v>
      </c>
      <c r="E2" t="s">
        <v>70</v>
      </c>
      <c r="F2">
        <v>-40</v>
      </c>
    </row>
    <row r="3" spans="1:6" x14ac:dyDescent="0.5">
      <c r="A3" s="2">
        <v>1.01</v>
      </c>
      <c r="B3" s="3">
        <f t="shared" si="0"/>
        <v>0.11622554660529343</v>
      </c>
      <c r="C3" s="3">
        <f t="shared" si="1"/>
        <v>0.56369390103567318</v>
      </c>
      <c r="E3" t="s">
        <v>59</v>
      </c>
      <c r="F3">
        <v>20</v>
      </c>
    </row>
    <row r="4" spans="1:6" x14ac:dyDescent="0.5">
      <c r="A4" s="2">
        <v>1.1000000000000001</v>
      </c>
      <c r="B4" s="3">
        <f t="shared" si="0"/>
        <v>0.12790697674418605</v>
      </c>
      <c r="C4" s="3">
        <f t="shared" si="1"/>
        <v>0.62034883720930234</v>
      </c>
    </row>
    <row r="5" spans="1:6" x14ac:dyDescent="0.5">
      <c r="A5" s="2">
        <v>1.2</v>
      </c>
      <c r="B5" s="3">
        <f t="shared" si="0"/>
        <v>0.14117647058823529</v>
      </c>
      <c r="C5" s="3">
        <f t="shared" si="1"/>
        <v>0.68470588235294116</v>
      </c>
    </row>
    <row r="6" spans="1:6" x14ac:dyDescent="0.5">
      <c r="A6" s="2">
        <v>1.3</v>
      </c>
      <c r="B6" s="3">
        <f t="shared" si="0"/>
        <v>0.15476190476190477</v>
      </c>
      <c r="C6" s="3">
        <f t="shared" si="1"/>
        <v>0.75059523809523809</v>
      </c>
    </row>
    <row r="7" spans="1:6" x14ac:dyDescent="0.5">
      <c r="A7" s="2">
        <v>1.4</v>
      </c>
      <c r="B7" s="3">
        <f t="shared" si="0"/>
        <v>0.16867469879518071</v>
      </c>
      <c r="C7" s="3">
        <f t="shared" si="1"/>
        <v>0.81807228915662633</v>
      </c>
    </row>
    <row r="8" spans="1:6" x14ac:dyDescent="0.5">
      <c r="A8" s="2">
        <v>1.5</v>
      </c>
      <c r="B8" s="3">
        <f t="shared" si="0"/>
        <v>0.18292682926829268</v>
      </c>
      <c r="C8" s="3">
        <f t="shared" si="1"/>
        <v>0.88719512195121941</v>
      </c>
    </row>
    <row r="9" spans="1:6" x14ac:dyDescent="0.5">
      <c r="A9" s="2">
        <v>2</v>
      </c>
      <c r="B9" s="3">
        <f t="shared" ref="B9:B17" si="2">A9*$F$3/($F$1-A9*$F$3)</f>
        <v>0.25974025974025972</v>
      </c>
      <c r="C9" s="3">
        <f t="shared" ref="C9:C17" si="3">-B9*$F$1/$F$2</f>
        <v>1.2597402597402596</v>
      </c>
    </row>
    <row r="10" spans="1:6" x14ac:dyDescent="0.5">
      <c r="A10" s="2">
        <v>3</v>
      </c>
      <c r="B10" s="3">
        <f t="shared" si="2"/>
        <v>0.44776119402985076</v>
      </c>
      <c r="C10" s="3">
        <f t="shared" si="3"/>
        <v>2.1716417910447765</v>
      </c>
    </row>
    <row r="11" spans="1:6" x14ac:dyDescent="0.5">
      <c r="A11" s="2">
        <v>4</v>
      </c>
      <c r="B11" s="3">
        <f t="shared" si="2"/>
        <v>0.70175438596491224</v>
      </c>
      <c r="C11" s="3">
        <f t="shared" si="3"/>
        <v>3.4035087719298245</v>
      </c>
    </row>
    <row r="12" spans="1:6" x14ac:dyDescent="0.5">
      <c r="A12" s="2">
        <v>5</v>
      </c>
      <c r="B12" s="3">
        <f t="shared" si="2"/>
        <v>1.0638297872340425</v>
      </c>
      <c r="C12" s="3">
        <f t="shared" si="3"/>
        <v>5.1595744680851059</v>
      </c>
    </row>
    <row r="13" spans="1:6" x14ac:dyDescent="0.5">
      <c r="A13" s="2">
        <v>6</v>
      </c>
      <c r="B13" s="3">
        <f t="shared" si="2"/>
        <v>1.6216216216216217</v>
      </c>
      <c r="C13" s="3">
        <f t="shared" si="3"/>
        <v>7.8648648648648658</v>
      </c>
    </row>
    <row r="14" spans="1:6" x14ac:dyDescent="0.5">
      <c r="A14" s="2">
        <v>7</v>
      </c>
      <c r="B14" s="3">
        <f t="shared" si="2"/>
        <v>2.5925925925925926</v>
      </c>
      <c r="C14" s="3">
        <f t="shared" si="3"/>
        <v>12.574074074074073</v>
      </c>
    </row>
    <row r="15" spans="1:6" x14ac:dyDescent="0.5">
      <c r="A15" s="2">
        <v>8</v>
      </c>
      <c r="B15" s="3">
        <f t="shared" si="2"/>
        <v>4.7058823529411766</v>
      </c>
      <c r="C15" s="3">
        <f t="shared" si="3"/>
        <v>22.823529411764707</v>
      </c>
    </row>
    <row r="16" spans="1:6" x14ac:dyDescent="0.5">
      <c r="A16" s="2">
        <v>9</v>
      </c>
      <c r="B16" s="3">
        <f t="shared" si="2"/>
        <v>12.857142857142858</v>
      </c>
      <c r="C16" s="3">
        <f t="shared" si="3"/>
        <v>62.357142857142854</v>
      </c>
      <c r="E16" t="s">
        <v>82</v>
      </c>
    </row>
    <row r="17" spans="1:46" x14ac:dyDescent="0.5">
      <c r="A17" s="2">
        <v>9.6</v>
      </c>
      <c r="B17" s="3">
        <f t="shared" si="2"/>
        <v>96</v>
      </c>
      <c r="C17" s="3">
        <f t="shared" si="3"/>
        <v>465.6</v>
      </c>
    </row>
    <row r="18" spans="1:46" x14ac:dyDescent="0.5">
      <c r="C18" s="1" t="s">
        <v>81</v>
      </c>
      <c r="E18">
        <v>0.5</v>
      </c>
      <c r="W18" t="s">
        <v>85</v>
      </c>
      <c r="AA18" t="s">
        <v>87</v>
      </c>
      <c r="AE18" t="s">
        <v>86</v>
      </c>
      <c r="AI18" t="s">
        <v>80</v>
      </c>
      <c r="AM18" t="s">
        <v>83</v>
      </c>
      <c r="AQ18" t="s">
        <v>84</v>
      </c>
    </row>
    <row r="19" spans="1:46" ht="43" x14ac:dyDescent="0.5">
      <c r="A19" s="1" t="s">
        <v>44</v>
      </c>
      <c r="B19" s="1" t="s">
        <v>45</v>
      </c>
      <c r="C19" s="1" t="s">
        <v>38</v>
      </c>
      <c r="D19" s="1" t="s">
        <v>39</v>
      </c>
      <c r="E19" s="22" t="s">
        <v>71</v>
      </c>
      <c r="F19" s="24" t="s">
        <v>60</v>
      </c>
      <c r="G19" s="1" t="s">
        <v>38</v>
      </c>
      <c r="H19" s="1" t="s">
        <v>39</v>
      </c>
      <c r="I19" s="16" t="s">
        <v>55</v>
      </c>
      <c r="J19" s="24" t="s">
        <v>60</v>
      </c>
      <c r="K19" s="1" t="s">
        <v>38</v>
      </c>
      <c r="L19" s="1" t="s">
        <v>39</v>
      </c>
      <c r="M19" s="16" t="s">
        <v>55</v>
      </c>
      <c r="N19" s="24" t="s">
        <v>60</v>
      </c>
      <c r="O19" s="1" t="s">
        <v>38</v>
      </c>
      <c r="P19" s="1" t="s">
        <v>39</v>
      </c>
      <c r="Q19" s="16" t="s">
        <v>55</v>
      </c>
      <c r="R19" s="24" t="s">
        <v>60</v>
      </c>
      <c r="S19" s="1" t="s">
        <v>38</v>
      </c>
      <c r="T19" s="1" t="s">
        <v>39</v>
      </c>
      <c r="U19" s="16" t="s">
        <v>55</v>
      </c>
      <c r="V19" s="24" t="s">
        <v>60</v>
      </c>
      <c r="W19" s="15" t="s">
        <v>38</v>
      </c>
      <c r="X19" s="15" t="s">
        <v>39</v>
      </c>
      <c r="Y19" s="16" t="s">
        <v>55</v>
      </c>
      <c r="Z19" s="24" t="s">
        <v>60</v>
      </c>
      <c r="AA19" s="1" t="s">
        <v>38</v>
      </c>
      <c r="AB19" s="1" t="s">
        <v>39</v>
      </c>
      <c r="AC19" s="16" t="s">
        <v>55</v>
      </c>
      <c r="AD19" s="24" t="s">
        <v>60</v>
      </c>
      <c r="AE19" s="1" t="s">
        <v>38</v>
      </c>
      <c r="AF19" s="1" t="s">
        <v>39</v>
      </c>
      <c r="AG19" s="16" t="s">
        <v>55</v>
      </c>
      <c r="AH19" s="24" t="s">
        <v>60</v>
      </c>
      <c r="AI19" s="1" t="s">
        <v>38</v>
      </c>
      <c r="AJ19" s="1" t="s">
        <v>39</v>
      </c>
      <c r="AK19" s="16" t="s">
        <v>55</v>
      </c>
      <c r="AL19" s="24" t="s">
        <v>60</v>
      </c>
      <c r="AM19" s="1" t="s">
        <v>38</v>
      </c>
      <c r="AN19" s="1" t="s">
        <v>39</v>
      </c>
      <c r="AO19" s="16" t="s">
        <v>55</v>
      </c>
      <c r="AP19" s="24" t="s">
        <v>60</v>
      </c>
      <c r="AQ19" s="1" t="s">
        <v>38</v>
      </c>
      <c r="AR19" s="1" t="s">
        <v>39</v>
      </c>
      <c r="AS19" s="16" t="s">
        <v>55</v>
      </c>
      <c r="AT19" s="24" t="s">
        <v>60</v>
      </c>
    </row>
    <row r="20" spans="1:46" x14ac:dyDescent="0.5">
      <c r="A20" s="1">
        <v>0.6</v>
      </c>
      <c r="B20" s="1">
        <v>0.1</v>
      </c>
      <c r="C20" s="3">
        <v>0.11494252873563218</v>
      </c>
      <c r="D20" s="3">
        <v>0.55747126436781602</v>
      </c>
      <c r="E20" s="23">
        <f>($C20/$F$3*$A20*$F$1+$D20/$F$3*$B20*$F$2)/(1+C20/$F$3*$A20+$D20/$F$3*$B20)</f>
        <v>0.55401662049861511</v>
      </c>
      <c r="F20" s="25">
        <f>E20/$E$18</f>
        <v>1.1080332409972302</v>
      </c>
      <c r="G20" s="3">
        <v>0.44776119402985076</v>
      </c>
      <c r="H20" s="3">
        <v>2.1716417910447765</v>
      </c>
      <c r="I20" s="19">
        <f>(G20/$F$3*$A20*$F$1+H20/$F$3*$B20*$F$2)/(1+G20/$F$3*$A20+H20/$F$3*$B20)</f>
        <v>2.1201413427561842</v>
      </c>
      <c r="J20" s="25">
        <f>I20/$E$18</f>
        <v>4.2402826855123683</v>
      </c>
      <c r="K20" s="3">
        <v>1.0638297872340425</v>
      </c>
      <c r="L20" s="3">
        <v>5.1595744680851059</v>
      </c>
      <c r="M20" s="19">
        <f>(K20/$F$3*$A20*$F$1+L20/$F$3*$B20*$F$2)/(1+K20/$F$3*$A20+L20/$F$3*$B20)</f>
        <v>4.8780487804878048</v>
      </c>
      <c r="N20" s="25">
        <f>M20/$E$18</f>
        <v>9.7560975609756095</v>
      </c>
      <c r="O20" s="3">
        <v>2.5925925925925926</v>
      </c>
      <c r="P20" s="3">
        <v>12.574074074074073</v>
      </c>
      <c r="Q20" s="19">
        <f t="shared" ref="Q20:Q28" si="4">(O20/$F$3*$A20*$F$1+P20/$F$3*$B20*$F$2)/(1+O20/$F$3*$A20+P20/$F$3*$B20)</f>
        <v>11.023622047244094</v>
      </c>
      <c r="R20" s="25">
        <f>Q20/$E$18</f>
        <v>22.047244094488189</v>
      </c>
      <c r="S20" s="3">
        <v>12.857142857142858</v>
      </c>
      <c r="T20" s="3">
        <v>62.357142857142854</v>
      </c>
      <c r="U20" s="19">
        <f t="shared" ref="U20:U28" si="5">(S20/$F$3*$A20*$F$1+T20/$F$3*$B20*$F$2)/(1+S20/$F$3*$A20+T20/$F$3*$B20)</f>
        <v>36.734693877551024</v>
      </c>
      <c r="V20" s="25">
        <f>U20/$E$18</f>
        <v>73.469387755102048</v>
      </c>
      <c r="W20" s="34">
        <v>0.18292682926829268</v>
      </c>
      <c r="X20" s="34">
        <v>0.88719512195121941</v>
      </c>
      <c r="Y20" s="19">
        <f t="shared" ref="Y20:Y28" si="6">(W20/$F$3*$A20*$F$1+X20/$F$3*$B20*$F$2)/(1+W20/$F$3*$A20+X20/$F$3*$B20)</f>
        <v>0.87847730600292817</v>
      </c>
      <c r="Z20" s="25">
        <f t="shared" ref="Z20:Z28" si="7">Y20/$E$18</f>
        <v>1.7569546120058563</v>
      </c>
      <c r="AA20" s="3">
        <v>0.11622554660529343</v>
      </c>
      <c r="AB20" s="3">
        <v>0.56369390103567318</v>
      </c>
      <c r="AC20" s="19">
        <f t="shared" ref="AC20:AC28" si="8">(AA20/$F$3*$A20*$F$1+AB20/$F$3*$B20*$F$2)/(1+AA20/$F$3*$A20+AB20/$F$3*$B20)</f>
        <v>0.56016194781065409</v>
      </c>
      <c r="AD20" s="25">
        <f>AC20/$E$18</f>
        <v>1.1203238956213082</v>
      </c>
      <c r="AE20" s="3">
        <v>0.12790697674418605</v>
      </c>
      <c r="AF20" s="3">
        <v>0.62034883720930234</v>
      </c>
      <c r="AG20" s="19">
        <f t="shared" ref="AG20:AG28" si="9">(AE20/$F$3*$A20*$F$1+AF20/$F$3*$B20*$F$2)/(1+AE20/$F$3*$A20+AF20/$F$3*$B20)</f>
        <v>0.61607392887146439</v>
      </c>
      <c r="AH20" s="25">
        <f>AG20/$E$18</f>
        <v>1.2321478577429288</v>
      </c>
      <c r="AI20" s="3">
        <v>0.14117647058823529</v>
      </c>
      <c r="AJ20" s="3">
        <v>0.68470588235294116</v>
      </c>
      <c r="AK20" s="19">
        <f t="shared" ref="AK20:AK28" si="10">(AI20/$F$3*$A20*$F$1+AJ20/$F$3*$B20*$F$2)/(1+AI20/$F$3*$A20+AJ20/$F$3*$B20)</f>
        <v>0.67950169875424682</v>
      </c>
      <c r="AL20" s="25">
        <f>AK20/$E$18</f>
        <v>1.3590033975084936</v>
      </c>
      <c r="AM20" s="3">
        <v>0.15476190476190477</v>
      </c>
      <c r="AN20" s="3">
        <v>0.75059523809523809</v>
      </c>
      <c r="AO20" s="19">
        <f t="shared" ref="AO20:AO28" si="11">(AM20/$F$3*$A20*$F$1+AN20/$F$3*$B20*$F$2)/(1+AM20/$F$3*$A20+AN20/$F$3*$B20)</f>
        <v>0.74434583452619529</v>
      </c>
      <c r="AP20" s="25">
        <f>AO20/$E$18</f>
        <v>1.4886916690523906</v>
      </c>
      <c r="AQ20" s="3">
        <v>0.16867469879518071</v>
      </c>
      <c r="AR20" s="3">
        <v>0.81807228915662633</v>
      </c>
      <c r="AS20" s="19">
        <f t="shared" ref="AS20:AS28" si="12">(AQ20/$F$3*$A20*$F$1+AR20/$F$3*$B20*$F$2)/(1+AQ20/$F$3*$A20+AR20/$F$3*$B20)</f>
        <v>0.81065431383902709</v>
      </c>
      <c r="AT20" s="25">
        <f>AS20/$E$18</f>
        <v>1.6213086276780542</v>
      </c>
    </row>
    <row r="21" spans="1:46" x14ac:dyDescent="0.5">
      <c r="A21" s="1">
        <v>1</v>
      </c>
      <c r="B21" s="1">
        <v>0.5</v>
      </c>
      <c r="C21" s="3">
        <v>0.11494252873563218</v>
      </c>
      <c r="D21" s="3">
        <v>0.55747126436781602</v>
      </c>
      <c r="E21" s="23">
        <f t="shared" ref="E21:E28" si="13">($C21/$F$3*$A21*$F$1+$D21/$F$3*$B21*$F$2)/(1+C21/$F$3*$A21+$D21/$F$3*$B21)</f>
        <v>0.5467098774129916</v>
      </c>
      <c r="F21" s="25">
        <f t="shared" ref="F21:F28" si="14">E21/$E$18</f>
        <v>1.0934197548259832</v>
      </c>
      <c r="G21" s="3">
        <v>0.44776119402985076</v>
      </c>
      <c r="H21" s="3">
        <v>2.1716417910447765</v>
      </c>
      <c r="I21" s="19">
        <f t="shared" ref="I21:I28" si="15">(G21/$F$3*$A21*$F$1+H21/$F$3*$B21*$F$2)/(1+G21/$F$3*$A21+H21/$F$3*$B21)</f>
        <v>2.0169814590192345</v>
      </c>
      <c r="J21" s="25">
        <f t="shared" ref="J21:J28" si="16">I21/$E$18</f>
        <v>4.0339629180384691</v>
      </c>
      <c r="K21" s="3">
        <v>1.0638297872340425</v>
      </c>
      <c r="L21" s="3">
        <v>5.1595744680851059</v>
      </c>
      <c r="M21" s="19">
        <f t="shared" ref="M21:M28" si="17">(K21/$F$3*$A21*$F$1+L21/$F$3*$B21*$F$2)/(1+K21/$F$3*$A21+L21/$F$3*$B21)</f>
        <v>4.3644544431946022</v>
      </c>
      <c r="N21" s="25">
        <f t="shared" ref="N21:N28" si="18">M21/$E$18</f>
        <v>8.7289088863892044</v>
      </c>
      <c r="O21" s="3">
        <v>2.5925925925925926</v>
      </c>
      <c r="P21" s="3">
        <v>12.574074074074073</v>
      </c>
      <c r="Q21" s="19">
        <f t="shared" si="4"/>
        <v>8.707919204873356</v>
      </c>
      <c r="R21" s="25">
        <f t="shared" ref="R21:R28" si="19">Q21/$E$18</f>
        <v>17.415838409746712</v>
      </c>
      <c r="S21" s="3">
        <v>12.857142857142858</v>
      </c>
      <c r="T21" s="3">
        <v>62.357142857142854</v>
      </c>
      <c r="U21" s="19">
        <f t="shared" si="5"/>
        <v>19.47573898494144</v>
      </c>
      <c r="V21" s="25">
        <f t="shared" ref="V21:V28" si="20">U21/$E$18</f>
        <v>38.95147796988288</v>
      </c>
      <c r="W21" s="34">
        <v>0.18292682926829268</v>
      </c>
      <c r="X21" s="34">
        <v>0.88719512195121941</v>
      </c>
      <c r="Y21" s="19">
        <f t="shared" si="6"/>
        <v>0.86024684058827861</v>
      </c>
      <c r="Z21" s="25">
        <f t="shared" si="7"/>
        <v>1.7204936811765572</v>
      </c>
      <c r="AA21" s="3">
        <v>0.11622554660529343</v>
      </c>
      <c r="AB21" s="3">
        <v>0.56369390103567318</v>
      </c>
      <c r="AC21" s="19">
        <f t="shared" si="8"/>
        <v>0.55269330091377455</v>
      </c>
      <c r="AD21" s="25">
        <f t="shared" ref="AD21:AD28" si="21">AC21/$E$18</f>
        <v>1.1053866018275491</v>
      </c>
      <c r="AE21" s="3">
        <v>0.12790697674418605</v>
      </c>
      <c r="AF21" s="3">
        <v>0.62034883720930234</v>
      </c>
      <c r="AG21" s="19">
        <f t="shared" si="9"/>
        <v>0.60705192939536612</v>
      </c>
      <c r="AH21" s="25">
        <f t="shared" ref="AH21:AH28" si="22">AG21/$E$18</f>
        <v>1.2141038587907322</v>
      </c>
      <c r="AI21" s="3">
        <v>0.14117647058823529</v>
      </c>
      <c r="AJ21" s="3">
        <v>0.68470588235294116</v>
      </c>
      <c r="AK21" s="19">
        <f t="shared" si="10"/>
        <v>0.66854287519384303</v>
      </c>
      <c r="AL21" s="25">
        <f t="shared" ref="AL21:AL28" si="23">AK21/$E$18</f>
        <v>1.3370857503876861</v>
      </c>
      <c r="AM21" s="3">
        <v>0.15476190476190477</v>
      </c>
      <c r="AN21" s="3">
        <v>0.75059523809523809</v>
      </c>
      <c r="AO21" s="19">
        <f t="shared" si="11"/>
        <v>0.73121584204346124</v>
      </c>
      <c r="AP21" s="25">
        <f t="shared" ref="AP21:AP28" si="24">AO21/$E$18</f>
        <v>1.4624316840869225</v>
      </c>
      <c r="AQ21" s="3">
        <v>0.16867469879518071</v>
      </c>
      <c r="AR21" s="3">
        <v>0.81807228915662633</v>
      </c>
      <c r="AS21" s="19">
        <f t="shared" si="12"/>
        <v>0.79510524312772646</v>
      </c>
      <c r="AT21" s="25">
        <f t="shared" ref="AT21:AT28" si="25">AS21/$E$18</f>
        <v>1.5902104862554529</v>
      </c>
    </row>
    <row r="22" spans="1:46" x14ac:dyDescent="0.5">
      <c r="A22" s="1">
        <f>A21+1</f>
        <v>2</v>
      </c>
      <c r="B22" s="1">
        <f>1+B21</f>
        <v>1.5</v>
      </c>
      <c r="C22" s="3">
        <v>0.11494252873563218</v>
      </c>
      <c r="D22" s="3">
        <v>0.55747126436781602</v>
      </c>
      <c r="E22" s="23">
        <f t="shared" si="13"/>
        <v>0.52925930978038471</v>
      </c>
      <c r="F22" s="25">
        <f t="shared" si="14"/>
        <v>1.0585186195607694</v>
      </c>
      <c r="G22" s="3">
        <v>0.44776119402985076</v>
      </c>
      <c r="H22" s="3">
        <v>2.1716417910447765</v>
      </c>
      <c r="I22" s="19">
        <f t="shared" si="15"/>
        <v>1.7982388382511969</v>
      </c>
      <c r="J22" s="25">
        <f t="shared" si="16"/>
        <v>3.5964776765023938</v>
      </c>
      <c r="K22" s="3">
        <v>1.0638297872340425</v>
      </c>
      <c r="L22" s="3">
        <v>5.1595744680851059</v>
      </c>
      <c r="M22" s="19">
        <f t="shared" si="17"/>
        <v>3.4550311665182551</v>
      </c>
      <c r="N22" s="25">
        <f t="shared" si="18"/>
        <v>6.9100623330365103</v>
      </c>
      <c r="O22" s="3">
        <v>2.5925925925925926</v>
      </c>
      <c r="P22" s="3">
        <v>12.574074074074073</v>
      </c>
      <c r="Q22" s="19">
        <f t="shared" si="4"/>
        <v>5.7094807651881405</v>
      </c>
      <c r="R22" s="25">
        <f t="shared" si="19"/>
        <v>11.418961530376281</v>
      </c>
      <c r="S22" s="3">
        <v>12.857142857142858</v>
      </c>
      <c r="T22" s="3">
        <v>62.357142857142854</v>
      </c>
      <c r="U22" s="19">
        <f t="shared" si="5"/>
        <v>8.9561426006668423</v>
      </c>
      <c r="V22" s="25">
        <f t="shared" si="20"/>
        <v>17.912285201333685</v>
      </c>
      <c r="W22" s="34">
        <v>0.18292682926829268</v>
      </c>
      <c r="X22" s="34">
        <v>0.88719512195121941</v>
      </c>
      <c r="Y22" s="19">
        <f t="shared" si="6"/>
        <v>0.81781774748823155</v>
      </c>
      <c r="Z22" s="25">
        <f t="shared" si="7"/>
        <v>1.6356354949764631</v>
      </c>
      <c r="AA22" s="3">
        <v>0.11622554660529343</v>
      </c>
      <c r="AB22" s="3">
        <v>0.56369390103567318</v>
      </c>
      <c r="AC22" s="19">
        <f t="shared" si="8"/>
        <v>0.53486489843326657</v>
      </c>
      <c r="AD22" s="25">
        <f t="shared" si="21"/>
        <v>1.0697297968665331</v>
      </c>
      <c r="AE22" s="3">
        <v>0.12790697674418605</v>
      </c>
      <c r="AF22" s="3">
        <v>0.62034883720930234</v>
      </c>
      <c r="AG22" s="19">
        <f t="shared" si="9"/>
        <v>0.58561216229195578</v>
      </c>
      <c r="AH22" s="25">
        <f t="shared" si="22"/>
        <v>1.1712243245839116</v>
      </c>
      <c r="AI22" s="3">
        <v>0.14117647058823529</v>
      </c>
      <c r="AJ22" s="3">
        <v>0.68470588235294116</v>
      </c>
      <c r="AK22" s="19">
        <f t="shared" si="10"/>
        <v>0.64263236349583153</v>
      </c>
      <c r="AL22" s="25">
        <f t="shared" si="23"/>
        <v>1.2852647269916631</v>
      </c>
      <c r="AM22" s="3">
        <v>0.15476190476190477</v>
      </c>
      <c r="AN22" s="3">
        <v>0.75059523809523809</v>
      </c>
      <c r="AO22" s="19">
        <f t="shared" si="11"/>
        <v>0.70033183844049796</v>
      </c>
      <c r="AP22" s="25">
        <f t="shared" si="24"/>
        <v>1.4006636768809959</v>
      </c>
      <c r="AQ22" s="3">
        <v>0.16867469879518071</v>
      </c>
      <c r="AR22" s="3">
        <v>0.81807228915662633</v>
      </c>
      <c r="AS22" s="19">
        <f t="shared" si="12"/>
        <v>0.75872279799983289</v>
      </c>
      <c r="AT22" s="25">
        <f t="shared" si="25"/>
        <v>1.5174455959996658</v>
      </c>
    </row>
    <row r="23" spans="1:46" x14ac:dyDescent="0.5">
      <c r="A23" s="1">
        <f>A22+1</f>
        <v>3</v>
      </c>
      <c r="B23" s="1">
        <f>1+B22</f>
        <v>2.5</v>
      </c>
      <c r="C23" s="3">
        <v>0.11494252873563218</v>
      </c>
      <c r="D23" s="3">
        <v>0.55747126436781602</v>
      </c>
      <c r="E23" s="23">
        <f t="shared" si="13"/>
        <v>0.51288830138797104</v>
      </c>
      <c r="F23" s="25">
        <f t="shared" si="14"/>
        <v>1.0257766027759421</v>
      </c>
      <c r="G23" s="3">
        <v>0.44776119402985076</v>
      </c>
      <c r="H23" s="3">
        <v>2.1716417910447765</v>
      </c>
      <c r="I23" s="19">
        <f t="shared" si="15"/>
        <v>1.6222996515679424</v>
      </c>
      <c r="J23" s="25">
        <f t="shared" si="16"/>
        <v>3.2445993031358848</v>
      </c>
      <c r="K23" s="3">
        <v>1.0638297872340425</v>
      </c>
      <c r="L23" s="3">
        <v>5.1595744680851059</v>
      </c>
      <c r="M23" s="19">
        <f t="shared" si="17"/>
        <v>2.8592483419307322</v>
      </c>
      <c r="N23" s="25">
        <f t="shared" si="18"/>
        <v>5.7184966838614644</v>
      </c>
      <c r="O23" s="3">
        <v>2.5925925925925926</v>
      </c>
      <c r="P23" s="3">
        <v>12.574074074074073</v>
      </c>
      <c r="Q23" s="19">
        <f t="shared" si="4"/>
        <v>4.2470680218920993</v>
      </c>
      <c r="R23" s="25">
        <f t="shared" si="19"/>
        <v>8.4941360437841986</v>
      </c>
      <c r="S23" s="3">
        <v>12.857142857142858</v>
      </c>
      <c r="T23" s="3">
        <v>62.357142857142854</v>
      </c>
      <c r="U23" s="19">
        <f t="shared" si="5"/>
        <v>5.8151540383014124</v>
      </c>
      <c r="V23" s="25">
        <f t="shared" si="20"/>
        <v>11.630308076602825</v>
      </c>
      <c r="W23" s="34">
        <v>0.18292682926829268</v>
      </c>
      <c r="X23" s="34">
        <v>0.88719512195121941</v>
      </c>
      <c r="Y23" s="19">
        <f t="shared" si="6"/>
        <v>0.77937730164044161</v>
      </c>
      <c r="Z23" s="25">
        <f t="shared" si="7"/>
        <v>1.5587546032808832</v>
      </c>
      <c r="AA23" s="3">
        <v>0.11622554660529343</v>
      </c>
      <c r="AB23" s="3">
        <v>0.56369390103567318</v>
      </c>
      <c r="AC23" s="19">
        <f t="shared" si="8"/>
        <v>0.51815074606144285</v>
      </c>
      <c r="AD23" s="25">
        <f t="shared" si="21"/>
        <v>1.0363014921228857</v>
      </c>
      <c r="AE23" s="3">
        <v>0.12790697674418605</v>
      </c>
      <c r="AF23" s="3">
        <v>0.62034883720930234</v>
      </c>
      <c r="AG23" s="19">
        <f t="shared" si="9"/>
        <v>0.56563514677622373</v>
      </c>
      <c r="AH23" s="25">
        <f t="shared" si="22"/>
        <v>1.1312702935524475</v>
      </c>
      <c r="AI23" s="3">
        <v>0.14117647058823529</v>
      </c>
      <c r="AJ23" s="3">
        <v>0.68470588235294116</v>
      </c>
      <c r="AK23" s="19">
        <f t="shared" si="10"/>
        <v>0.61865532819558888</v>
      </c>
      <c r="AL23" s="25">
        <f t="shared" si="23"/>
        <v>1.2373106563911778</v>
      </c>
      <c r="AM23" s="3">
        <v>0.15476190476190477</v>
      </c>
      <c r="AN23" s="3">
        <v>0.75059523809523809</v>
      </c>
      <c r="AO23" s="19">
        <f t="shared" si="11"/>
        <v>0.67195097582095542</v>
      </c>
      <c r="AP23" s="25">
        <f t="shared" si="24"/>
        <v>1.3439019516419108</v>
      </c>
      <c r="AQ23" s="3">
        <v>0.16867469879518071</v>
      </c>
      <c r="AR23" s="3">
        <v>0.81807228915662633</v>
      </c>
      <c r="AS23" s="19">
        <f t="shared" si="12"/>
        <v>0.72552424201950128</v>
      </c>
      <c r="AT23" s="25">
        <f t="shared" si="25"/>
        <v>1.4510484840390026</v>
      </c>
    </row>
    <row r="24" spans="1:46" x14ac:dyDescent="0.5">
      <c r="A24" s="1">
        <v>5</v>
      </c>
      <c r="B24" s="1">
        <v>4.5</v>
      </c>
      <c r="C24" s="3">
        <v>0.11494252873563218</v>
      </c>
      <c r="D24" s="3">
        <v>0.55747126436781602</v>
      </c>
      <c r="E24" s="23">
        <f t="shared" si="13"/>
        <v>0.48300759367608614</v>
      </c>
      <c r="F24" s="25">
        <f t="shared" si="14"/>
        <v>0.96601518735217229</v>
      </c>
      <c r="G24" s="3">
        <v>0.44776119402985076</v>
      </c>
      <c r="H24" s="3">
        <v>2.1716417910447765</v>
      </c>
      <c r="I24" s="19">
        <f t="shared" si="15"/>
        <v>1.3568014920153848</v>
      </c>
      <c r="J24" s="25">
        <f t="shared" si="16"/>
        <v>2.7136029840307696</v>
      </c>
      <c r="K24" s="3">
        <v>1.0638297872340425</v>
      </c>
      <c r="L24" s="3">
        <v>5.1595744680851059</v>
      </c>
      <c r="M24" s="19">
        <f t="shared" si="17"/>
        <v>2.1260273972602728</v>
      </c>
      <c r="N24" s="25">
        <f t="shared" si="18"/>
        <v>4.2520547945205456</v>
      </c>
      <c r="O24" s="3">
        <v>2.5925925925925926</v>
      </c>
      <c r="P24" s="3">
        <v>12.574074074074073</v>
      </c>
      <c r="Q24" s="19">
        <f t="shared" si="4"/>
        <v>2.8083962361699935</v>
      </c>
      <c r="R24" s="25">
        <f t="shared" si="19"/>
        <v>5.6167924723399869</v>
      </c>
      <c r="S24" s="3">
        <v>12.857142857142858</v>
      </c>
      <c r="T24" s="3">
        <v>62.357142857142854</v>
      </c>
      <c r="U24" s="19">
        <f t="shared" si="5"/>
        <v>3.4178330233923808</v>
      </c>
      <c r="V24" s="25">
        <f t="shared" si="20"/>
        <v>6.8356660467847616</v>
      </c>
      <c r="W24" s="34">
        <v>0.18292682926829268</v>
      </c>
      <c r="X24" s="34">
        <v>0.88719512195121941</v>
      </c>
      <c r="Y24" s="19">
        <f t="shared" si="6"/>
        <v>0.71240589999387927</v>
      </c>
      <c r="Z24" s="25">
        <f t="shared" si="7"/>
        <v>1.4248117999877585</v>
      </c>
      <c r="AA24" s="3">
        <v>0.11622554660529343</v>
      </c>
      <c r="AB24" s="3">
        <v>0.56369390103567318</v>
      </c>
      <c r="AC24" s="19">
        <f t="shared" si="8"/>
        <v>0.48767193521932606</v>
      </c>
      <c r="AD24" s="25">
        <f t="shared" si="21"/>
        <v>0.97534387043865212</v>
      </c>
      <c r="AE24" s="3">
        <v>0.12790697674418605</v>
      </c>
      <c r="AF24" s="3">
        <v>0.62034883720930234</v>
      </c>
      <c r="AG24" s="19">
        <f t="shared" si="9"/>
        <v>0.52950882721486825</v>
      </c>
      <c r="AH24" s="25">
        <f t="shared" si="22"/>
        <v>1.0590176544297365</v>
      </c>
      <c r="AI24" s="3">
        <v>0.14117647058823529</v>
      </c>
      <c r="AJ24" s="3">
        <v>0.68470588235294116</v>
      </c>
      <c r="AK24" s="19">
        <f t="shared" si="10"/>
        <v>0.57569612740491605</v>
      </c>
      <c r="AL24" s="25">
        <f t="shared" si="23"/>
        <v>1.1513922548098321</v>
      </c>
      <c r="AM24" s="3">
        <v>0.15476190476190477</v>
      </c>
      <c r="AN24" s="3">
        <v>0.75059523809523809</v>
      </c>
      <c r="AO24" s="19">
        <f t="shared" si="11"/>
        <v>0.62157266263293465</v>
      </c>
      <c r="AP24" s="25">
        <f t="shared" si="24"/>
        <v>1.2431453252658693</v>
      </c>
      <c r="AQ24" s="3">
        <v>0.16867469879518071</v>
      </c>
      <c r="AR24" s="3">
        <v>0.81807228915662633</v>
      </c>
      <c r="AS24" s="19">
        <f t="shared" si="12"/>
        <v>0.66714155879246395</v>
      </c>
      <c r="AT24" s="25">
        <f t="shared" si="25"/>
        <v>1.3342831175849279</v>
      </c>
    </row>
    <row r="25" spans="1:46" x14ac:dyDescent="0.5">
      <c r="A25" s="1">
        <v>8</v>
      </c>
      <c r="B25" s="1">
        <v>7.5</v>
      </c>
      <c r="C25" s="3">
        <v>0.11494252873563218</v>
      </c>
      <c r="D25" s="3">
        <v>0.55747126436781602</v>
      </c>
      <c r="E25" s="23">
        <f t="shared" si="13"/>
        <v>0.44419004006869062</v>
      </c>
      <c r="F25" s="25">
        <f t="shared" si="14"/>
        <v>0.88838008013738123</v>
      </c>
      <c r="G25" s="3">
        <v>0.44776119402985076</v>
      </c>
      <c r="H25" s="3">
        <v>2.1716417910447765</v>
      </c>
      <c r="I25" s="19">
        <f t="shared" si="15"/>
        <v>1.089377632194666</v>
      </c>
      <c r="J25" s="25">
        <f t="shared" si="16"/>
        <v>2.178755264389332</v>
      </c>
      <c r="K25" s="3">
        <v>1.0638297872340425</v>
      </c>
      <c r="L25" s="3">
        <v>5.1595744680851059</v>
      </c>
      <c r="M25" s="19">
        <f t="shared" si="17"/>
        <v>1.5354174910961629</v>
      </c>
      <c r="N25" s="25">
        <f t="shared" si="18"/>
        <v>3.0708349821923258</v>
      </c>
      <c r="O25" s="3">
        <v>2.5925925925925926</v>
      </c>
      <c r="P25" s="3">
        <v>12.574074074074073</v>
      </c>
      <c r="Q25" s="19">
        <f t="shared" si="4"/>
        <v>1.8621871786081552</v>
      </c>
      <c r="R25" s="25">
        <f t="shared" si="19"/>
        <v>3.7243743572163104</v>
      </c>
      <c r="S25" s="3">
        <v>12.857142857142858</v>
      </c>
      <c r="T25" s="3">
        <v>62.357142857142854</v>
      </c>
      <c r="U25" s="19">
        <f t="shared" si="5"/>
        <v>2.1118838826731188</v>
      </c>
      <c r="V25" s="25">
        <f t="shared" si="20"/>
        <v>4.2237677653462375</v>
      </c>
      <c r="W25" s="34">
        <v>0.18292682926829268</v>
      </c>
      <c r="X25" s="34">
        <v>0.88719512195121941</v>
      </c>
      <c r="Y25" s="19">
        <f t="shared" si="6"/>
        <v>0.63106532935754789</v>
      </c>
      <c r="Z25" s="25">
        <f t="shared" si="7"/>
        <v>1.2621306587150958</v>
      </c>
      <c r="AA25" s="3">
        <v>0.11622554660529343</v>
      </c>
      <c r="AB25" s="3">
        <v>0.56369390103567318</v>
      </c>
      <c r="AC25" s="19">
        <f t="shared" si="8"/>
        <v>0.44813173618456803</v>
      </c>
      <c r="AD25" s="25">
        <f t="shared" si="21"/>
        <v>0.89626347236913606</v>
      </c>
      <c r="AE25" s="3">
        <v>0.12790697674418605</v>
      </c>
      <c r="AF25" s="3">
        <v>0.62034883720930234</v>
      </c>
      <c r="AG25" s="19">
        <f t="shared" si="9"/>
        <v>0.48321539767902666</v>
      </c>
      <c r="AH25" s="25">
        <f t="shared" si="22"/>
        <v>0.96643079535805332</v>
      </c>
      <c r="AI25" s="3">
        <v>0.14117647058823529</v>
      </c>
      <c r="AJ25" s="3">
        <v>0.68470588235294116</v>
      </c>
      <c r="AK25" s="19">
        <f t="shared" si="10"/>
        <v>0.52138857782754677</v>
      </c>
      <c r="AL25" s="25">
        <f t="shared" si="23"/>
        <v>1.0427771556550935</v>
      </c>
      <c r="AM25" s="3">
        <v>0.15476190476190477</v>
      </c>
      <c r="AN25" s="3">
        <v>0.75059523809523809</v>
      </c>
      <c r="AO25" s="19">
        <f t="shared" si="11"/>
        <v>0.55873719191359617</v>
      </c>
      <c r="AP25" s="25">
        <f t="shared" si="24"/>
        <v>1.1174743838271923</v>
      </c>
      <c r="AQ25" s="3">
        <v>0.16867469879518071</v>
      </c>
      <c r="AR25" s="3">
        <v>0.81807228915662633</v>
      </c>
      <c r="AS25" s="19">
        <f t="shared" si="12"/>
        <v>0.59528767123287796</v>
      </c>
      <c r="AT25" s="25">
        <f t="shared" si="25"/>
        <v>1.1905753424657559</v>
      </c>
    </row>
    <row r="26" spans="1:46" x14ac:dyDescent="0.5">
      <c r="A26" s="1">
        <v>12</v>
      </c>
      <c r="B26" s="1">
        <v>11.5</v>
      </c>
      <c r="C26" s="3">
        <v>0.11494252873563218</v>
      </c>
      <c r="D26" s="3">
        <v>0.55747126436781602</v>
      </c>
      <c r="E26" s="23">
        <f t="shared" si="13"/>
        <v>0.40119946230999903</v>
      </c>
      <c r="F26" s="25">
        <f t="shared" si="14"/>
        <v>0.80239892461999807</v>
      </c>
      <c r="G26" s="3">
        <v>0.44776119402985076</v>
      </c>
      <c r="H26" s="3">
        <v>2.1716417910447765</v>
      </c>
      <c r="I26" s="19">
        <f t="shared" si="15"/>
        <v>0.86266953235010502</v>
      </c>
      <c r="J26" s="25">
        <f t="shared" si="16"/>
        <v>1.72533906470021</v>
      </c>
      <c r="K26" s="3">
        <v>1.0638297872340425</v>
      </c>
      <c r="L26" s="3">
        <v>5.1595744680851059</v>
      </c>
      <c r="M26" s="19">
        <f t="shared" si="17"/>
        <v>1.1204158244296862</v>
      </c>
      <c r="N26" s="25">
        <f t="shared" si="18"/>
        <v>2.2408316488593725</v>
      </c>
      <c r="O26" s="3">
        <v>2.5925925925925926</v>
      </c>
      <c r="P26" s="3">
        <v>12.574074074074073</v>
      </c>
      <c r="Q26" s="19">
        <f t="shared" si="4"/>
        <v>1.2849505606282765</v>
      </c>
      <c r="R26" s="25">
        <f t="shared" si="19"/>
        <v>2.569901121256553</v>
      </c>
      <c r="S26" s="3">
        <v>12.857142857142858</v>
      </c>
      <c r="T26" s="3">
        <v>62.357142857142854</v>
      </c>
      <c r="U26" s="19">
        <f t="shared" si="5"/>
        <v>1.3990945150046081</v>
      </c>
      <c r="V26" s="25">
        <f t="shared" si="20"/>
        <v>2.7981890300092163</v>
      </c>
      <c r="W26" s="34">
        <v>0.18292682926829268</v>
      </c>
      <c r="X26" s="34">
        <v>0.88719512195121941</v>
      </c>
      <c r="Y26" s="19">
        <f t="shared" si="6"/>
        <v>0.54768738531030658</v>
      </c>
      <c r="Z26" s="25">
        <f t="shared" si="7"/>
        <v>1.0953747706206132</v>
      </c>
      <c r="AA26" s="3">
        <v>0.11622554660529343</v>
      </c>
      <c r="AB26" s="3">
        <v>0.56369390103567318</v>
      </c>
      <c r="AC26" s="19">
        <f t="shared" si="8"/>
        <v>0.40441233381251368</v>
      </c>
      <c r="AD26" s="25">
        <f t="shared" si="21"/>
        <v>0.80882466762502736</v>
      </c>
      <c r="AE26" s="3">
        <v>0.12790697674418605</v>
      </c>
      <c r="AF26" s="3">
        <v>0.62034883720930234</v>
      </c>
      <c r="AG26" s="19">
        <f t="shared" si="9"/>
        <v>0.43276786891229962</v>
      </c>
      <c r="AH26" s="25">
        <f t="shared" si="22"/>
        <v>0.86553573782459925</v>
      </c>
      <c r="AI26" s="3">
        <v>0.14117647058823529</v>
      </c>
      <c r="AJ26" s="3">
        <v>0.68470588235294116</v>
      </c>
      <c r="AK26" s="19">
        <f t="shared" si="10"/>
        <v>0.46313611586360615</v>
      </c>
      <c r="AL26" s="25">
        <f t="shared" si="23"/>
        <v>0.92627223172721229</v>
      </c>
      <c r="AM26" s="3">
        <v>0.15476190476190477</v>
      </c>
      <c r="AN26" s="3">
        <v>0.75059523809523809</v>
      </c>
      <c r="AO26" s="19">
        <f t="shared" si="11"/>
        <v>0.49237136749216764</v>
      </c>
      <c r="AP26" s="25">
        <f t="shared" si="24"/>
        <v>0.98474273498433529</v>
      </c>
      <c r="AQ26" s="3">
        <v>0.16867469879518071</v>
      </c>
      <c r="AR26" s="3">
        <v>0.81807228915662633</v>
      </c>
      <c r="AS26" s="19">
        <f t="shared" si="12"/>
        <v>0.52053586829446263</v>
      </c>
      <c r="AT26" s="25">
        <f t="shared" si="25"/>
        <v>1.0410717365889253</v>
      </c>
    </row>
    <row r="27" spans="1:46" x14ac:dyDescent="0.5">
      <c r="A27" s="1">
        <v>15</v>
      </c>
      <c r="B27" s="1">
        <v>14.5</v>
      </c>
      <c r="C27" s="3">
        <v>0.11494252873563218</v>
      </c>
      <c r="D27" s="3">
        <v>0.55747126436781602</v>
      </c>
      <c r="E27" s="23">
        <f t="shared" si="13"/>
        <v>0.37404800925479853</v>
      </c>
      <c r="F27" s="25">
        <f t="shared" si="14"/>
        <v>0.74809601850959706</v>
      </c>
      <c r="G27" s="3">
        <v>0.44776119402985076</v>
      </c>
      <c r="H27" s="3">
        <v>2.1716417910447765</v>
      </c>
      <c r="I27" s="19">
        <f t="shared" si="15"/>
        <v>0.74620167959484374</v>
      </c>
      <c r="J27" s="25">
        <f t="shared" si="16"/>
        <v>1.4924033591896875</v>
      </c>
      <c r="K27" s="3">
        <v>1.0638297872340425</v>
      </c>
      <c r="L27" s="3">
        <v>5.1595744680851059</v>
      </c>
      <c r="M27" s="19">
        <f t="shared" si="17"/>
        <v>0.93157262905162141</v>
      </c>
      <c r="N27" s="25">
        <f t="shared" si="18"/>
        <v>1.8631452581032428</v>
      </c>
      <c r="O27" s="3">
        <v>2.5925925925925926</v>
      </c>
      <c r="P27" s="3">
        <v>12.574074074074073</v>
      </c>
      <c r="Q27" s="19">
        <f t="shared" si="4"/>
        <v>1.0425703427891446</v>
      </c>
      <c r="R27" s="25">
        <f t="shared" si="19"/>
        <v>2.0851406855782892</v>
      </c>
      <c r="S27" s="3">
        <v>12.857142857142858</v>
      </c>
      <c r="T27" s="3">
        <v>62.357142857142854</v>
      </c>
      <c r="U27" s="19">
        <f t="shared" si="5"/>
        <v>1.1164753652843988</v>
      </c>
      <c r="V27" s="25">
        <f t="shared" si="20"/>
        <v>2.2329507305687977</v>
      </c>
      <c r="W27" s="34">
        <v>0.18292682926829268</v>
      </c>
      <c r="X27" s="34">
        <v>0.88719512195121941</v>
      </c>
      <c r="Y27" s="19">
        <f t="shared" si="6"/>
        <v>0.49830900295389335</v>
      </c>
      <c r="Z27" s="25">
        <f t="shared" si="7"/>
        <v>0.99661800590778671</v>
      </c>
      <c r="AA27" s="3">
        <v>0.11622554660529343</v>
      </c>
      <c r="AB27" s="3">
        <v>0.56369390103567318</v>
      </c>
      <c r="AC27" s="19">
        <f t="shared" si="8"/>
        <v>0.37683921635752238</v>
      </c>
      <c r="AD27" s="25">
        <f t="shared" si="21"/>
        <v>0.75367843271504475</v>
      </c>
      <c r="AE27" s="3">
        <v>0.12790697674418605</v>
      </c>
      <c r="AF27" s="3">
        <v>0.62034883720930234</v>
      </c>
      <c r="AG27" s="19">
        <f t="shared" si="9"/>
        <v>0.40134282463349752</v>
      </c>
      <c r="AH27" s="25">
        <f t="shared" si="22"/>
        <v>0.80268564926699504</v>
      </c>
      <c r="AI27" s="3">
        <v>0.14117647058823529</v>
      </c>
      <c r="AJ27" s="3">
        <v>0.68470588235294116</v>
      </c>
      <c r="AK27" s="19">
        <f t="shared" si="10"/>
        <v>0.42732846286574333</v>
      </c>
      <c r="AL27" s="25">
        <f t="shared" si="23"/>
        <v>0.85465692573148666</v>
      </c>
      <c r="AM27" s="3">
        <v>0.15476190476190477</v>
      </c>
      <c r="AN27" s="3">
        <v>0.75059523809523809</v>
      </c>
      <c r="AO27" s="19">
        <f t="shared" si="11"/>
        <v>0.45209690863949353</v>
      </c>
      <c r="AP27" s="25">
        <f t="shared" si="24"/>
        <v>0.90419381727898707</v>
      </c>
      <c r="AQ27" s="3">
        <v>0.16867469879518071</v>
      </c>
      <c r="AR27" s="3">
        <v>0.81807228915662633</v>
      </c>
      <c r="AS27" s="19">
        <f t="shared" si="12"/>
        <v>0.47573172654183782</v>
      </c>
      <c r="AT27" s="25">
        <f t="shared" si="25"/>
        <v>0.95146345308367564</v>
      </c>
    </row>
    <row r="28" spans="1:46" x14ac:dyDescent="0.5">
      <c r="A28" s="1">
        <v>19</v>
      </c>
      <c r="B28" s="1">
        <v>18.5</v>
      </c>
      <c r="C28" s="3">
        <v>0.11494252873563218</v>
      </c>
      <c r="D28" s="3">
        <v>0.55747126436781602</v>
      </c>
      <c r="E28" s="23">
        <f t="shared" si="13"/>
        <v>0.34308957467503975</v>
      </c>
      <c r="F28" s="25">
        <f t="shared" si="14"/>
        <v>0.68617914935007951</v>
      </c>
      <c r="G28" s="3">
        <v>0.44776119402985076</v>
      </c>
      <c r="H28" s="3">
        <v>2.1716417910447765</v>
      </c>
      <c r="I28" s="19">
        <f t="shared" si="15"/>
        <v>0.63236812082359584</v>
      </c>
      <c r="J28" s="25">
        <f t="shared" si="16"/>
        <v>1.2647362416471917</v>
      </c>
      <c r="K28" s="3">
        <v>1.0638297872340425</v>
      </c>
      <c r="L28" s="3">
        <v>5.1595744680851059</v>
      </c>
      <c r="M28" s="19">
        <f t="shared" si="17"/>
        <v>0.7606351695745982</v>
      </c>
      <c r="N28" s="25">
        <f t="shared" si="18"/>
        <v>1.5212703391491964</v>
      </c>
      <c r="O28" s="3">
        <v>2.5925925925925926</v>
      </c>
      <c r="P28" s="3">
        <v>12.574074074074073</v>
      </c>
      <c r="Q28" s="19">
        <f t="shared" si="4"/>
        <v>0.8330521731129038</v>
      </c>
      <c r="R28" s="25">
        <f t="shared" si="19"/>
        <v>1.6661043462258076</v>
      </c>
      <c r="S28" s="3">
        <v>12.857142857142858</v>
      </c>
      <c r="T28" s="3">
        <v>62.357142857142854</v>
      </c>
      <c r="U28" s="19">
        <f t="shared" si="5"/>
        <v>0.87957482179290558</v>
      </c>
      <c r="V28" s="25">
        <f t="shared" si="20"/>
        <v>1.7591496435858112</v>
      </c>
      <c r="W28" s="34">
        <v>0.18292682926829268</v>
      </c>
      <c r="X28" s="34">
        <v>0.88719512195121941</v>
      </c>
      <c r="Y28" s="19">
        <f t="shared" si="6"/>
        <v>0.44483509764206985</v>
      </c>
      <c r="Z28" s="25">
        <f t="shared" si="7"/>
        <v>0.88967019528413971</v>
      </c>
      <c r="AA28" s="3">
        <v>0.11622554660529343</v>
      </c>
      <c r="AB28" s="3">
        <v>0.56369390103567318</v>
      </c>
      <c r="AC28" s="19">
        <f t="shared" si="8"/>
        <v>0.34543641891349913</v>
      </c>
      <c r="AD28" s="25">
        <f t="shared" si="21"/>
        <v>0.69087283782699827</v>
      </c>
      <c r="AE28" s="3">
        <v>0.12790697674418605</v>
      </c>
      <c r="AF28" s="3">
        <v>0.62034883720930234</v>
      </c>
      <c r="AG28" s="19">
        <f t="shared" si="9"/>
        <v>0.36591534563910683</v>
      </c>
      <c r="AH28" s="25">
        <f t="shared" si="22"/>
        <v>0.73183069127821365</v>
      </c>
      <c r="AI28" s="3">
        <v>0.14117647058823529</v>
      </c>
      <c r="AJ28" s="3">
        <v>0.68470588235294116</v>
      </c>
      <c r="AK28" s="19">
        <f t="shared" si="10"/>
        <v>0.387393084168138</v>
      </c>
      <c r="AL28" s="25">
        <f t="shared" si="23"/>
        <v>0.774786168336276</v>
      </c>
      <c r="AM28" s="3">
        <v>0.15476190476190477</v>
      </c>
      <c r="AN28" s="3">
        <v>0.75059523809523809</v>
      </c>
      <c r="AO28" s="19">
        <f t="shared" si="11"/>
        <v>0.40763878225591293</v>
      </c>
      <c r="AP28" s="25">
        <f t="shared" si="24"/>
        <v>0.81527756451182587</v>
      </c>
      <c r="AQ28" s="3">
        <v>0.16867469879518071</v>
      </c>
      <c r="AR28" s="3">
        <v>0.81807228915662633</v>
      </c>
      <c r="AS28" s="19">
        <f t="shared" si="12"/>
        <v>0.42675549549832942</v>
      </c>
      <c r="AT28" s="25">
        <f t="shared" si="25"/>
        <v>0.85351099099665884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9602-DDE8-4599-B70E-A3CA15B34A69}">
  <dimension ref="A1:BN36"/>
  <sheetViews>
    <sheetView showGridLines="0" topLeftCell="V22" workbookViewId="0">
      <selection activeCell="AM67" sqref="AM67"/>
    </sheetView>
  </sheetViews>
  <sheetFormatPr defaultRowHeight="14.35" x14ac:dyDescent="0.5"/>
  <cols>
    <col min="1" max="4" width="8.87890625" style="1"/>
    <col min="5" max="5" width="11.52734375" bestFit="1" customWidth="1"/>
    <col min="30" max="32" width="0" hidden="1" customWidth="1"/>
    <col min="33" max="33" width="12.87890625" customWidth="1"/>
    <col min="56" max="56" width="8.87890625" style="1"/>
    <col min="57" max="59" width="11.87890625" style="1" customWidth="1"/>
  </cols>
  <sheetData>
    <row r="1" spans="1:66" ht="71.7" x14ac:dyDescent="0.5">
      <c r="A1" s="1" t="s">
        <v>34</v>
      </c>
      <c r="B1" s="1" t="s">
        <v>5</v>
      </c>
      <c r="C1" s="1" t="s">
        <v>6</v>
      </c>
      <c r="D1" s="1" t="s">
        <v>35</v>
      </c>
      <c r="E1" s="16" t="s">
        <v>55</v>
      </c>
      <c r="F1" s="16" t="s">
        <v>60</v>
      </c>
      <c r="G1" s="16"/>
      <c r="H1" s="1" t="s">
        <v>34</v>
      </c>
      <c r="I1" s="1" t="s">
        <v>6</v>
      </c>
      <c r="J1" s="1" t="s">
        <v>35</v>
      </c>
      <c r="K1" s="16" t="s">
        <v>55</v>
      </c>
      <c r="L1" s="16" t="s">
        <v>60</v>
      </c>
      <c r="N1" s="1" t="s">
        <v>34</v>
      </c>
      <c r="O1" s="1" t="s">
        <v>5</v>
      </c>
      <c r="P1" s="1" t="s">
        <v>6</v>
      </c>
      <c r="Q1" s="1" t="s">
        <v>35</v>
      </c>
      <c r="R1" s="16" t="s">
        <v>55</v>
      </c>
      <c r="S1" s="16" t="s">
        <v>60</v>
      </c>
      <c r="U1" s="1" t="s">
        <v>34</v>
      </c>
      <c r="V1" s="1" t="s">
        <v>5</v>
      </c>
      <c r="W1" s="1" t="s">
        <v>6</v>
      </c>
      <c r="X1" s="1" t="s">
        <v>35</v>
      </c>
      <c r="Y1" s="16" t="s">
        <v>55</v>
      </c>
      <c r="Z1" s="16" t="s">
        <v>60</v>
      </c>
      <c r="AB1" s="1" t="s">
        <v>34</v>
      </c>
      <c r="AC1" s="1" t="s">
        <v>88</v>
      </c>
      <c r="AD1" s="1" t="s">
        <v>6</v>
      </c>
      <c r="AE1" s="1" t="s">
        <v>35</v>
      </c>
      <c r="AF1" s="16" t="s">
        <v>55</v>
      </c>
      <c r="AG1" s="16" t="s">
        <v>60</v>
      </c>
      <c r="AI1" s="1" t="s">
        <v>34</v>
      </c>
      <c r="AJ1" s="1" t="s">
        <v>5</v>
      </c>
      <c r="AK1" s="1" t="s">
        <v>6</v>
      </c>
      <c r="AL1" s="1" t="s">
        <v>35</v>
      </c>
      <c r="AM1" s="16" t="s">
        <v>55</v>
      </c>
      <c r="AN1" s="16" t="s">
        <v>60</v>
      </c>
      <c r="AP1" s="1" t="s">
        <v>34</v>
      </c>
      <c r="AQ1" s="1" t="s">
        <v>5</v>
      </c>
      <c r="AR1" s="1" t="s">
        <v>6</v>
      </c>
      <c r="AS1" s="1" t="s">
        <v>35</v>
      </c>
      <c r="AT1" s="16" t="s">
        <v>55</v>
      </c>
      <c r="AU1" s="16" t="s">
        <v>60</v>
      </c>
      <c r="AW1" s="1" t="s">
        <v>34</v>
      </c>
      <c r="AX1" s="1" t="s">
        <v>5</v>
      </c>
      <c r="AY1" s="1" t="s">
        <v>6</v>
      </c>
      <c r="AZ1" s="1" t="s">
        <v>35</v>
      </c>
      <c r="BA1" s="16" t="s">
        <v>55</v>
      </c>
      <c r="BB1" s="16" t="s">
        <v>60</v>
      </c>
      <c r="BD1" s="1" t="s">
        <v>34</v>
      </c>
      <c r="BE1" s="1" t="s">
        <v>5</v>
      </c>
      <c r="BF1" s="1" t="s">
        <v>6</v>
      </c>
      <c r="BG1" s="1" t="s">
        <v>35</v>
      </c>
      <c r="BH1" s="16" t="s">
        <v>55</v>
      </c>
      <c r="BI1" s="16" t="s">
        <v>60</v>
      </c>
      <c r="BK1" s="20" t="s">
        <v>68</v>
      </c>
      <c r="BL1" s="21" t="s">
        <v>65</v>
      </c>
      <c r="BM1" s="21" t="s">
        <v>66</v>
      </c>
      <c r="BN1" s="21" t="s">
        <v>67</v>
      </c>
    </row>
    <row r="2" spans="1:66" x14ac:dyDescent="0.5">
      <c r="A2" s="1">
        <v>85</v>
      </c>
      <c r="B2" s="1">
        <v>0.01</v>
      </c>
      <c r="C2" s="1">
        <v>7.9</v>
      </c>
      <c r="D2" s="1">
        <f>C2/B2</f>
        <v>790</v>
      </c>
      <c r="E2" s="4">
        <f>A2/$A$36*B2*$B$36/(1+A2/$A$36*B2)</f>
        <v>7.9088729016786585</v>
      </c>
      <c r="F2" s="4">
        <f>E2/B2</f>
        <v>790.88729016786579</v>
      </c>
      <c r="G2" s="1"/>
      <c r="H2" s="1">
        <v>10</v>
      </c>
      <c r="I2" s="1">
        <v>0.97</v>
      </c>
      <c r="J2" s="1">
        <f>I2/B2</f>
        <v>97</v>
      </c>
      <c r="K2" s="4">
        <f>H2/$A$36*B2*$B$36/(1+H2/$A$36*B2)</f>
        <v>0.96517412935323388</v>
      </c>
      <c r="L2" s="4">
        <f>K2/B2</f>
        <v>96.517412935323392</v>
      </c>
      <c r="N2" s="1">
        <v>20</v>
      </c>
      <c r="O2" s="1">
        <v>0.01</v>
      </c>
      <c r="P2" s="1">
        <v>1.92</v>
      </c>
      <c r="Q2" s="1">
        <f>P2/O2</f>
        <v>192</v>
      </c>
      <c r="R2" s="4">
        <f t="shared" ref="R2:R19" si="0">N2/$A$36*O2*$B$36/(1+N2/$A$36*O2)</f>
        <v>1.9207920792079207</v>
      </c>
      <c r="S2" s="4">
        <f>R2/O2</f>
        <v>192.07920792079207</v>
      </c>
      <c r="U2" s="1">
        <v>5</v>
      </c>
      <c r="V2" s="1">
        <v>0.01</v>
      </c>
      <c r="W2" s="1">
        <v>0.48</v>
      </c>
      <c r="X2" s="1">
        <f>W2/V2</f>
        <v>48</v>
      </c>
      <c r="Y2" s="4">
        <f>U2/$A$36*V2*$B$36/(1+U2/$A$36*V2)</f>
        <v>0.48379052369077308</v>
      </c>
      <c r="Z2" s="4">
        <f>Y2/V2</f>
        <v>48.379052369077307</v>
      </c>
      <c r="AB2" s="1">
        <v>0.115</v>
      </c>
      <c r="AC2" s="1">
        <v>0.01</v>
      </c>
      <c r="AD2" s="1">
        <v>9.4999999999999998E-3</v>
      </c>
      <c r="AE2" s="1">
        <f>AD2/AC2</f>
        <v>0.95</v>
      </c>
      <c r="AF2" s="4">
        <f>AB2/$A$36*AC2*$B$36/(1+AB2/$A$36*AC2)</f>
        <v>1.1154358624379098E-2</v>
      </c>
      <c r="AG2" s="4">
        <f>AF2/AC2</f>
        <v>1.1154358624379097</v>
      </c>
      <c r="AI2" s="1">
        <v>0.65</v>
      </c>
      <c r="AJ2" s="1">
        <v>0.01</v>
      </c>
      <c r="AK2" s="1">
        <f>9.7*AJ2</f>
        <v>9.6999999999999989E-2</v>
      </c>
      <c r="AL2" s="1">
        <f>AK2/AJ2</f>
        <v>9.6999999999999993</v>
      </c>
      <c r="AM2" s="4">
        <f>AI2/$A$36*AJ2*$B$36/(1+AI2/$A$36*AJ2)</f>
        <v>6.3029515407492576E-2</v>
      </c>
      <c r="AN2" s="4">
        <f>AM2/AJ2</f>
        <v>6.3029515407492571</v>
      </c>
      <c r="AP2" s="1">
        <v>1</v>
      </c>
      <c r="AQ2" s="1">
        <v>0.01</v>
      </c>
      <c r="AR2" s="1">
        <f>9.7*AQ2</f>
        <v>9.6999999999999989E-2</v>
      </c>
      <c r="AS2" s="1">
        <f>AR2/AQ2</f>
        <v>9.6999999999999993</v>
      </c>
      <c r="AT2" s="4">
        <f>AP2/$A$36*AQ2*$B$36/(1+AP2/$A$36*AQ2)</f>
        <v>9.6951524237881073E-2</v>
      </c>
      <c r="AU2" s="4">
        <f>AT2/AQ2</f>
        <v>9.695152423788107</v>
      </c>
      <c r="AW2" s="1">
        <v>2.2000000000000002</v>
      </c>
      <c r="AX2" s="1">
        <v>0.01</v>
      </c>
      <c r="AY2" s="1">
        <f>21.6*AX2</f>
        <v>0.21600000000000003</v>
      </c>
      <c r="AZ2" s="1">
        <f>AY2/AX2</f>
        <v>21.6</v>
      </c>
      <c r="BA2" s="4">
        <f>AW2/$A$36*AX2*$B$36/(1+AW2/$A$36*AX2)</f>
        <v>0.21316551793027669</v>
      </c>
      <c r="BB2" s="4">
        <f>BA2/AX2</f>
        <v>21.316551793027667</v>
      </c>
      <c r="BD2" s="1">
        <v>0.5</v>
      </c>
      <c r="BE2" s="1">
        <v>0.01</v>
      </c>
      <c r="BF2" s="1">
        <f>21.6*BE2</f>
        <v>0.21600000000000003</v>
      </c>
      <c r="BG2" s="1">
        <f>BF2/BE2</f>
        <v>21.6</v>
      </c>
      <c r="BH2" s="4">
        <f>BD2/$A$36*BE2*$B$36/(1+BD2/$A$36*BE2)</f>
        <v>4.8487878030492378E-2</v>
      </c>
      <c r="BI2" s="4">
        <f>BH2/BE2</f>
        <v>4.8487878030492375</v>
      </c>
      <c r="BK2" s="1">
        <v>10</v>
      </c>
      <c r="BL2" s="4">
        <v>16.166666666666664</v>
      </c>
      <c r="BM2" s="4">
        <v>8.8181818181818183</v>
      </c>
      <c r="BN2" s="4">
        <v>0.73484848484848464</v>
      </c>
    </row>
    <row r="3" spans="1:66" x14ac:dyDescent="0.5">
      <c r="A3" s="1">
        <v>85</v>
      </c>
      <c r="B3" s="1">
        <v>1.4999999999999999E-2</v>
      </c>
      <c r="C3" s="1">
        <v>11.6</v>
      </c>
      <c r="D3" s="1">
        <f>C3/B3</f>
        <v>773.33333333333337</v>
      </c>
      <c r="E3" s="4">
        <f t="shared" ref="E3:E18" si="1">A3/$A$36*B3*$B$36/(1+A3/$A$36*B3)</f>
        <v>11.626321974148061</v>
      </c>
      <c r="F3" s="4">
        <f t="shared" ref="F3:F13" si="2">E3/B3</f>
        <v>775.08813160987074</v>
      </c>
      <c r="G3" s="1"/>
      <c r="H3" s="1">
        <v>10</v>
      </c>
      <c r="I3" s="1">
        <v>1.45</v>
      </c>
      <c r="J3" s="1">
        <f t="shared" ref="J3:J20" si="3">I3/B3</f>
        <v>96.666666666666671</v>
      </c>
      <c r="K3" s="4">
        <f t="shared" ref="K3:K20" si="4">H3/$A$36*B3*$B$36/(1+H3/$A$36*B3)</f>
        <v>1.444168734491315</v>
      </c>
      <c r="L3" s="4">
        <f t="shared" ref="L3:L20" si="5">K3/B3</f>
        <v>96.277915632754343</v>
      </c>
      <c r="N3" s="1">
        <v>20</v>
      </c>
      <c r="O3" s="1">
        <v>0.05</v>
      </c>
      <c r="P3" s="1">
        <v>9.25</v>
      </c>
      <c r="Q3" s="1">
        <f>P3/O3</f>
        <v>185</v>
      </c>
      <c r="R3" s="4">
        <f t="shared" si="0"/>
        <v>9.238095238095239</v>
      </c>
      <c r="S3" s="4">
        <f t="shared" ref="S3:S19" si="6">R3/O3</f>
        <v>184.76190476190476</v>
      </c>
      <c r="U3" s="1">
        <v>5</v>
      </c>
      <c r="V3" s="1">
        <v>0.05</v>
      </c>
      <c r="W3" s="1">
        <v>2.4</v>
      </c>
      <c r="X3" s="1">
        <f>W3/V3</f>
        <v>47.999999999999993</v>
      </c>
      <c r="Y3" s="4">
        <f t="shared" ref="Y3:Y19" si="7">U3/$A$36*V3*$B$36/(1+U3/$A$36*V3)</f>
        <v>2.3950617283950622</v>
      </c>
      <c r="Z3" s="4">
        <f t="shared" ref="Z3:Z19" si="8">Y3/V3</f>
        <v>47.901234567901241</v>
      </c>
      <c r="AB3" s="1">
        <v>0.115</v>
      </c>
      <c r="AC3" s="1">
        <v>0.05</v>
      </c>
      <c r="AD3" s="1">
        <v>4.9000000000000002E-2</v>
      </c>
      <c r="AE3" s="1">
        <f>AD3/AC3</f>
        <v>0.98</v>
      </c>
      <c r="AF3" s="4">
        <f t="shared" ref="AF3:AF19" si="9">AB3/$A$36*AC3*$B$36/(1+AB3/$A$36*AC3)</f>
        <v>5.5758969296327301E-2</v>
      </c>
      <c r="AG3" s="4">
        <f t="shared" ref="AG3:AG19" si="10">AF3/AC3</f>
        <v>1.115179385926546</v>
      </c>
      <c r="AI3" s="1">
        <v>0.65</v>
      </c>
      <c r="AJ3" s="1">
        <v>0.05</v>
      </c>
      <c r="AK3" s="1">
        <f>9.7*AJ3</f>
        <v>0.48499999999999999</v>
      </c>
      <c r="AL3" s="1">
        <f>AK3/AJ3</f>
        <v>9.6999999999999993</v>
      </c>
      <c r="AM3" s="4">
        <f t="shared" ref="AM3:AM19" si="11">AI3/$A$36*AJ3*$B$36/(1+AI3/$A$36*AJ3)</f>
        <v>0.31473854985648325</v>
      </c>
      <c r="AN3" s="4">
        <f t="shared" ref="AN3:AN19" si="12">AM3/AJ3</f>
        <v>6.2947709971296648</v>
      </c>
      <c r="AP3" s="1">
        <v>1</v>
      </c>
      <c r="AQ3" s="1">
        <v>0.05</v>
      </c>
      <c r="AR3" s="1">
        <f>9.7*AQ3</f>
        <v>0.48499999999999999</v>
      </c>
      <c r="AS3" s="1">
        <f>AR3/AQ3</f>
        <v>9.6999999999999993</v>
      </c>
      <c r="AT3" s="4">
        <f t="shared" ref="AT3:AT19" si="13">AP3/$A$36*AQ3*$B$36/(1+AP3/$A$36*AQ3)</f>
        <v>0.48379052369077319</v>
      </c>
      <c r="AU3" s="4">
        <f t="shared" ref="AU3:AU19" si="14">AT3/AQ3</f>
        <v>9.6758104738154636</v>
      </c>
      <c r="AW3" s="1">
        <v>2.2000000000000002</v>
      </c>
      <c r="AX3" s="1">
        <v>0.05</v>
      </c>
      <c r="AY3" s="1">
        <f>21.5*AX3</f>
        <v>1.075</v>
      </c>
      <c r="AZ3" s="1">
        <f>AY3/AX3</f>
        <v>21.499999999999996</v>
      </c>
      <c r="BA3" s="4">
        <f t="shared" ref="BA3:BA19" si="15">AW3/$A$36*AX3*$B$36/(1+AW3/$A$36*AX3)</f>
        <v>1.0611636001989062</v>
      </c>
      <c r="BB3" s="4">
        <f t="shared" ref="BB3:BB19" si="16">BA3/AX3</f>
        <v>21.223272003978124</v>
      </c>
      <c r="BD3" s="1">
        <v>0.5</v>
      </c>
      <c r="BE3" s="1">
        <v>0.05</v>
      </c>
      <c r="BF3" s="1">
        <f>21.5*BE3</f>
        <v>1.075</v>
      </c>
      <c r="BG3" s="1">
        <f>BF3/BE3</f>
        <v>21.499999999999996</v>
      </c>
      <c r="BH3" s="4">
        <f t="shared" ref="BH3:BH19" si="17">BD3/$A$36*BE3*$B$36/(1+BD3/$A$36*BE3)</f>
        <v>0.24219725343320855</v>
      </c>
      <c r="BI3" s="4">
        <f t="shared" ref="BI3:BI19" si="18">BH3/BE3</f>
        <v>4.843945068664171</v>
      </c>
      <c r="BK3" s="1">
        <v>5</v>
      </c>
      <c r="BL3" s="4">
        <v>13.857142857142858</v>
      </c>
      <c r="BM3" s="4">
        <v>8.0833333333333321</v>
      </c>
      <c r="BN3" s="4">
        <v>0.57738095238095255</v>
      </c>
    </row>
    <row r="4" spans="1:66" x14ac:dyDescent="0.5">
      <c r="A4" s="1">
        <v>85</v>
      </c>
      <c r="B4" s="1">
        <v>0.05</v>
      </c>
      <c r="C4" s="1">
        <v>34</v>
      </c>
      <c r="D4" s="1">
        <f>C4/B4</f>
        <v>680</v>
      </c>
      <c r="E4" s="4">
        <f t="shared" si="1"/>
        <v>34.000000000000007</v>
      </c>
      <c r="F4" s="4">
        <f t="shared" si="2"/>
        <v>680.00000000000011</v>
      </c>
      <c r="G4" s="1"/>
      <c r="H4" s="1">
        <v>10</v>
      </c>
      <c r="I4" s="1">
        <v>4.7</v>
      </c>
      <c r="J4" s="1">
        <f t="shared" si="3"/>
        <v>94</v>
      </c>
      <c r="K4" s="4">
        <f t="shared" si="4"/>
        <v>4.7317073170731714</v>
      </c>
      <c r="L4" s="4">
        <f t="shared" si="5"/>
        <v>94.634146341463421</v>
      </c>
      <c r="N4" s="1">
        <v>20</v>
      </c>
      <c r="O4" s="1">
        <v>0.1</v>
      </c>
      <c r="P4" s="1">
        <v>17.7</v>
      </c>
      <c r="Q4" s="1">
        <f t="shared" ref="Q4:Q12" si="19">P4/O4</f>
        <v>176.99999999999997</v>
      </c>
      <c r="R4" s="4">
        <f t="shared" si="0"/>
        <v>17.636363636363637</v>
      </c>
      <c r="S4" s="4">
        <f t="shared" si="6"/>
        <v>176.36363636363635</v>
      </c>
      <c r="U4" s="1">
        <v>5</v>
      </c>
      <c r="V4" s="1">
        <v>0.1</v>
      </c>
      <c r="W4" s="1">
        <v>4.75</v>
      </c>
      <c r="X4" s="1">
        <f t="shared" ref="X4:X12" si="20">W4/V4</f>
        <v>47.5</v>
      </c>
      <c r="Y4" s="4">
        <f t="shared" si="7"/>
        <v>4.7317073170731714</v>
      </c>
      <c r="Z4" s="4">
        <f t="shared" si="8"/>
        <v>47.31707317073171</v>
      </c>
      <c r="AB4" s="1">
        <v>0.115</v>
      </c>
      <c r="AC4" s="1">
        <v>0.1</v>
      </c>
      <c r="AD4" s="1">
        <v>9.9500000000000005E-2</v>
      </c>
      <c r="AE4" s="1">
        <f t="shared" ref="AE4:AE12" si="21">AD4/AC4</f>
        <v>0.995</v>
      </c>
      <c r="AF4" s="4">
        <f t="shared" si="9"/>
        <v>0.11148589561002423</v>
      </c>
      <c r="AG4" s="4">
        <f t="shared" si="10"/>
        <v>1.1148589561002422</v>
      </c>
      <c r="AI4" s="1">
        <v>0.65</v>
      </c>
      <c r="AJ4" s="1">
        <v>0.1</v>
      </c>
      <c r="AK4" s="1">
        <f>9.7*AJ4</f>
        <v>0.97</v>
      </c>
      <c r="AL4" s="1">
        <f t="shared" ref="AL4:AL12" si="22">AK4/AJ4</f>
        <v>9.6999999999999993</v>
      </c>
      <c r="AM4" s="4">
        <f t="shared" si="11"/>
        <v>0.62845751308248199</v>
      </c>
      <c r="AN4" s="4">
        <f t="shared" si="12"/>
        <v>6.2845751308248197</v>
      </c>
      <c r="AP4" s="1">
        <v>1</v>
      </c>
      <c r="AQ4" s="1">
        <v>0.1</v>
      </c>
      <c r="AR4" s="1">
        <f>9.7*AQ4</f>
        <v>0.97</v>
      </c>
      <c r="AS4" s="1">
        <f t="shared" ref="AS4:AS12" si="23">AR4/AQ4</f>
        <v>9.6999999999999993</v>
      </c>
      <c r="AT4" s="4">
        <f t="shared" si="13"/>
        <v>0.9651741293532341</v>
      </c>
      <c r="AU4" s="4">
        <f t="shared" si="14"/>
        <v>9.651741293532341</v>
      </c>
      <c r="AW4" s="1">
        <v>2.2000000000000002</v>
      </c>
      <c r="AX4" s="1">
        <v>0.1</v>
      </c>
      <c r="AY4" s="1">
        <f>21.3*AX4</f>
        <v>2.1300000000000003</v>
      </c>
      <c r="AZ4" s="1">
        <f t="shared" ref="AZ4:AZ12" si="24">AY4/AX4</f>
        <v>21.3</v>
      </c>
      <c r="BA4" s="4">
        <f t="shared" si="15"/>
        <v>2.1107814045499511</v>
      </c>
      <c r="BB4" s="4">
        <f t="shared" si="16"/>
        <v>21.107814045499509</v>
      </c>
      <c r="BD4" s="1">
        <v>0.5</v>
      </c>
      <c r="BE4" s="1">
        <v>0.1</v>
      </c>
      <c r="BF4" s="1">
        <f>21.3*BE4</f>
        <v>2.1300000000000003</v>
      </c>
      <c r="BG4" s="1">
        <f t="shared" ref="BG4:BG12" si="25">BF4/BE4</f>
        <v>21.3</v>
      </c>
      <c r="BH4" s="4">
        <f t="shared" si="17"/>
        <v>0.48379052369077319</v>
      </c>
      <c r="BI4" s="4">
        <f t="shared" si="18"/>
        <v>4.8379052369077318</v>
      </c>
      <c r="BK4" s="1">
        <v>2.2000000000000002</v>
      </c>
      <c r="BL4" s="4">
        <v>10.161904761904761</v>
      </c>
      <c r="BM4" s="4">
        <v>6.6687500000000002</v>
      </c>
      <c r="BN4" s="4">
        <v>0.34931547619047609</v>
      </c>
    </row>
    <row r="5" spans="1:66" x14ac:dyDescent="0.5">
      <c r="A5" s="1">
        <v>85</v>
      </c>
      <c r="B5" s="1">
        <v>0.1</v>
      </c>
      <c r="C5" s="1">
        <v>58</v>
      </c>
      <c r="D5" s="1">
        <f t="shared" ref="D5:D13" si="26">C5/B5</f>
        <v>580</v>
      </c>
      <c r="E5" s="4">
        <f t="shared" si="1"/>
        <v>57.859649122807021</v>
      </c>
      <c r="F5" s="4">
        <f t="shared" si="2"/>
        <v>578.59649122807014</v>
      </c>
      <c r="G5" s="1"/>
      <c r="H5" s="1">
        <v>10</v>
      </c>
      <c r="I5" s="1">
        <v>9.1999999999999993</v>
      </c>
      <c r="J5" s="1">
        <f t="shared" si="3"/>
        <v>91.999999999999986</v>
      </c>
      <c r="K5" s="4">
        <f t="shared" si="4"/>
        <v>9.238095238095239</v>
      </c>
      <c r="L5" s="4">
        <f t="shared" si="5"/>
        <v>92.38095238095238</v>
      </c>
      <c r="N5" s="1">
        <v>20</v>
      </c>
      <c r="O5" s="1">
        <v>0.4</v>
      </c>
      <c r="P5" s="1">
        <v>55.5</v>
      </c>
      <c r="Q5" s="1">
        <f t="shared" si="19"/>
        <v>138.75</v>
      </c>
      <c r="R5" s="4">
        <f t="shared" si="0"/>
        <v>55.428571428571438</v>
      </c>
      <c r="S5" s="4">
        <f t="shared" si="6"/>
        <v>138.57142857142858</v>
      </c>
      <c r="U5" s="1">
        <v>5</v>
      </c>
      <c r="V5" s="1">
        <v>0.4</v>
      </c>
      <c r="W5" s="1">
        <v>17.7</v>
      </c>
      <c r="X5" s="1">
        <f t="shared" si="20"/>
        <v>44.249999999999993</v>
      </c>
      <c r="Y5" s="4">
        <f t="shared" si="7"/>
        <v>17.636363636363637</v>
      </c>
      <c r="Z5" s="4">
        <f t="shared" si="8"/>
        <v>44.090909090909086</v>
      </c>
      <c r="AB5" s="1">
        <v>0.115</v>
      </c>
      <c r="AC5" s="1">
        <v>0.4</v>
      </c>
      <c r="AD5" s="1">
        <v>0.39</v>
      </c>
      <c r="AE5" s="1">
        <f t="shared" si="21"/>
        <v>0.97499999999999998</v>
      </c>
      <c r="AF5" s="4">
        <f t="shared" si="9"/>
        <v>0.44517609498154243</v>
      </c>
      <c r="AG5" s="4">
        <f t="shared" si="10"/>
        <v>1.112940237453856</v>
      </c>
      <c r="AI5" s="1">
        <v>0.65</v>
      </c>
      <c r="AJ5" s="1">
        <v>0.4</v>
      </c>
      <c r="AK5" s="1">
        <v>3.8</v>
      </c>
      <c r="AL5" s="1">
        <f t="shared" si="22"/>
        <v>9.4999999999999982</v>
      </c>
      <c r="AM5" s="4">
        <f t="shared" si="11"/>
        <v>2.4896347482724583</v>
      </c>
      <c r="AN5" s="4">
        <f t="shared" si="12"/>
        <v>6.2240868706811456</v>
      </c>
      <c r="AP5" s="1">
        <v>1</v>
      </c>
      <c r="AQ5" s="1">
        <v>0.4</v>
      </c>
      <c r="AR5" s="1">
        <v>3.8</v>
      </c>
      <c r="AS5" s="1">
        <f t="shared" si="23"/>
        <v>9.4999999999999982</v>
      </c>
      <c r="AT5" s="4">
        <f t="shared" si="13"/>
        <v>3.8039215686274517</v>
      </c>
      <c r="AU5" s="4">
        <f t="shared" si="14"/>
        <v>9.5098039215686292</v>
      </c>
      <c r="AW5" s="1">
        <v>2.2000000000000002</v>
      </c>
      <c r="AX5" s="1">
        <v>0.4</v>
      </c>
      <c r="AY5" s="1">
        <v>8.1999999999999993</v>
      </c>
      <c r="AZ5" s="1">
        <f t="shared" si="24"/>
        <v>20.499999999999996</v>
      </c>
      <c r="BA5" s="4">
        <f t="shared" si="15"/>
        <v>8.1762452107279699</v>
      </c>
      <c r="BB5" s="4">
        <f t="shared" si="16"/>
        <v>20.440613026819925</v>
      </c>
      <c r="BD5" s="1">
        <v>0.5</v>
      </c>
      <c r="BE5" s="1">
        <v>0.4</v>
      </c>
      <c r="BF5" s="1">
        <v>8.1999999999999993</v>
      </c>
      <c r="BG5" s="1">
        <f t="shared" si="25"/>
        <v>20.499999999999996</v>
      </c>
      <c r="BH5" s="4">
        <f t="shared" si="17"/>
        <v>1.9207920792079212</v>
      </c>
      <c r="BI5" s="4">
        <f t="shared" si="18"/>
        <v>4.8019801980198027</v>
      </c>
      <c r="BK5" s="1">
        <v>1</v>
      </c>
      <c r="BL5" s="4">
        <v>6.4666666666666668</v>
      </c>
      <c r="BM5" s="4">
        <v>4.8499999999999996</v>
      </c>
      <c r="BN5" s="4">
        <v>0.16166666666666671</v>
      </c>
    </row>
    <row r="6" spans="1:66" x14ac:dyDescent="0.5">
      <c r="A6" s="1">
        <v>85</v>
      </c>
      <c r="B6" s="1">
        <v>0.2</v>
      </c>
      <c r="C6" s="1">
        <v>89</v>
      </c>
      <c r="D6" s="1">
        <f t="shared" si="26"/>
        <v>445</v>
      </c>
      <c r="E6" s="4">
        <f t="shared" si="1"/>
        <v>89.13513513513513</v>
      </c>
      <c r="F6" s="4">
        <f t="shared" si="2"/>
        <v>445.67567567567562</v>
      </c>
      <c r="G6" s="1"/>
      <c r="H6" s="1">
        <v>10</v>
      </c>
      <c r="I6" s="1">
        <v>17.7</v>
      </c>
      <c r="J6" s="1">
        <f t="shared" si="3"/>
        <v>88.499999999999986</v>
      </c>
      <c r="K6" s="4">
        <f t="shared" si="4"/>
        <v>17.636363636363637</v>
      </c>
      <c r="L6" s="4">
        <f t="shared" si="5"/>
        <v>88.181818181818173</v>
      </c>
      <c r="N6" s="1">
        <v>20</v>
      </c>
      <c r="O6" s="1">
        <v>0.7</v>
      </c>
      <c r="P6" s="1">
        <v>80</v>
      </c>
      <c r="Q6" s="1">
        <f t="shared" si="19"/>
        <v>114.28571428571429</v>
      </c>
      <c r="R6" s="4">
        <f t="shared" si="0"/>
        <v>79.882352941176464</v>
      </c>
      <c r="S6" s="4">
        <f t="shared" si="6"/>
        <v>114.11764705882352</v>
      </c>
      <c r="U6" s="1">
        <v>5</v>
      </c>
      <c r="V6" s="1">
        <v>0.7</v>
      </c>
      <c r="W6" s="1">
        <v>29</v>
      </c>
      <c r="X6" s="1">
        <f t="shared" si="20"/>
        <v>41.428571428571431</v>
      </c>
      <c r="Y6" s="4">
        <f t="shared" si="7"/>
        <v>28.89361702127659</v>
      </c>
      <c r="Z6" s="4">
        <f t="shared" si="8"/>
        <v>41.276595744680847</v>
      </c>
      <c r="AB6" s="1">
        <v>0.115</v>
      </c>
      <c r="AC6" s="1">
        <v>0.7</v>
      </c>
      <c r="AD6" s="1">
        <v>0.68</v>
      </c>
      <c r="AE6" s="1">
        <f t="shared" si="21"/>
        <v>0.97142857142857153</v>
      </c>
      <c r="AF6" s="4">
        <f t="shared" si="9"/>
        <v>0.7777196782948631</v>
      </c>
      <c r="AG6" s="4">
        <f t="shared" si="10"/>
        <v>1.1110281118498044</v>
      </c>
      <c r="AI6" s="1">
        <v>0.65</v>
      </c>
      <c r="AJ6" s="1">
        <v>0.7</v>
      </c>
      <c r="AK6" s="1">
        <v>6.55</v>
      </c>
      <c r="AL6" s="1">
        <f t="shared" si="22"/>
        <v>9.3571428571428577</v>
      </c>
      <c r="AM6" s="4">
        <f t="shared" si="11"/>
        <v>4.3153263260816423</v>
      </c>
      <c r="AN6" s="4">
        <f t="shared" si="12"/>
        <v>6.1647518944023467</v>
      </c>
      <c r="AP6" s="1">
        <v>1</v>
      </c>
      <c r="AQ6" s="1">
        <v>0.7</v>
      </c>
      <c r="AR6" s="1">
        <v>6.55</v>
      </c>
      <c r="AS6" s="1">
        <f t="shared" si="23"/>
        <v>9.3571428571428577</v>
      </c>
      <c r="AT6" s="4">
        <f t="shared" si="13"/>
        <v>6.5603864734299515</v>
      </c>
      <c r="AU6" s="4">
        <f t="shared" si="14"/>
        <v>9.3719806763285032</v>
      </c>
      <c r="AW6" s="1">
        <v>2.2000000000000002</v>
      </c>
      <c r="AX6" s="1">
        <v>0.7</v>
      </c>
      <c r="AY6" s="1">
        <v>13.8</v>
      </c>
      <c r="AZ6" s="1">
        <f t="shared" si="24"/>
        <v>19.714285714285715</v>
      </c>
      <c r="BA6" s="4">
        <f t="shared" si="15"/>
        <v>13.870009285051069</v>
      </c>
      <c r="BB6" s="4">
        <f t="shared" si="16"/>
        <v>19.814298978644384</v>
      </c>
      <c r="BD6" s="1">
        <v>0.5</v>
      </c>
      <c r="BE6" s="1">
        <v>0.7</v>
      </c>
      <c r="BF6" s="1">
        <v>13.8</v>
      </c>
      <c r="BG6" s="1">
        <f t="shared" si="25"/>
        <v>19.714285714285715</v>
      </c>
      <c r="BH6" s="4">
        <f t="shared" si="17"/>
        <v>3.3366093366093361</v>
      </c>
      <c r="BI6" s="4">
        <f t="shared" si="18"/>
        <v>4.7665847665847663</v>
      </c>
      <c r="BK6" s="1">
        <v>0.5</v>
      </c>
      <c r="BL6" s="4">
        <v>3.88</v>
      </c>
      <c r="BM6" s="4">
        <v>3.2333333333333334</v>
      </c>
      <c r="BN6" s="4">
        <v>6.466666666666665E-2</v>
      </c>
    </row>
    <row r="7" spans="1:66" x14ac:dyDescent="0.5">
      <c r="A7" s="1">
        <v>85</v>
      </c>
      <c r="B7" s="1">
        <v>0.3</v>
      </c>
      <c r="C7" s="1">
        <v>109</v>
      </c>
      <c r="D7" s="1">
        <f t="shared" si="26"/>
        <v>363.33333333333337</v>
      </c>
      <c r="E7" s="4">
        <f t="shared" si="1"/>
        <v>108.72527472527473</v>
      </c>
      <c r="F7" s="4">
        <f t="shared" si="2"/>
        <v>362.41758241758242</v>
      </c>
      <c r="G7" s="1"/>
      <c r="H7" s="1">
        <v>10</v>
      </c>
      <c r="I7" s="1">
        <v>25.5</v>
      </c>
      <c r="J7" s="1">
        <f t="shared" si="3"/>
        <v>85</v>
      </c>
      <c r="K7" s="4">
        <f t="shared" si="4"/>
        <v>25.304347826086957</v>
      </c>
      <c r="L7" s="4">
        <f t="shared" si="5"/>
        <v>84.34782608695653</v>
      </c>
      <c r="N7" s="1">
        <v>20</v>
      </c>
      <c r="O7" s="1">
        <v>1</v>
      </c>
      <c r="P7" s="1">
        <v>97</v>
      </c>
      <c r="Q7" s="1">
        <f t="shared" si="19"/>
        <v>97</v>
      </c>
      <c r="R7" s="4">
        <f t="shared" si="0"/>
        <v>97</v>
      </c>
      <c r="S7" s="4">
        <f t="shared" si="6"/>
        <v>97</v>
      </c>
      <c r="U7" s="1">
        <v>5</v>
      </c>
      <c r="V7" s="1">
        <v>1</v>
      </c>
      <c r="W7" s="1">
        <v>39</v>
      </c>
      <c r="X7" s="1">
        <f t="shared" si="20"/>
        <v>39</v>
      </c>
      <c r="Y7" s="4">
        <f t="shared" si="7"/>
        <v>38.799999999999997</v>
      </c>
      <c r="Z7" s="4">
        <f t="shared" si="8"/>
        <v>38.799999999999997</v>
      </c>
      <c r="AB7" s="1">
        <v>0.115</v>
      </c>
      <c r="AC7" s="31">
        <v>1</v>
      </c>
      <c r="AD7" s="31">
        <v>0.97</v>
      </c>
      <c r="AE7" s="31">
        <f t="shared" si="21"/>
        <v>0.97</v>
      </c>
      <c r="AF7" s="32">
        <f t="shared" si="9"/>
        <v>1.1091225453641562</v>
      </c>
      <c r="AG7" s="32">
        <f t="shared" si="10"/>
        <v>1.1091225453641562</v>
      </c>
      <c r="AI7" s="1">
        <v>0.65</v>
      </c>
      <c r="AJ7" s="1">
        <v>1</v>
      </c>
      <c r="AK7" s="1">
        <v>9.2200000000000006</v>
      </c>
      <c r="AL7" s="1">
        <f t="shared" si="22"/>
        <v>9.2200000000000006</v>
      </c>
      <c r="AM7" s="4">
        <f t="shared" si="11"/>
        <v>6.1065375302663449</v>
      </c>
      <c r="AN7" s="4">
        <f t="shared" si="12"/>
        <v>6.1065375302663449</v>
      </c>
      <c r="AP7" s="1">
        <v>1</v>
      </c>
      <c r="AQ7" s="1">
        <v>1</v>
      </c>
      <c r="AR7" s="1">
        <v>9.2200000000000006</v>
      </c>
      <c r="AS7" s="1">
        <f t="shared" si="23"/>
        <v>9.2200000000000006</v>
      </c>
      <c r="AT7" s="4">
        <f t="shared" si="13"/>
        <v>9.238095238095239</v>
      </c>
      <c r="AU7" s="4">
        <f t="shared" si="14"/>
        <v>9.238095238095239</v>
      </c>
      <c r="AW7" s="1">
        <v>2.2000000000000002</v>
      </c>
      <c r="AX7" s="1">
        <v>1</v>
      </c>
      <c r="AY7" s="1">
        <v>19.2</v>
      </c>
      <c r="AZ7" s="1">
        <f t="shared" si="24"/>
        <v>19.2</v>
      </c>
      <c r="BA7" s="4">
        <f t="shared" si="15"/>
        <v>19.225225225225227</v>
      </c>
      <c r="BB7" s="4">
        <f t="shared" si="16"/>
        <v>19.225225225225227</v>
      </c>
      <c r="BD7" s="1">
        <v>0.5</v>
      </c>
      <c r="BE7" s="1">
        <v>1</v>
      </c>
      <c r="BF7" s="1">
        <v>19.2</v>
      </c>
      <c r="BG7" s="1">
        <f t="shared" si="25"/>
        <v>19.2</v>
      </c>
      <c r="BH7" s="4">
        <f t="shared" si="17"/>
        <v>4.7317073170731714</v>
      </c>
      <c r="BI7" s="4">
        <f t="shared" si="18"/>
        <v>4.7317073170731714</v>
      </c>
      <c r="BK7" s="1">
        <v>0.1</v>
      </c>
      <c r="BL7" s="4">
        <v>0.92380952380952386</v>
      </c>
      <c r="BM7" s="4">
        <v>0.88181818181818183</v>
      </c>
      <c r="BN7" s="3">
        <v>4.1991341991342024E-3</v>
      </c>
    </row>
    <row r="8" spans="1:66" x14ac:dyDescent="0.5">
      <c r="A8" s="1">
        <v>85</v>
      </c>
      <c r="B8" s="1">
        <v>0.4</v>
      </c>
      <c r="C8" s="1">
        <v>123</v>
      </c>
      <c r="D8" s="1">
        <f t="shared" si="26"/>
        <v>307.5</v>
      </c>
      <c r="E8" s="4">
        <f t="shared" si="1"/>
        <v>122.14814814814814</v>
      </c>
      <c r="F8" s="4">
        <f t="shared" si="2"/>
        <v>305.37037037037032</v>
      </c>
      <c r="G8" s="1"/>
      <c r="H8" s="1">
        <v>10</v>
      </c>
      <c r="I8" s="1">
        <v>32.5</v>
      </c>
      <c r="J8" s="1">
        <f t="shared" si="3"/>
        <v>81.25</v>
      </c>
      <c r="K8" s="4">
        <f t="shared" si="4"/>
        <v>32.333333333333336</v>
      </c>
      <c r="L8" s="4">
        <f t="shared" si="5"/>
        <v>80.833333333333329</v>
      </c>
      <c r="N8" s="1">
        <v>20</v>
      </c>
      <c r="O8" s="1">
        <v>1.3</v>
      </c>
      <c r="P8" s="1">
        <v>109</v>
      </c>
      <c r="Q8" s="1">
        <f t="shared" si="19"/>
        <v>83.84615384615384</v>
      </c>
      <c r="R8" s="4">
        <f t="shared" si="0"/>
        <v>109.6521739130435</v>
      </c>
      <c r="S8" s="4">
        <f t="shared" si="6"/>
        <v>84.34782608695653</v>
      </c>
      <c r="U8" s="1">
        <v>5</v>
      </c>
      <c r="V8" s="1">
        <v>1.3</v>
      </c>
      <c r="W8" s="1">
        <v>47.5</v>
      </c>
      <c r="X8" s="1">
        <f t="shared" si="20"/>
        <v>36.53846153846154</v>
      </c>
      <c r="Y8" s="4">
        <f t="shared" si="7"/>
        <v>47.584905660377366</v>
      </c>
      <c r="Z8" s="4">
        <f t="shared" si="8"/>
        <v>36.603773584905667</v>
      </c>
      <c r="AB8" s="1">
        <v>0.115</v>
      </c>
      <c r="AC8" s="1">
        <v>1.3</v>
      </c>
      <c r="AD8" s="1">
        <v>1.25</v>
      </c>
      <c r="AE8" s="1">
        <f t="shared" si="21"/>
        <v>0.96153846153846145</v>
      </c>
      <c r="AF8" s="4">
        <f t="shared" si="9"/>
        <v>1.4393905555969133</v>
      </c>
      <c r="AG8" s="4">
        <f t="shared" si="10"/>
        <v>1.1072235043053178</v>
      </c>
      <c r="AI8" s="1">
        <v>0.65</v>
      </c>
      <c r="AJ8" s="1">
        <v>1.3</v>
      </c>
      <c r="AK8" s="1">
        <v>11.9</v>
      </c>
      <c r="AL8" s="1">
        <f t="shared" si="22"/>
        <v>9.1538461538461533</v>
      </c>
      <c r="AM8" s="4">
        <f t="shared" si="11"/>
        <v>7.8642360278244192</v>
      </c>
      <c r="AN8" s="4">
        <f t="shared" si="12"/>
        <v>6.0494123290957065</v>
      </c>
      <c r="AP8" s="1">
        <v>1</v>
      </c>
      <c r="AQ8" s="1">
        <v>1.3</v>
      </c>
      <c r="AR8" s="1">
        <v>11.9</v>
      </c>
      <c r="AS8" s="1">
        <f t="shared" si="23"/>
        <v>9.1538461538461533</v>
      </c>
      <c r="AT8" s="4">
        <f t="shared" si="13"/>
        <v>11.840375586854462</v>
      </c>
      <c r="AU8" s="4">
        <f t="shared" si="14"/>
        <v>9.1079812206572779</v>
      </c>
      <c r="AW8" s="1">
        <v>2.2000000000000002</v>
      </c>
      <c r="AX8" s="1">
        <v>1.3</v>
      </c>
      <c r="AY8" s="1">
        <v>24.3</v>
      </c>
      <c r="AZ8" s="1">
        <f t="shared" si="24"/>
        <v>18.692307692307693</v>
      </c>
      <c r="BA8" s="4">
        <f t="shared" si="15"/>
        <v>24.271216097987754</v>
      </c>
      <c r="BB8" s="4">
        <f t="shared" si="16"/>
        <v>18.670166229221348</v>
      </c>
      <c r="BD8" s="1">
        <v>0.5</v>
      </c>
      <c r="BE8" s="1">
        <v>1.3</v>
      </c>
      <c r="BF8" s="1">
        <v>24.3</v>
      </c>
      <c r="BG8" s="1">
        <f t="shared" si="25"/>
        <v>18.692307692307693</v>
      </c>
      <c r="BH8" s="4">
        <f t="shared" si="17"/>
        <v>6.1065375302663449</v>
      </c>
      <c r="BI8" s="4">
        <f t="shared" si="18"/>
        <v>4.6973365617433425</v>
      </c>
      <c r="BK8" s="1"/>
      <c r="BL8" s="1"/>
      <c r="BM8" s="1"/>
      <c r="BN8" s="1"/>
    </row>
    <row r="9" spans="1:66" x14ac:dyDescent="0.5">
      <c r="A9" s="1">
        <v>85</v>
      </c>
      <c r="B9" s="1">
        <v>0.5</v>
      </c>
      <c r="C9" s="1">
        <v>133</v>
      </c>
      <c r="D9" s="1">
        <f t="shared" si="26"/>
        <v>266</v>
      </c>
      <c r="E9" s="4">
        <f t="shared" si="1"/>
        <v>131.91999999999999</v>
      </c>
      <c r="F9" s="4">
        <f t="shared" si="2"/>
        <v>263.83999999999997</v>
      </c>
      <c r="G9" s="1"/>
      <c r="H9" s="1">
        <v>10</v>
      </c>
      <c r="I9" s="1">
        <v>39</v>
      </c>
      <c r="J9" s="1">
        <f t="shared" si="3"/>
        <v>78</v>
      </c>
      <c r="K9" s="4">
        <f t="shared" si="4"/>
        <v>38.799999999999997</v>
      </c>
      <c r="L9" s="4">
        <f t="shared" si="5"/>
        <v>77.599999999999994</v>
      </c>
      <c r="N9" s="1">
        <v>20</v>
      </c>
      <c r="O9" s="1">
        <v>1.6</v>
      </c>
      <c r="P9" s="1">
        <v>119</v>
      </c>
      <c r="Q9" s="1">
        <f t="shared" si="19"/>
        <v>74.375</v>
      </c>
      <c r="R9" s="4">
        <f t="shared" si="0"/>
        <v>119.38461538461539</v>
      </c>
      <c r="S9" s="4">
        <f t="shared" si="6"/>
        <v>74.615384615384613</v>
      </c>
      <c r="U9" s="1">
        <v>5</v>
      </c>
      <c r="V9" s="1">
        <v>1.6</v>
      </c>
      <c r="W9" s="1">
        <v>55.5</v>
      </c>
      <c r="X9" s="1">
        <f t="shared" si="20"/>
        <v>34.6875</v>
      </c>
      <c r="Y9" s="4">
        <f t="shared" si="7"/>
        <v>55.428571428571438</v>
      </c>
      <c r="Z9" s="4">
        <f t="shared" si="8"/>
        <v>34.642857142857146</v>
      </c>
      <c r="AB9" s="1">
        <v>0.115</v>
      </c>
      <c r="AC9" s="1">
        <v>1.6</v>
      </c>
      <c r="AD9" s="1">
        <v>1.55</v>
      </c>
      <c r="AE9" s="1">
        <f t="shared" si="21"/>
        <v>0.96875</v>
      </c>
      <c r="AF9" s="4">
        <f t="shared" si="9"/>
        <v>1.7685295283392783</v>
      </c>
      <c r="AG9" s="4">
        <f t="shared" si="10"/>
        <v>1.1053309552120489</v>
      </c>
      <c r="AI9" s="1">
        <v>0.65</v>
      </c>
      <c r="AJ9" s="1">
        <v>1.6</v>
      </c>
      <c r="AK9" s="1">
        <v>14.4</v>
      </c>
      <c r="AL9" s="1">
        <f t="shared" si="22"/>
        <v>9</v>
      </c>
      <c r="AM9" s="4">
        <f t="shared" si="11"/>
        <v>9.5893536121673009</v>
      </c>
      <c r="AN9" s="4">
        <f t="shared" si="12"/>
        <v>5.993346007604563</v>
      </c>
      <c r="AP9" s="1">
        <v>1</v>
      </c>
      <c r="AQ9" s="1">
        <v>1.6</v>
      </c>
      <c r="AR9" s="1">
        <v>14.4</v>
      </c>
      <c r="AS9" s="1">
        <f t="shared" si="23"/>
        <v>9</v>
      </c>
      <c r="AT9" s="4">
        <f t="shared" si="13"/>
        <v>14.370370370370372</v>
      </c>
      <c r="AU9" s="4">
        <f t="shared" si="14"/>
        <v>8.9814814814814827</v>
      </c>
      <c r="AW9" s="1">
        <v>2.2000000000000002</v>
      </c>
      <c r="AX9" s="1">
        <v>1.6</v>
      </c>
      <c r="AY9" s="1">
        <v>29.2</v>
      </c>
      <c r="AZ9" s="1">
        <f t="shared" si="24"/>
        <v>18.25</v>
      </c>
      <c r="BA9" s="4">
        <f t="shared" si="15"/>
        <v>29.034013605442176</v>
      </c>
      <c r="BB9" s="4">
        <f t="shared" si="16"/>
        <v>18.146258503401359</v>
      </c>
      <c r="BD9" s="1">
        <v>0.5</v>
      </c>
      <c r="BE9" s="1">
        <v>1.6</v>
      </c>
      <c r="BF9" s="1">
        <v>29.2</v>
      </c>
      <c r="BG9" s="1">
        <f t="shared" si="25"/>
        <v>18.25</v>
      </c>
      <c r="BH9" s="4">
        <f t="shared" si="17"/>
        <v>7.4615384615384626</v>
      </c>
      <c r="BI9" s="4">
        <f t="shared" si="18"/>
        <v>4.6634615384615392</v>
      </c>
      <c r="BK9" s="1"/>
      <c r="BL9" s="1"/>
      <c r="BM9" s="1"/>
      <c r="BN9" s="1"/>
    </row>
    <row r="10" spans="1:66" x14ac:dyDescent="0.5">
      <c r="A10" s="1">
        <v>85</v>
      </c>
      <c r="B10" s="1">
        <v>0.6</v>
      </c>
      <c r="C10" s="1">
        <v>139</v>
      </c>
      <c r="D10" s="1">
        <f t="shared" si="26"/>
        <v>231.66666666666669</v>
      </c>
      <c r="E10" s="4">
        <f t="shared" si="1"/>
        <v>139.35211267605635</v>
      </c>
      <c r="F10" s="4">
        <f t="shared" si="2"/>
        <v>232.2535211267606</v>
      </c>
      <c r="G10" s="1"/>
      <c r="H10" s="1">
        <v>10</v>
      </c>
      <c r="I10" s="1">
        <v>45</v>
      </c>
      <c r="J10" s="1">
        <f t="shared" si="3"/>
        <v>75</v>
      </c>
      <c r="K10" s="4">
        <f t="shared" si="4"/>
        <v>44.769230769230766</v>
      </c>
      <c r="L10" s="4">
        <f t="shared" si="5"/>
        <v>74.615384615384613</v>
      </c>
      <c r="N10" s="1">
        <v>20</v>
      </c>
      <c r="O10" s="1">
        <v>1.9</v>
      </c>
      <c r="P10" s="1">
        <v>127</v>
      </c>
      <c r="Q10" s="1">
        <f t="shared" si="19"/>
        <v>66.842105263157904</v>
      </c>
      <c r="R10" s="4">
        <f t="shared" si="0"/>
        <v>127.10344827586206</v>
      </c>
      <c r="S10" s="4">
        <f t="shared" si="6"/>
        <v>66.896551724137936</v>
      </c>
      <c r="U10" s="1">
        <v>5</v>
      </c>
      <c r="V10" s="1">
        <v>1.9</v>
      </c>
      <c r="W10" s="1">
        <v>62</v>
      </c>
      <c r="X10" s="1">
        <f t="shared" si="20"/>
        <v>32.631578947368425</v>
      </c>
      <c r="Y10" s="4">
        <f t="shared" si="7"/>
        <v>62.474576271186429</v>
      </c>
      <c r="Z10" s="4">
        <f t="shared" si="8"/>
        <v>32.881355932203384</v>
      </c>
      <c r="AB10" s="1">
        <v>0.115</v>
      </c>
      <c r="AC10" s="1">
        <v>1.9</v>
      </c>
      <c r="AD10" s="1">
        <v>1.82</v>
      </c>
      <c r="AE10" s="1">
        <f t="shared" si="21"/>
        <v>0.95789473684210535</v>
      </c>
      <c r="AF10" s="4">
        <f t="shared" si="9"/>
        <v>2.0965452432178444</v>
      </c>
      <c r="AG10" s="4">
        <f t="shared" si="10"/>
        <v>1.1034448648514972</v>
      </c>
      <c r="AI10" s="1">
        <v>0.65</v>
      </c>
      <c r="AJ10" s="1">
        <v>1.9</v>
      </c>
      <c r="AK10" s="1">
        <v>16.8</v>
      </c>
      <c r="AL10" s="1">
        <f t="shared" si="22"/>
        <v>8.8421052631578956</v>
      </c>
      <c r="AM10" s="4">
        <f t="shared" si="11"/>
        <v>11.282787850247233</v>
      </c>
      <c r="AN10" s="4">
        <f t="shared" si="12"/>
        <v>5.9383093948669652</v>
      </c>
      <c r="AP10" s="1">
        <v>1</v>
      </c>
      <c r="AQ10" s="1">
        <v>1.9</v>
      </c>
      <c r="AR10" s="1">
        <v>16.8</v>
      </c>
      <c r="AS10" s="1">
        <f t="shared" si="23"/>
        <v>8.8421052631578956</v>
      </c>
      <c r="AT10" s="4">
        <f t="shared" si="13"/>
        <v>16.831050228310502</v>
      </c>
      <c r="AU10" s="4">
        <f t="shared" si="14"/>
        <v>8.8584474885844759</v>
      </c>
      <c r="AW10" s="1">
        <v>2.2000000000000002</v>
      </c>
      <c r="AX10" s="1">
        <v>1.9</v>
      </c>
      <c r="AY10" s="1">
        <v>33.5</v>
      </c>
      <c r="AZ10" s="1">
        <f t="shared" si="24"/>
        <v>17.631578947368421</v>
      </c>
      <c r="BA10" s="4">
        <f t="shared" si="15"/>
        <v>33.536807278742764</v>
      </c>
      <c r="BB10" s="4">
        <f t="shared" si="16"/>
        <v>17.650951199338298</v>
      </c>
      <c r="BD10" s="1">
        <v>0.5</v>
      </c>
      <c r="BE10" s="1">
        <v>1.9</v>
      </c>
      <c r="BF10" s="1">
        <v>33.5</v>
      </c>
      <c r="BG10" s="1">
        <f t="shared" si="25"/>
        <v>17.631578947368421</v>
      </c>
      <c r="BH10" s="4">
        <f t="shared" si="17"/>
        <v>8.7971360381861565</v>
      </c>
      <c r="BI10" s="4">
        <f t="shared" si="18"/>
        <v>4.6300715990453458</v>
      </c>
      <c r="BK10" s="1"/>
      <c r="BL10" s="1"/>
      <c r="BM10" s="1"/>
      <c r="BN10" s="1"/>
    </row>
    <row r="11" spans="1:66" x14ac:dyDescent="0.5">
      <c r="A11" s="1">
        <v>85</v>
      </c>
      <c r="B11" s="1">
        <v>0.7</v>
      </c>
      <c r="C11" s="1">
        <v>145</v>
      </c>
      <c r="D11" s="1">
        <f t="shared" si="26"/>
        <v>207.14285714285717</v>
      </c>
      <c r="E11" s="4">
        <f t="shared" si="1"/>
        <v>145.19496855345912</v>
      </c>
      <c r="F11" s="4">
        <f t="shared" si="2"/>
        <v>207.42138364779876</v>
      </c>
      <c r="G11" s="1"/>
      <c r="H11" s="1">
        <v>10</v>
      </c>
      <c r="I11" s="1">
        <v>50.5</v>
      </c>
      <c r="J11" s="1">
        <f t="shared" si="3"/>
        <v>72.142857142857153</v>
      </c>
      <c r="K11" s="4">
        <f t="shared" si="4"/>
        <v>50.296296296296283</v>
      </c>
      <c r="L11" s="4">
        <f t="shared" si="5"/>
        <v>71.851851851851833</v>
      </c>
      <c r="N11" s="1">
        <v>20</v>
      </c>
      <c r="O11" s="1">
        <v>2.5</v>
      </c>
      <c r="P11" s="1">
        <v>138</v>
      </c>
      <c r="Q11" s="1">
        <f t="shared" si="19"/>
        <v>55.2</v>
      </c>
      <c r="R11" s="4">
        <f t="shared" si="0"/>
        <v>138.57142857142858</v>
      </c>
      <c r="S11" s="4">
        <f t="shared" si="6"/>
        <v>55.428571428571431</v>
      </c>
      <c r="U11" s="1">
        <v>5</v>
      </c>
      <c r="V11" s="1">
        <v>2.5</v>
      </c>
      <c r="W11" s="1">
        <v>75</v>
      </c>
      <c r="X11" s="1">
        <f t="shared" si="20"/>
        <v>30</v>
      </c>
      <c r="Y11" s="4">
        <f t="shared" si="7"/>
        <v>74.615384615384613</v>
      </c>
      <c r="Z11" s="4">
        <f t="shared" si="8"/>
        <v>29.846153846153847</v>
      </c>
      <c r="AB11" s="1">
        <v>0.115</v>
      </c>
      <c r="AC11" s="1">
        <v>2.5</v>
      </c>
      <c r="AD11" s="1">
        <v>2.4</v>
      </c>
      <c r="AE11" s="1">
        <f t="shared" si="21"/>
        <v>0.96</v>
      </c>
      <c r="AF11" s="4">
        <f t="shared" si="9"/>
        <v>2.7492298213185458</v>
      </c>
      <c r="AG11" s="4">
        <f t="shared" si="10"/>
        <v>1.0996919285274183</v>
      </c>
      <c r="AI11" s="1">
        <v>0.65</v>
      </c>
      <c r="AJ11" s="1">
        <v>2.5</v>
      </c>
      <c r="AK11" s="1">
        <v>21.6</v>
      </c>
      <c r="AL11" s="1">
        <f t="shared" si="22"/>
        <v>8.64</v>
      </c>
      <c r="AM11" s="4">
        <f t="shared" si="11"/>
        <v>14.578034682080926</v>
      </c>
      <c r="AN11" s="4">
        <f t="shared" si="12"/>
        <v>5.8312138728323699</v>
      </c>
      <c r="AP11" s="1">
        <v>1</v>
      </c>
      <c r="AQ11" s="1">
        <v>2.5</v>
      </c>
      <c r="AR11" s="1">
        <v>21.6</v>
      </c>
      <c r="AS11" s="1">
        <f t="shared" si="23"/>
        <v>8.64</v>
      </c>
      <c r="AT11" s="4">
        <f t="shared" si="13"/>
        <v>21.555555555555557</v>
      </c>
      <c r="AU11" s="4">
        <f t="shared" si="14"/>
        <v>8.6222222222222236</v>
      </c>
      <c r="AW11" s="1">
        <v>2.2000000000000002</v>
      </c>
      <c r="AX11" s="1">
        <v>2.5</v>
      </c>
      <c r="AY11" s="1">
        <v>41.8</v>
      </c>
      <c r="AZ11" s="1">
        <f t="shared" si="24"/>
        <v>16.72</v>
      </c>
      <c r="BA11" s="4">
        <f t="shared" si="15"/>
        <v>41.843137254901961</v>
      </c>
      <c r="BB11" s="4">
        <f t="shared" si="16"/>
        <v>16.737254901960785</v>
      </c>
      <c r="BD11" s="1">
        <v>0.5</v>
      </c>
      <c r="BE11" s="1">
        <v>2.5</v>
      </c>
      <c r="BF11" s="1">
        <v>41.8</v>
      </c>
      <c r="BG11" s="1">
        <f t="shared" si="25"/>
        <v>16.72</v>
      </c>
      <c r="BH11" s="4">
        <f t="shared" si="17"/>
        <v>11.411764705882353</v>
      </c>
      <c r="BI11" s="4">
        <f t="shared" si="18"/>
        <v>4.5647058823529409</v>
      </c>
      <c r="BK11" s="1"/>
      <c r="BL11" s="1"/>
      <c r="BM11" s="1"/>
      <c r="BN11" s="1"/>
    </row>
    <row r="12" spans="1:66" x14ac:dyDescent="0.5">
      <c r="A12" s="1">
        <v>85</v>
      </c>
      <c r="B12" s="1">
        <v>0.8</v>
      </c>
      <c r="C12" s="1">
        <v>150</v>
      </c>
      <c r="D12" s="1">
        <f t="shared" si="26"/>
        <v>187.5</v>
      </c>
      <c r="E12" s="4">
        <f t="shared" si="1"/>
        <v>149.90909090909091</v>
      </c>
      <c r="F12" s="4">
        <f t="shared" si="2"/>
        <v>187.38636363636363</v>
      </c>
      <c r="G12" s="1"/>
      <c r="H12" s="1">
        <v>10</v>
      </c>
      <c r="I12" s="1">
        <v>56</v>
      </c>
      <c r="J12" s="1">
        <f t="shared" si="3"/>
        <v>70</v>
      </c>
      <c r="K12" s="4">
        <f t="shared" si="4"/>
        <v>55.428571428571438</v>
      </c>
      <c r="L12" s="4">
        <f t="shared" si="5"/>
        <v>69.285714285714292</v>
      </c>
      <c r="N12" s="1">
        <v>20</v>
      </c>
      <c r="O12" s="1">
        <v>3.5</v>
      </c>
      <c r="P12" s="1">
        <v>151</v>
      </c>
      <c r="Q12" s="1">
        <f t="shared" si="19"/>
        <v>43.142857142857146</v>
      </c>
      <c r="R12" s="4">
        <f t="shared" si="0"/>
        <v>150.88888888888889</v>
      </c>
      <c r="S12" s="4">
        <f t="shared" si="6"/>
        <v>43.111111111111107</v>
      </c>
      <c r="U12" s="1">
        <v>5</v>
      </c>
      <c r="V12" s="1">
        <v>3.5</v>
      </c>
      <c r="W12" s="1">
        <v>90.5</v>
      </c>
      <c r="X12" s="1">
        <f t="shared" si="20"/>
        <v>25.857142857142858</v>
      </c>
      <c r="Y12" s="4">
        <f t="shared" si="7"/>
        <v>90.533333333333331</v>
      </c>
      <c r="Z12" s="4">
        <f t="shared" si="8"/>
        <v>25.866666666666667</v>
      </c>
      <c r="AB12" s="1">
        <v>0.115</v>
      </c>
      <c r="AC12" s="1">
        <v>3.5</v>
      </c>
      <c r="AD12" s="1">
        <v>3.35</v>
      </c>
      <c r="AE12" s="1">
        <f t="shared" si="21"/>
        <v>0.95714285714285718</v>
      </c>
      <c r="AF12" s="4">
        <f t="shared" si="9"/>
        <v>3.8272270555079038</v>
      </c>
      <c r="AG12" s="4">
        <f t="shared" si="10"/>
        <v>1.0934934444308297</v>
      </c>
      <c r="AI12" s="1">
        <v>0.65</v>
      </c>
      <c r="AJ12" s="1">
        <v>3.5</v>
      </c>
      <c r="AK12" s="1">
        <v>29.1</v>
      </c>
      <c r="AL12" s="1">
        <f t="shared" si="22"/>
        <v>8.3142857142857149</v>
      </c>
      <c r="AM12" s="4">
        <f t="shared" si="11"/>
        <v>19.813692480359144</v>
      </c>
      <c r="AN12" s="4">
        <f t="shared" si="12"/>
        <v>5.6610549943883273</v>
      </c>
      <c r="AP12" s="1">
        <v>1</v>
      </c>
      <c r="AQ12" s="1">
        <v>3.5</v>
      </c>
      <c r="AR12" s="1">
        <v>29.1</v>
      </c>
      <c r="AS12" s="1">
        <f t="shared" si="23"/>
        <v>8.3142857142857149</v>
      </c>
      <c r="AT12" s="4">
        <f t="shared" si="13"/>
        <v>28.893617021276597</v>
      </c>
      <c r="AU12" s="4">
        <f t="shared" si="14"/>
        <v>8.2553191489361701</v>
      </c>
      <c r="AW12" s="1">
        <v>2.2000000000000002</v>
      </c>
      <c r="AX12" s="1">
        <v>3.5</v>
      </c>
      <c r="AY12" s="1">
        <v>58</v>
      </c>
      <c r="AZ12" s="1">
        <f t="shared" si="24"/>
        <v>16.571428571428573</v>
      </c>
      <c r="BA12" s="4">
        <f t="shared" si="15"/>
        <v>53.927797833935024</v>
      </c>
      <c r="BB12" s="4">
        <f t="shared" si="16"/>
        <v>15.40794223826715</v>
      </c>
      <c r="BD12" s="1">
        <v>0.5</v>
      </c>
      <c r="BE12" s="1">
        <v>3.5</v>
      </c>
      <c r="BF12" s="1">
        <v>58</v>
      </c>
      <c r="BG12" s="1">
        <f t="shared" si="25"/>
        <v>16.571428571428573</v>
      </c>
      <c r="BH12" s="4">
        <f t="shared" si="17"/>
        <v>15.609195402298853</v>
      </c>
      <c r="BI12" s="4">
        <f t="shared" si="18"/>
        <v>4.45977011494253</v>
      </c>
      <c r="BK12" s="1"/>
      <c r="BL12" s="1"/>
      <c r="BM12" s="1"/>
      <c r="BN12" s="1"/>
    </row>
    <row r="13" spans="1:66" x14ac:dyDescent="0.5">
      <c r="A13" s="1">
        <v>85</v>
      </c>
      <c r="B13" s="1">
        <v>1</v>
      </c>
      <c r="C13" s="1">
        <v>157</v>
      </c>
      <c r="D13" s="1">
        <f t="shared" si="26"/>
        <v>157</v>
      </c>
      <c r="E13" s="4">
        <f t="shared" si="1"/>
        <v>157.04761904761904</v>
      </c>
      <c r="F13" s="4">
        <f t="shared" si="2"/>
        <v>157.04761904761904</v>
      </c>
      <c r="G13" s="1"/>
      <c r="H13" s="1">
        <v>10</v>
      </c>
      <c r="I13" s="1">
        <v>65</v>
      </c>
      <c r="J13" s="1">
        <f t="shared" si="3"/>
        <v>65</v>
      </c>
      <c r="K13" s="4">
        <f t="shared" si="4"/>
        <v>64.666666666666671</v>
      </c>
      <c r="L13" s="4">
        <f t="shared" si="5"/>
        <v>64.666666666666671</v>
      </c>
      <c r="N13" s="1">
        <v>20</v>
      </c>
      <c r="O13" s="1">
        <v>5</v>
      </c>
      <c r="P13" s="1"/>
      <c r="Q13" s="1"/>
      <c r="R13" s="4">
        <f t="shared" si="0"/>
        <v>161.66666666666666</v>
      </c>
      <c r="S13" s="4">
        <f t="shared" si="6"/>
        <v>32.333333333333329</v>
      </c>
      <c r="U13" s="1">
        <v>5</v>
      </c>
      <c r="V13" s="1">
        <v>5</v>
      </c>
      <c r="Y13" s="4">
        <f t="shared" si="7"/>
        <v>107.77777777777777</v>
      </c>
      <c r="Z13" s="4">
        <f t="shared" si="8"/>
        <v>21.555555555555554</v>
      </c>
      <c r="AB13" s="1">
        <v>0.115</v>
      </c>
      <c r="AC13" s="31">
        <v>5</v>
      </c>
      <c r="AD13" s="33"/>
      <c r="AE13" s="33"/>
      <c r="AF13" s="32">
        <f t="shared" si="9"/>
        <v>5.4216281895504244</v>
      </c>
      <c r="AG13" s="32">
        <f t="shared" si="10"/>
        <v>1.084325637910085</v>
      </c>
      <c r="AI13" s="1">
        <v>0.65</v>
      </c>
      <c r="AJ13" s="1">
        <v>5</v>
      </c>
      <c r="AM13" s="4">
        <f t="shared" si="11"/>
        <v>27.118279569892472</v>
      </c>
      <c r="AN13" s="4">
        <f t="shared" si="12"/>
        <v>5.4236559139784948</v>
      </c>
      <c r="AP13" s="1">
        <v>1</v>
      </c>
      <c r="AQ13" s="1">
        <v>5</v>
      </c>
      <c r="AT13" s="4">
        <f t="shared" si="13"/>
        <v>38.799999999999997</v>
      </c>
      <c r="AU13" s="4">
        <f t="shared" si="14"/>
        <v>7.76</v>
      </c>
      <c r="AW13" s="1">
        <v>2.2000000000000002</v>
      </c>
      <c r="AX13" s="1">
        <v>5</v>
      </c>
      <c r="BA13" s="4">
        <f t="shared" si="15"/>
        <v>68.838709677419359</v>
      </c>
      <c r="BB13" s="4">
        <f t="shared" si="16"/>
        <v>13.767741935483873</v>
      </c>
      <c r="BD13" s="1">
        <v>0.5</v>
      </c>
      <c r="BE13" s="1">
        <v>5</v>
      </c>
      <c r="BF13"/>
      <c r="BG13"/>
      <c r="BH13" s="4">
        <f t="shared" si="17"/>
        <v>21.555555555555557</v>
      </c>
      <c r="BI13" s="4">
        <f t="shared" si="18"/>
        <v>4.3111111111111118</v>
      </c>
      <c r="BK13" s="1"/>
      <c r="BL13" s="1"/>
      <c r="BM13" s="1"/>
      <c r="BN13" s="1"/>
    </row>
    <row r="14" spans="1:66" x14ac:dyDescent="0.5">
      <c r="A14" s="1">
        <v>85</v>
      </c>
      <c r="B14" s="1">
        <v>1.2</v>
      </c>
      <c r="D14"/>
      <c r="E14" s="4">
        <f t="shared" si="1"/>
        <v>162.19672131147541</v>
      </c>
      <c r="F14" s="1"/>
      <c r="G14" s="1"/>
      <c r="H14" s="1">
        <v>10</v>
      </c>
      <c r="I14" s="1">
        <v>73</v>
      </c>
      <c r="J14" s="1">
        <f t="shared" si="3"/>
        <v>60.833333333333336</v>
      </c>
      <c r="K14" s="4">
        <f t="shared" si="4"/>
        <v>72.749999999999986</v>
      </c>
      <c r="L14" s="4">
        <f t="shared" si="5"/>
        <v>60.624999999999993</v>
      </c>
      <c r="N14" s="1">
        <v>20</v>
      </c>
      <c r="O14" s="1">
        <v>8</v>
      </c>
      <c r="R14" s="4">
        <f t="shared" si="0"/>
        <v>172.44444444444446</v>
      </c>
      <c r="S14" s="4">
        <f t="shared" si="6"/>
        <v>21.555555555555557</v>
      </c>
      <c r="U14" s="1">
        <v>5</v>
      </c>
      <c r="V14" s="1">
        <v>8</v>
      </c>
      <c r="Y14" s="4">
        <f t="shared" si="7"/>
        <v>129.33333333333334</v>
      </c>
      <c r="Z14" s="4">
        <f t="shared" si="8"/>
        <v>16.166666666666668</v>
      </c>
      <c r="AB14" s="1">
        <v>0.115</v>
      </c>
      <c r="AC14" s="1">
        <v>8</v>
      </c>
      <c r="AF14" s="4">
        <f t="shared" si="9"/>
        <v>8.5315487571701709</v>
      </c>
      <c r="AG14" s="4">
        <f t="shared" si="10"/>
        <v>1.0664435946462714</v>
      </c>
      <c r="AI14" s="1">
        <v>0.65</v>
      </c>
      <c r="AJ14" s="1">
        <v>8</v>
      </c>
      <c r="AM14" s="4">
        <f t="shared" si="11"/>
        <v>40.031746031746039</v>
      </c>
      <c r="AN14" s="4">
        <f t="shared" si="12"/>
        <v>5.0039682539682548</v>
      </c>
      <c r="AP14" s="1">
        <v>1</v>
      </c>
      <c r="AQ14" s="1">
        <v>8</v>
      </c>
      <c r="AT14" s="4">
        <f t="shared" si="13"/>
        <v>55.428571428571438</v>
      </c>
      <c r="AU14" s="4">
        <f t="shared" si="14"/>
        <v>6.9285714285714297</v>
      </c>
      <c r="AW14" s="1">
        <v>2.2000000000000002</v>
      </c>
      <c r="AX14" s="1">
        <v>8</v>
      </c>
      <c r="BA14" s="4">
        <f t="shared" si="15"/>
        <v>90.808510638297875</v>
      </c>
      <c r="BB14" s="4">
        <f t="shared" si="16"/>
        <v>11.351063829787234</v>
      </c>
      <c r="BD14" s="1">
        <v>0.5</v>
      </c>
      <c r="BE14" s="1">
        <v>8</v>
      </c>
      <c r="BF14"/>
      <c r="BG14"/>
      <c r="BH14" s="4">
        <f t="shared" si="17"/>
        <v>32.333333333333336</v>
      </c>
      <c r="BI14" s="4">
        <f t="shared" si="18"/>
        <v>4.041666666666667</v>
      </c>
      <c r="BK14" s="1"/>
      <c r="BL14" s="1"/>
      <c r="BM14" s="1"/>
      <c r="BN14" s="1"/>
    </row>
    <row r="15" spans="1:66" x14ac:dyDescent="0.5">
      <c r="A15" s="1">
        <v>85</v>
      </c>
      <c r="B15" s="1">
        <v>1.4</v>
      </c>
      <c r="E15" s="4">
        <f t="shared" si="1"/>
        <v>166.08633093525182</v>
      </c>
      <c r="F15" s="1"/>
      <c r="G15" s="1"/>
      <c r="H15" s="1">
        <v>10</v>
      </c>
      <c r="I15" s="1">
        <v>80</v>
      </c>
      <c r="J15" s="1">
        <f t="shared" si="3"/>
        <v>57.142857142857146</v>
      </c>
      <c r="K15" s="4">
        <f t="shared" si="4"/>
        <v>79.882352941176464</v>
      </c>
      <c r="L15" s="4">
        <f t="shared" si="5"/>
        <v>57.058823529411761</v>
      </c>
      <c r="N15" s="1">
        <v>20</v>
      </c>
      <c r="O15" s="1">
        <v>10</v>
      </c>
      <c r="R15" s="4">
        <f t="shared" si="0"/>
        <v>176.36363636363637</v>
      </c>
      <c r="S15" s="4">
        <f t="shared" si="6"/>
        <v>17.636363636363637</v>
      </c>
      <c r="U15" s="1">
        <v>5</v>
      </c>
      <c r="V15" s="1">
        <v>10</v>
      </c>
      <c r="Y15" s="4">
        <f t="shared" si="7"/>
        <v>138.57142857142858</v>
      </c>
      <c r="Z15" s="4">
        <f t="shared" si="8"/>
        <v>13.857142857142858</v>
      </c>
      <c r="AB15" s="1">
        <v>0.115</v>
      </c>
      <c r="AC15" s="31">
        <v>10</v>
      </c>
      <c r="AD15" s="33"/>
      <c r="AE15" s="33"/>
      <c r="AF15" s="32">
        <f t="shared" si="9"/>
        <v>10.548463356973993</v>
      </c>
      <c r="AG15" s="32">
        <f t="shared" si="10"/>
        <v>1.0548463356973994</v>
      </c>
      <c r="AI15" s="1">
        <v>0.65</v>
      </c>
      <c r="AJ15" s="1">
        <v>10</v>
      </c>
      <c r="AM15" s="4">
        <f t="shared" si="11"/>
        <v>47.584905660377366</v>
      </c>
      <c r="AN15" s="4">
        <f t="shared" si="12"/>
        <v>4.7584905660377368</v>
      </c>
      <c r="AP15" s="1">
        <v>1</v>
      </c>
      <c r="AQ15" s="1">
        <v>10</v>
      </c>
      <c r="AT15" s="4">
        <f t="shared" si="13"/>
        <v>64.666666666666671</v>
      </c>
      <c r="AU15" s="4">
        <f t="shared" si="14"/>
        <v>6.4666666666666668</v>
      </c>
      <c r="AW15" s="1">
        <v>2.2000000000000002</v>
      </c>
      <c r="AX15" s="1">
        <v>10</v>
      </c>
      <c r="BA15" s="4">
        <f t="shared" si="15"/>
        <v>101.61904761904762</v>
      </c>
      <c r="BB15" s="4">
        <f t="shared" si="16"/>
        <v>10.161904761904761</v>
      </c>
      <c r="BD15" s="1">
        <v>0.5</v>
      </c>
      <c r="BE15" s="1">
        <v>10</v>
      </c>
      <c r="BF15"/>
      <c r="BG15"/>
      <c r="BH15" s="4">
        <f t="shared" si="17"/>
        <v>38.799999999999997</v>
      </c>
      <c r="BI15" s="4">
        <f t="shared" si="18"/>
        <v>3.88</v>
      </c>
      <c r="BK15" s="1"/>
      <c r="BL15" s="1"/>
      <c r="BM15" s="1"/>
      <c r="BN15" s="1"/>
    </row>
    <row r="16" spans="1:66" x14ac:dyDescent="0.5">
      <c r="A16" s="1">
        <v>85</v>
      </c>
      <c r="B16" s="1">
        <v>1.6</v>
      </c>
      <c r="E16" s="4">
        <f t="shared" si="1"/>
        <v>169.12820512820511</v>
      </c>
      <c r="F16" s="1"/>
      <c r="G16" s="1"/>
      <c r="H16" s="1">
        <v>10</v>
      </c>
      <c r="I16" s="1">
        <v>86</v>
      </c>
      <c r="J16" s="1">
        <f t="shared" si="3"/>
        <v>53.75</v>
      </c>
      <c r="K16" s="4">
        <f t="shared" si="4"/>
        <v>86.222222222222229</v>
      </c>
      <c r="L16" s="4">
        <f t="shared" si="5"/>
        <v>53.888888888888893</v>
      </c>
      <c r="N16" s="1">
        <v>20</v>
      </c>
      <c r="O16" s="1">
        <v>13</v>
      </c>
      <c r="R16" s="4">
        <f t="shared" si="0"/>
        <v>180.14285714285714</v>
      </c>
      <c r="S16" s="4">
        <f t="shared" si="6"/>
        <v>13.857142857142858</v>
      </c>
      <c r="U16" s="1">
        <v>5</v>
      </c>
      <c r="V16" s="1">
        <v>13</v>
      </c>
      <c r="Y16" s="4">
        <f t="shared" si="7"/>
        <v>148.35294117647058</v>
      </c>
      <c r="Z16" s="4">
        <f t="shared" si="8"/>
        <v>11.411764705882351</v>
      </c>
      <c r="AB16" s="1">
        <v>0.115</v>
      </c>
      <c r="AC16" s="1">
        <v>13</v>
      </c>
      <c r="AF16" s="4">
        <f t="shared" si="9"/>
        <v>13.492905326820189</v>
      </c>
      <c r="AG16" s="4">
        <f t="shared" si="10"/>
        <v>1.0379157943707837</v>
      </c>
      <c r="AI16" s="1">
        <v>0.65</v>
      </c>
      <c r="AJ16" s="1">
        <v>13</v>
      </c>
      <c r="AM16" s="4">
        <f t="shared" si="11"/>
        <v>57.620386643233751</v>
      </c>
      <c r="AN16" s="4">
        <f t="shared" si="12"/>
        <v>4.4323374340949035</v>
      </c>
      <c r="AP16" s="1">
        <v>1</v>
      </c>
      <c r="AQ16" s="1">
        <v>13</v>
      </c>
      <c r="AT16" s="4">
        <f t="shared" si="13"/>
        <v>76.424242424242436</v>
      </c>
      <c r="AU16" s="4">
        <f t="shared" si="14"/>
        <v>5.8787878787878798</v>
      </c>
      <c r="AW16" s="1">
        <v>2.2000000000000002</v>
      </c>
      <c r="AX16" s="1">
        <v>13</v>
      </c>
      <c r="BA16" s="4">
        <f t="shared" si="15"/>
        <v>114.16460905349794</v>
      </c>
      <c r="BB16" s="4">
        <f t="shared" si="16"/>
        <v>8.7818930041152257</v>
      </c>
      <c r="BD16" s="1">
        <v>0.5</v>
      </c>
      <c r="BE16" s="1">
        <v>13</v>
      </c>
      <c r="BF16"/>
      <c r="BG16"/>
      <c r="BH16" s="4">
        <f t="shared" si="17"/>
        <v>47.584905660377366</v>
      </c>
      <c r="BI16" s="4">
        <f t="shared" si="18"/>
        <v>3.6603773584905666</v>
      </c>
      <c r="BK16" s="1"/>
      <c r="BL16" s="1"/>
      <c r="BM16" s="1"/>
      <c r="BN16" s="1"/>
    </row>
    <row r="17" spans="1:66" x14ac:dyDescent="0.5">
      <c r="A17" s="1">
        <v>85</v>
      </c>
      <c r="B17" s="1">
        <v>1.8</v>
      </c>
      <c r="E17" s="4">
        <f t="shared" si="1"/>
        <v>171.57225433526011</v>
      </c>
      <c r="F17" s="1"/>
      <c r="G17" s="1"/>
      <c r="H17" s="1">
        <v>10</v>
      </c>
      <c r="I17" s="1">
        <v>92</v>
      </c>
      <c r="J17" s="1">
        <f t="shared" si="3"/>
        <v>51.111111111111107</v>
      </c>
      <c r="K17" s="4">
        <f t="shared" si="4"/>
        <v>91.89473684210526</v>
      </c>
      <c r="L17" s="4">
        <f t="shared" si="5"/>
        <v>51.052631578947363</v>
      </c>
      <c r="N17" s="1">
        <v>20</v>
      </c>
      <c r="O17" s="1">
        <v>15</v>
      </c>
      <c r="R17" s="4">
        <f t="shared" si="0"/>
        <v>181.875</v>
      </c>
      <c r="S17" s="4">
        <f t="shared" si="6"/>
        <v>12.125</v>
      </c>
      <c r="U17" s="1">
        <v>5</v>
      </c>
      <c r="V17" s="1">
        <v>15</v>
      </c>
      <c r="Y17" s="4">
        <f t="shared" si="7"/>
        <v>153.15789473684211</v>
      </c>
      <c r="Z17" s="4">
        <f t="shared" si="8"/>
        <v>10.210526315789474</v>
      </c>
      <c r="AB17" s="1">
        <v>0.115</v>
      </c>
      <c r="AC17" s="1">
        <v>15</v>
      </c>
      <c r="AF17" s="4">
        <f t="shared" si="9"/>
        <v>15.403912543153048</v>
      </c>
      <c r="AG17" s="4">
        <f t="shared" si="10"/>
        <v>1.0269275028768698</v>
      </c>
      <c r="AI17" s="1">
        <v>0.65</v>
      </c>
      <c r="AJ17" s="1">
        <v>15</v>
      </c>
      <c r="AM17" s="4">
        <f t="shared" si="11"/>
        <v>63.579831932773111</v>
      </c>
      <c r="AN17" s="4">
        <f t="shared" si="12"/>
        <v>4.238655462184874</v>
      </c>
      <c r="AP17" s="1">
        <v>1</v>
      </c>
      <c r="AQ17" s="1">
        <v>15</v>
      </c>
      <c r="AT17" s="4">
        <f t="shared" si="13"/>
        <v>83.142857142857139</v>
      </c>
      <c r="AU17" s="4">
        <f t="shared" si="14"/>
        <v>5.5428571428571427</v>
      </c>
      <c r="AW17" s="1">
        <v>2.2000000000000002</v>
      </c>
      <c r="AX17" s="1">
        <v>15</v>
      </c>
      <c r="BA17" s="4">
        <f t="shared" si="15"/>
        <v>120.79245283018867</v>
      </c>
      <c r="BB17" s="4">
        <f t="shared" si="16"/>
        <v>8.0528301886792448</v>
      </c>
      <c r="BD17" s="1">
        <v>0.5</v>
      </c>
      <c r="BE17" s="1">
        <v>15</v>
      </c>
      <c r="BF17"/>
      <c r="BG17"/>
      <c r="BH17" s="4">
        <f t="shared" si="17"/>
        <v>52.909090909090907</v>
      </c>
      <c r="BI17" s="4">
        <f t="shared" si="18"/>
        <v>3.5272727272727269</v>
      </c>
      <c r="BK17" s="1"/>
      <c r="BL17" s="1"/>
      <c r="BM17" s="1"/>
      <c r="BN17" s="1"/>
    </row>
    <row r="18" spans="1:66" x14ac:dyDescent="0.5">
      <c r="A18" s="1">
        <v>85</v>
      </c>
      <c r="B18" s="1">
        <v>2</v>
      </c>
      <c r="E18" s="4">
        <f t="shared" si="1"/>
        <v>173.57894736842104</v>
      </c>
      <c r="F18" s="1"/>
      <c r="G18" s="1"/>
      <c r="H18" s="1">
        <v>10</v>
      </c>
      <c r="I18" s="1">
        <v>97</v>
      </c>
      <c r="J18" s="1">
        <f t="shared" si="3"/>
        <v>48.5</v>
      </c>
      <c r="K18" s="4">
        <f t="shared" si="4"/>
        <v>97</v>
      </c>
      <c r="L18" s="4">
        <f t="shared" si="5"/>
        <v>48.5</v>
      </c>
      <c r="N18" s="1">
        <v>20</v>
      </c>
      <c r="O18" s="1">
        <v>18</v>
      </c>
      <c r="R18" s="4">
        <f t="shared" si="0"/>
        <v>183.78947368421052</v>
      </c>
      <c r="S18" s="4">
        <f t="shared" si="6"/>
        <v>10.210526315789473</v>
      </c>
      <c r="U18" s="1">
        <v>5</v>
      </c>
      <c r="V18" s="1">
        <v>18</v>
      </c>
      <c r="Y18" s="4">
        <f t="shared" si="7"/>
        <v>158.72727272727272</v>
      </c>
      <c r="Z18" s="4">
        <f t="shared" si="8"/>
        <v>8.8181818181818183</v>
      </c>
      <c r="AB18" s="1">
        <v>0.115</v>
      </c>
      <c r="AC18" s="1">
        <v>18</v>
      </c>
      <c r="AF18" s="4">
        <f t="shared" si="9"/>
        <v>18.195740824648848</v>
      </c>
      <c r="AG18" s="4">
        <f t="shared" si="10"/>
        <v>1.0108744902582694</v>
      </c>
      <c r="AI18" s="1">
        <v>0.65</v>
      </c>
      <c r="AJ18" s="1">
        <v>18</v>
      </c>
      <c r="AM18" s="4">
        <f t="shared" si="11"/>
        <v>71.602523659305987</v>
      </c>
      <c r="AN18" s="4">
        <f t="shared" si="12"/>
        <v>3.9779179810725549</v>
      </c>
      <c r="AP18" s="1">
        <v>1</v>
      </c>
      <c r="AQ18" s="1">
        <v>18</v>
      </c>
      <c r="AT18" s="4">
        <f t="shared" si="13"/>
        <v>91.89473684210526</v>
      </c>
      <c r="AU18" s="4">
        <f t="shared" si="14"/>
        <v>5.1052631578947363</v>
      </c>
      <c r="AW18" s="1">
        <v>2.2000000000000002</v>
      </c>
      <c r="AX18" s="1">
        <v>18</v>
      </c>
      <c r="BA18" s="4">
        <f t="shared" si="15"/>
        <v>128.8993288590604</v>
      </c>
      <c r="BB18" s="4">
        <f t="shared" si="16"/>
        <v>7.1610738255033555</v>
      </c>
      <c r="BD18" s="1">
        <v>0.5</v>
      </c>
      <c r="BE18" s="1">
        <v>18</v>
      </c>
      <c r="BF18"/>
      <c r="BG18"/>
      <c r="BH18" s="4">
        <f t="shared" si="17"/>
        <v>60.206896551724135</v>
      </c>
      <c r="BI18" s="4">
        <f t="shared" si="18"/>
        <v>3.3448275862068964</v>
      </c>
      <c r="BK18" s="1"/>
      <c r="BL18" s="1"/>
      <c r="BM18" s="1"/>
      <c r="BN18" s="1"/>
    </row>
    <row r="19" spans="1:66" x14ac:dyDescent="0.5">
      <c r="A19" s="2" t="s">
        <v>36</v>
      </c>
      <c r="B19" s="1">
        <v>2.5</v>
      </c>
      <c r="E19" s="4"/>
      <c r="F19" s="1"/>
      <c r="G19" s="1"/>
      <c r="H19" s="1">
        <v>10</v>
      </c>
      <c r="I19" s="1">
        <v>108</v>
      </c>
      <c r="J19" s="1">
        <f t="shared" si="3"/>
        <v>43.2</v>
      </c>
      <c r="K19" s="4">
        <f t="shared" si="4"/>
        <v>107.77777777777777</v>
      </c>
      <c r="L19" s="4">
        <f t="shared" si="5"/>
        <v>43.111111111111107</v>
      </c>
      <c r="N19" s="1">
        <v>20</v>
      </c>
      <c r="O19" s="1">
        <v>20</v>
      </c>
      <c r="R19" s="4">
        <f t="shared" si="0"/>
        <v>184.76190476190476</v>
      </c>
      <c r="S19" s="4">
        <f t="shared" si="6"/>
        <v>9.2380952380952372</v>
      </c>
      <c r="U19" s="1">
        <v>5</v>
      </c>
      <c r="V19" s="1">
        <v>20</v>
      </c>
      <c r="Y19" s="4">
        <f t="shared" si="7"/>
        <v>161.66666666666666</v>
      </c>
      <c r="Z19" s="4">
        <f t="shared" si="8"/>
        <v>8.0833333333333321</v>
      </c>
      <c r="AB19" s="1">
        <v>0.115</v>
      </c>
      <c r="AC19" s="1">
        <v>20</v>
      </c>
      <c r="AF19" s="4">
        <f t="shared" si="9"/>
        <v>20.00896860986547</v>
      </c>
      <c r="AG19" s="4">
        <f t="shared" si="10"/>
        <v>1.0004484304932735</v>
      </c>
      <c r="AI19" s="1">
        <v>0.65</v>
      </c>
      <c r="AJ19" s="1">
        <v>20</v>
      </c>
      <c r="AM19" s="4">
        <f t="shared" si="11"/>
        <v>76.424242424242436</v>
      </c>
      <c r="AN19" s="4">
        <f t="shared" si="12"/>
        <v>3.8212121212121217</v>
      </c>
      <c r="AP19" s="1">
        <v>1</v>
      </c>
      <c r="AQ19" s="1">
        <v>20</v>
      </c>
      <c r="AT19" s="4">
        <f t="shared" si="13"/>
        <v>97</v>
      </c>
      <c r="AU19" s="4">
        <f t="shared" si="14"/>
        <v>4.8499999999999996</v>
      </c>
      <c r="AW19" s="1">
        <v>2.2000000000000002</v>
      </c>
      <c r="AX19" s="1">
        <v>20</v>
      </c>
      <c r="BA19" s="4">
        <f t="shared" si="15"/>
        <v>133.375</v>
      </c>
      <c r="BB19" s="4">
        <f t="shared" si="16"/>
        <v>6.6687500000000002</v>
      </c>
      <c r="BD19" s="1">
        <v>0.5</v>
      </c>
      <c r="BE19" s="1">
        <v>20</v>
      </c>
      <c r="BF19"/>
      <c r="BG19"/>
      <c r="BH19" s="4">
        <f t="shared" si="17"/>
        <v>64.666666666666671</v>
      </c>
      <c r="BI19" s="4">
        <f t="shared" si="18"/>
        <v>3.2333333333333334</v>
      </c>
      <c r="BK19" s="1"/>
      <c r="BL19" s="1"/>
      <c r="BM19" s="1"/>
      <c r="BN19" s="1"/>
    </row>
    <row r="20" spans="1:66" x14ac:dyDescent="0.5">
      <c r="B20" s="1">
        <v>3.5</v>
      </c>
      <c r="E20" s="4"/>
      <c r="F20" s="1"/>
      <c r="G20" s="1"/>
      <c r="H20" s="1">
        <v>10</v>
      </c>
      <c r="I20" s="1">
        <v>124</v>
      </c>
      <c r="J20" s="1">
        <f t="shared" si="3"/>
        <v>35.428571428571431</v>
      </c>
      <c r="K20" s="4">
        <f t="shared" si="4"/>
        <v>123.45454545454545</v>
      </c>
      <c r="L20" s="4">
        <f t="shared" si="5"/>
        <v>35.272727272727273</v>
      </c>
      <c r="N20" s="1"/>
    </row>
    <row r="21" spans="1:66" x14ac:dyDescent="0.5">
      <c r="B21" s="1">
        <v>5</v>
      </c>
      <c r="E21" s="4"/>
      <c r="H21" s="1">
        <v>10</v>
      </c>
      <c r="K21" s="4">
        <f t="shared" ref="K21:K27" si="27">H21/$A$36*B21*$B$36/(1+H21/$A$36*B21)</f>
        <v>138.57142857142858</v>
      </c>
      <c r="L21" s="4">
        <f t="shared" ref="L21:L27" si="28">K21/B21</f>
        <v>27.714285714285715</v>
      </c>
      <c r="N21" s="1"/>
    </row>
    <row r="22" spans="1:66" x14ac:dyDescent="0.5">
      <c r="B22" s="1">
        <v>8</v>
      </c>
      <c r="E22" s="4"/>
      <c r="H22" s="1">
        <v>10</v>
      </c>
      <c r="K22" s="4">
        <f t="shared" si="27"/>
        <v>155.19999999999999</v>
      </c>
      <c r="L22" s="4">
        <f t="shared" si="28"/>
        <v>19.399999999999999</v>
      </c>
      <c r="N22" s="1"/>
    </row>
    <row r="23" spans="1:66" x14ac:dyDescent="0.5">
      <c r="B23" s="1">
        <v>10</v>
      </c>
      <c r="E23" s="4"/>
      <c r="H23" s="1">
        <v>10</v>
      </c>
      <c r="K23" s="4">
        <f t="shared" si="27"/>
        <v>161.66666666666666</v>
      </c>
      <c r="L23" s="4">
        <f t="shared" si="28"/>
        <v>16.166666666666664</v>
      </c>
      <c r="N23" s="1"/>
    </row>
    <row r="24" spans="1:66" x14ac:dyDescent="0.5">
      <c r="B24" s="1">
        <v>13</v>
      </c>
      <c r="E24" s="4"/>
      <c r="H24" s="1">
        <v>10</v>
      </c>
      <c r="K24" s="4">
        <f t="shared" si="27"/>
        <v>168.13333333333333</v>
      </c>
      <c r="L24" s="4">
        <f t="shared" si="28"/>
        <v>12.933333333333334</v>
      </c>
      <c r="N24" s="1"/>
      <c r="AG24" t="s">
        <v>68</v>
      </c>
      <c r="AH24" s="1" t="s">
        <v>65</v>
      </c>
      <c r="AI24" s="1" t="s">
        <v>66</v>
      </c>
      <c r="AJ24" s="1" t="s">
        <v>67</v>
      </c>
    </row>
    <row r="25" spans="1:66" x14ac:dyDescent="0.5">
      <c r="B25" s="1">
        <v>15</v>
      </c>
      <c r="C25"/>
      <c r="D25"/>
      <c r="E25" s="4"/>
      <c r="H25" s="1">
        <v>10</v>
      </c>
      <c r="K25" s="4">
        <f t="shared" si="27"/>
        <v>171.1764705882353</v>
      </c>
      <c r="L25" s="4">
        <f t="shared" si="28"/>
        <v>11.411764705882353</v>
      </c>
      <c r="N25" s="1"/>
      <c r="AG25" s="2">
        <v>10</v>
      </c>
      <c r="AH25" s="4">
        <f>L23</f>
        <v>16.166666666666664</v>
      </c>
      <c r="AI25" s="4">
        <f>L27</f>
        <v>8.8181818181818183</v>
      </c>
      <c r="AJ25" s="4">
        <f t="shared" ref="AJ25:AJ30" si="29">(AH25-AI25)/10</f>
        <v>0.73484848484848464</v>
      </c>
    </row>
    <row r="26" spans="1:66" x14ac:dyDescent="0.5">
      <c r="B26" s="1">
        <v>18</v>
      </c>
      <c r="C26"/>
      <c r="D26"/>
      <c r="E26" s="4"/>
      <c r="H26" s="1">
        <v>10</v>
      </c>
      <c r="K26" s="4">
        <f t="shared" si="27"/>
        <v>174.6</v>
      </c>
      <c r="L26" s="4">
        <f t="shared" si="28"/>
        <v>9.6999999999999993</v>
      </c>
      <c r="N26" s="1"/>
      <c r="AG26" s="2">
        <v>5</v>
      </c>
      <c r="AH26" s="4">
        <f>Z15</f>
        <v>13.857142857142858</v>
      </c>
      <c r="AI26" s="4">
        <f>Z19</f>
        <v>8.0833333333333321</v>
      </c>
      <c r="AJ26" s="4">
        <f t="shared" si="29"/>
        <v>0.57738095238095255</v>
      </c>
    </row>
    <row r="27" spans="1:66" x14ac:dyDescent="0.5">
      <c r="B27" s="1">
        <v>20</v>
      </c>
      <c r="E27" s="4"/>
      <c r="H27" s="1">
        <v>10</v>
      </c>
      <c r="K27" s="4">
        <f t="shared" si="27"/>
        <v>176.36363636363637</v>
      </c>
      <c r="L27" s="4">
        <f t="shared" si="28"/>
        <v>8.8181818181818183</v>
      </c>
      <c r="N27" s="1"/>
      <c r="AG27" s="2">
        <v>2.2000000000000002</v>
      </c>
      <c r="AH27" s="4">
        <f>BB15</f>
        <v>10.161904761904761</v>
      </c>
      <c r="AI27" s="4">
        <f>BB19</f>
        <v>6.6687500000000002</v>
      </c>
      <c r="AJ27" s="4">
        <f t="shared" si="29"/>
        <v>0.34931547619047609</v>
      </c>
    </row>
    <row r="28" spans="1:66" x14ac:dyDescent="0.5">
      <c r="AG28" s="2">
        <v>1</v>
      </c>
      <c r="AH28" s="4">
        <f>AU15</f>
        <v>6.4666666666666668</v>
      </c>
      <c r="AI28" s="4">
        <f>AU19</f>
        <v>4.8499999999999996</v>
      </c>
      <c r="AJ28" s="4">
        <f t="shared" si="29"/>
        <v>0.16166666666666671</v>
      </c>
    </row>
    <row r="29" spans="1:66" x14ac:dyDescent="0.5">
      <c r="AG29" s="2">
        <v>0.5</v>
      </c>
      <c r="AH29" s="4">
        <f>BI15</f>
        <v>3.88</v>
      </c>
      <c r="AI29" s="4">
        <f>BI19</f>
        <v>3.2333333333333334</v>
      </c>
      <c r="AJ29" s="4">
        <f t="shared" si="29"/>
        <v>6.466666666666665E-2</v>
      </c>
    </row>
    <row r="30" spans="1:66" x14ac:dyDescent="0.5">
      <c r="AG30" s="2">
        <v>0.1</v>
      </c>
      <c r="AH30" s="4">
        <f>AG15</f>
        <v>1.0548463356973994</v>
      </c>
      <c r="AI30" s="4">
        <f>AG19</f>
        <v>1.0004484304932735</v>
      </c>
      <c r="AJ30" s="3">
        <f t="shared" si="29"/>
        <v>5.4397905204125905E-3</v>
      </c>
    </row>
    <row r="35" spans="1:2" x14ac:dyDescent="0.5">
      <c r="A35" s="1" t="s">
        <v>59</v>
      </c>
      <c r="B35" t="s">
        <v>57</v>
      </c>
    </row>
    <row r="36" spans="1:2" x14ac:dyDescent="0.5">
      <c r="A36" s="1">
        <v>20</v>
      </c>
      <c r="B36" s="1">
        <v>194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D6499-00BA-405C-9111-20ED000D781F}">
  <dimension ref="A1:W59"/>
  <sheetViews>
    <sheetView topLeftCell="H1" workbookViewId="0">
      <selection activeCell="M14" sqref="M14"/>
    </sheetView>
  </sheetViews>
  <sheetFormatPr defaultRowHeight="14.35" x14ac:dyDescent="0.5"/>
  <cols>
    <col min="1" max="1" width="11.64453125" bestFit="1" customWidth="1"/>
    <col min="2" max="2" width="9.52734375" style="1" bestFit="1" customWidth="1"/>
    <col min="3" max="3" width="9.52734375" bestFit="1" customWidth="1"/>
    <col min="4" max="4" width="12" bestFit="1" customWidth="1"/>
    <col min="5" max="5" width="13.3515625" bestFit="1" customWidth="1"/>
    <col min="8" max="8" width="14" customWidth="1"/>
    <col min="9" max="9" width="10.3515625" style="5" customWidth="1"/>
    <col min="10" max="10" width="11.41015625" style="1" bestFit="1" customWidth="1"/>
    <col min="11" max="11" width="8.87890625" style="1"/>
    <col min="12" max="13" width="16.64453125" bestFit="1" customWidth="1"/>
    <col min="15" max="15" width="10.234375" customWidth="1"/>
    <col min="16" max="16" width="13.3515625" style="1" bestFit="1" customWidth="1"/>
    <col min="17" max="17" width="11.41015625" style="1" bestFit="1" customWidth="1"/>
    <col min="18" max="18" width="10.234375" style="1" bestFit="1" customWidth="1"/>
    <col min="19" max="20" width="6.64453125" style="1" customWidth="1"/>
  </cols>
  <sheetData>
    <row r="1" spans="1:20" ht="16.350000000000001" x14ac:dyDescent="0.65">
      <c r="A1" s="2" t="s">
        <v>31</v>
      </c>
      <c r="B1"/>
      <c r="D1" s="1" t="s">
        <v>32</v>
      </c>
      <c r="E1" t="s">
        <v>10</v>
      </c>
      <c r="F1" t="s">
        <v>8</v>
      </c>
      <c r="G1" s="6" t="s">
        <v>14</v>
      </c>
      <c r="H1" s="2" t="s">
        <v>15</v>
      </c>
      <c r="I1" s="2" t="s">
        <v>18</v>
      </c>
      <c r="J1" s="2" t="s">
        <v>19</v>
      </c>
      <c r="K1" s="1" t="s">
        <v>5</v>
      </c>
      <c r="L1" s="1" t="s">
        <v>41</v>
      </c>
      <c r="M1" s="1" t="s">
        <v>42</v>
      </c>
      <c r="N1" s="1"/>
      <c r="P1"/>
      <c r="Q1"/>
      <c r="R1"/>
      <c r="S1"/>
      <c r="T1"/>
    </row>
    <row r="2" spans="1:20" x14ac:dyDescent="0.5">
      <c r="B2"/>
      <c r="D2" s="1">
        <v>1</v>
      </c>
      <c r="E2" s="1">
        <v>1000</v>
      </c>
      <c r="F2" s="1">
        <f>(E2-$B$3)/1000</f>
        <v>0.99990000000000001</v>
      </c>
      <c r="G2" s="1">
        <f>1/((E2/1000)*2*PI())</f>
        <v>0.15915494309189535</v>
      </c>
      <c r="H2" s="1">
        <f t="shared" ref="H2:H8" si="0">1/F2</f>
        <v>1.000100010001</v>
      </c>
      <c r="I2" s="3">
        <f t="shared" ref="I2:I8" si="1">H2*$B$36/($B$43-H2*$B$36)</f>
        <v>0.11495534559600322</v>
      </c>
      <c r="J2" s="3">
        <f t="shared" ref="J2:J8" si="2">$B$43/$B$49*(-H2*$B$36/($B$43-H2*$B$36))</f>
        <v>0.55753342614061563</v>
      </c>
      <c r="K2" s="1">
        <v>1</v>
      </c>
      <c r="L2" s="1">
        <v>0.75</v>
      </c>
      <c r="M2" s="1">
        <v>0.73</v>
      </c>
      <c r="N2" s="1"/>
      <c r="P2"/>
      <c r="Q2"/>
      <c r="R2"/>
      <c r="S2"/>
      <c r="T2"/>
    </row>
    <row r="3" spans="1:20" ht="16.350000000000001" x14ac:dyDescent="0.65">
      <c r="A3" t="s">
        <v>9</v>
      </c>
      <c r="B3">
        <v>0.1</v>
      </c>
      <c r="D3" s="1">
        <v>1</v>
      </c>
      <c r="E3" s="1">
        <v>500</v>
      </c>
      <c r="F3" s="1">
        <f t="shared" ref="F3:F18" si="3">(E3-$B$3)/1000</f>
        <v>0.49989999999999996</v>
      </c>
      <c r="G3" s="1">
        <f>1/((E3/1000)*2*PI())</f>
        <v>0.31830988618379069</v>
      </c>
      <c r="H3" s="1">
        <f t="shared" si="0"/>
        <v>2.0004000800160036</v>
      </c>
      <c r="I3" s="3">
        <f t="shared" si="1"/>
        <v>0.25980571728461466</v>
      </c>
      <c r="J3" s="3">
        <f t="shared" si="2"/>
        <v>1.2600577288303809</v>
      </c>
      <c r="K3" s="1">
        <v>1</v>
      </c>
      <c r="L3" s="1">
        <v>1.05</v>
      </c>
      <c r="M3" s="1">
        <v>0.85</v>
      </c>
      <c r="N3" s="1"/>
      <c r="P3"/>
      <c r="Q3"/>
      <c r="R3"/>
      <c r="S3"/>
      <c r="T3"/>
    </row>
    <row r="4" spans="1:20" x14ac:dyDescent="0.5">
      <c r="D4" s="1">
        <v>1</v>
      </c>
      <c r="E4" s="1">
        <v>200</v>
      </c>
      <c r="F4" s="1">
        <f t="shared" si="3"/>
        <v>0.19989999999999999</v>
      </c>
      <c r="G4" s="1">
        <f t="shared" ref="G4:G18" si="4">1/((E4/1000)*2*PI())</f>
        <v>0.79577471545947676</v>
      </c>
      <c r="H4" s="1">
        <f t="shared" si="0"/>
        <v>5.002501250625313</v>
      </c>
      <c r="I4" s="3">
        <f t="shared" si="1"/>
        <v>1.064928703023333</v>
      </c>
      <c r="J4" s="3">
        <f t="shared" si="2"/>
        <v>5.164904209663165</v>
      </c>
      <c r="K4" s="1">
        <v>1</v>
      </c>
      <c r="L4" s="1">
        <v>1.6</v>
      </c>
      <c r="M4" s="1">
        <v>1.1000000000000001</v>
      </c>
      <c r="N4" s="1"/>
      <c r="P4"/>
      <c r="Q4"/>
      <c r="R4"/>
      <c r="S4"/>
      <c r="T4"/>
    </row>
    <row r="5" spans="1:20" x14ac:dyDescent="0.5">
      <c r="D5" s="1">
        <v>1</v>
      </c>
      <c r="E5" s="1">
        <v>175</v>
      </c>
      <c r="F5" s="1">
        <f t="shared" si="3"/>
        <v>0.1749</v>
      </c>
      <c r="G5" s="1">
        <f t="shared" si="4"/>
        <v>0.90945681766797337</v>
      </c>
      <c r="H5" s="1">
        <f t="shared" si="0"/>
        <v>5.7175528873642083</v>
      </c>
      <c r="I5" s="3">
        <f t="shared" si="1"/>
        <v>1.4356883407749845</v>
      </c>
      <c r="J5" s="3">
        <f t="shared" si="2"/>
        <v>6.9630884527586741</v>
      </c>
      <c r="K5" s="1">
        <v>1</v>
      </c>
      <c r="L5" s="1">
        <v>1.75</v>
      </c>
      <c r="M5" s="1">
        <v>1.3</v>
      </c>
      <c r="N5" s="1"/>
      <c r="P5"/>
      <c r="Q5"/>
      <c r="R5"/>
      <c r="S5"/>
      <c r="T5"/>
    </row>
    <row r="6" spans="1:20" x14ac:dyDescent="0.5">
      <c r="B6"/>
      <c r="D6" s="1">
        <v>1</v>
      </c>
      <c r="E6" s="1">
        <v>150</v>
      </c>
      <c r="F6" s="1">
        <f t="shared" si="3"/>
        <v>0.14990000000000001</v>
      </c>
      <c r="G6" s="1">
        <f t="shared" si="4"/>
        <v>1.0610329539459689</v>
      </c>
      <c r="H6" s="1">
        <f t="shared" si="0"/>
        <v>6.6711140760507002</v>
      </c>
      <c r="I6" s="3">
        <f t="shared" si="1"/>
        <v>2.2024976323150454</v>
      </c>
      <c r="J6" s="3">
        <f t="shared" si="2"/>
        <v>10.68211351672797</v>
      </c>
      <c r="K6" s="1">
        <v>1</v>
      </c>
      <c r="L6" s="1">
        <v>2.2000000000000002</v>
      </c>
      <c r="M6" s="1">
        <v>1.4</v>
      </c>
      <c r="N6" s="1"/>
      <c r="P6"/>
      <c r="Q6"/>
      <c r="R6"/>
      <c r="S6"/>
      <c r="T6"/>
    </row>
    <row r="7" spans="1:20" x14ac:dyDescent="0.5">
      <c r="B7"/>
      <c r="D7" s="1">
        <v>1</v>
      </c>
      <c r="E7" s="1">
        <v>125</v>
      </c>
      <c r="F7" s="1">
        <f t="shared" si="3"/>
        <v>0.12490000000000001</v>
      </c>
      <c r="G7" s="1">
        <f t="shared" si="4"/>
        <v>1.2732395447351628</v>
      </c>
      <c r="H7" s="1">
        <f t="shared" si="0"/>
        <v>8.0064051240992793</v>
      </c>
      <c r="I7" s="3">
        <f t="shared" si="1"/>
        <v>4.7274618257457579</v>
      </c>
      <c r="J7" s="3">
        <f t="shared" si="2"/>
        <v>22.928189854866925</v>
      </c>
      <c r="K7" s="1">
        <v>1</v>
      </c>
      <c r="L7" s="1">
        <v>3</v>
      </c>
      <c r="M7" s="1">
        <v>1.6</v>
      </c>
      <c r="N7" s="1"/>
      <c r="P7"/>
      <c r="Q7"/>
      <c r="R7"/>
      <c r="S7"/>
      <c r="T7"/>
    </row>
    <row r="8" spans="1:20" x14ac:dyDescent="0.5">
      <c r="B8"/>
      <c r="D8" s="1">
        <v>1</v>
      </c>
      <c r="E8" s="1">
        <v>110</v>
      </c>
      <c r="F8" s="1">
        <f t="shared" si="3"/>
        <v>0.10990000000000001</v>
      </c>
      <c r="G8" s="1">
        <f t="shared" si="4"/>
        <v>1.4468631190172305</v>
      </c>
      <c r="H8" s="1">
        <f t="shared" si="0"/>
        <v>9.0991810737033649</v>
      </c>
      <c r="I8" s="3">
        <f t="shared" si="1"/>
        <v>15.144631228229535</v>
      </c>
      <c r="J8" s="3">
        <f t="shared" si="2"/>
        <v>73.451461456913236</v>
      </c>
      <c r="K8" s="1">
        <v>1</v>
      </c>
      <c r="L8" s="1">
        <v>5</v>
      </c>
      <c r="M8" s="1">
        <v>1.78</v>
      </c>
      <c r="N8" s="1"/>
      <c r="P8"/>
      <c r="Q8"/>
      <c r="R8"/>
      <c r="S8"/>
      <c r="T8"/>
    </row>
    <row r="9" spans="1:20" x14ac:dyDescent="0.5">
      <c r="B9"/>
      <c r="D9" s="1">
        <v>1</v>
      </c>
      <c r="E9" s="1">
        <v>100</v>
      </c>
      <c r="F9" s="1">
        <f t="shared" si="3"/>
        <v>9.9900000000000003E-2</v>
      </c>
      <c r="G9" s="1">
        <f t="shared" si="4"/>
        <v>1.5915494309189535</v>
      </c>
      <c r="H9" s="1"/>
      <c r="I9" s="3"/>
      <c r="J9" s="3"/>
      <c r="L9" s="1"/>
      <c r="M9" s="1"/>
      <c r="N9" s="1"/>
      <c r="P9"/>
      <c r="Q9"/>
      <c r="R9"/>
      <c r="S9"/>
      <c r="T9"/>
    </row>
    <row r="10" spans="1:20" x14ac:dyDescent="0.5">
      <c r="B10"/>
      <c r="D10" s="1">
        <v>1</v>
      </c>
      <c r="E10" s="1">
        <v>50</v>
      </c>
      <c r="F10" s="1">
        <f t="shared" si="3"/>
        <v>4.99E-2</v>
      </c>
      <c r="G10" s="1">
        <f t="shared" si="4"/>
        <v>3.183098861837907</v>
      </c>
      <c r="H10" s="1"/>
      <c r="I10" s="3"/>
      <c r="J10" s="3"/>
      <c r="L10" s="1"/>
      <c r="M10" s="1"/>
      <c r="N10" s="1"/>
      <c r="P10"/>
      <c r="Q10"/>
      <c r="R10"/>
      <c r="S10"/>
      <c r="T10"/>
    </row>
    <row r="11" spans="1:20" x14ac:dyDescent="0.5">
      <c r="B11"/>
      <c r="D11" s="1"/>
      <c r="E11" s="26">
        <v>32</v>
      </c>
      <c r="F11" s="30">
        <f t="shared" si="3"/>
        <v>3.1899999999999998E-2</v>
      </c>
      <c r="G11" s="26">
        <f t="shared" si="4"/>
        <v>4.9735919716217287</v>
      </c>
      <c r="H11" s="1"/>
      <c r="I11" s="3"/>
      <c r="J11" s="3"/>
      <c r="L11" s="1"/>
      <c r="P11"/>
      <c r="Q11"/>
      <c r="R11"/>
      <c r="S11"/>
      <c r="T11"/>
    </row>
    <row r="12" spans="1:20" x14ac:dyDescent="0.5">
      <c r="B12"/>
      <c r="D12" s="1"/>
      <c r="E12" s="1">
        <v>25</v>
      </c>
      <c r="F12" s="1">
        <f t="shared" si="3"/>
        <v>2.4899999999999999E-2</v>
      </c>
      <c r="G12" s="1">
        <f t="shared" si="4"/>
        <v>6.366197723675814</v>
      </c>
      <c r="H12" s="1"/>
      <c r="I12" s="3"/>
      <c r="J12" s="3"/>
      <c r="K12"/>
      <c r="P12"/>
      <c r="Q12"/>
      <c r="R12"/>
      <c r="S12"/>
      <c r="T12"/>
    </row>
    <row r="13" spans="1:20" x14ac:dyDescent="0.5">
      <c r="B13"/>
      <c r="D13" s="1"/>
      <c r="E13" s="1">
        <v>18</v>
      </c>
      <c r="F13" s="1">
        <f>(E13-$B$3)/1000</f>
        <v>1.7899999999999999E-2</v>
      </c>
      <c r="G13" s="1">
        <f>1/((E13/1000)*2*PI())</f>
        <v>8.8419412828830755</v>
      </c>
      <c r="H13" s="1"/>
      <c r="I13" s="1"/>
      <c r="J13" s="3"/>
      <c r="K13"/>
      <c r="P13"/>
      <c r="Q13"/>
      <c r="R13"/>
      <c r="S13"/>
      <c r="T13"/>
    </row>
    <row r="14" spans="1:20" x14ac:dyDescent="0.5">
      <c r="B14"/>
      <c r="D14" s="1"/>
      <c r="E14" s="12">
        <v>17</v>
      </c>
      <c r="F14" s="12">
        <f>(E14-$B$3)/1000</f>
        <v>1.6899999999999998E-2</v>
      </c>
      <c r="G14" s="12">
        <f>1/((E14/1000)*2*PI())</f>
        <v>9.3620554759938432</v>
      </c>
      <c r="H14" s="1"/>
      <c r="I14" s="3"/>
      <c r="J14" s="3"/>
      <c r="K14"/>
      <c r="P14"/>
      <c r="Q14"/>
      <c r="R14"/>
      <c r="S14"/>
      <c r="T14"/>
    </row>
    <row r="15" spans="1:20" x14ac:dyDescent="0.5">
      <c r="B15"/>
      <c r="D15" s="1"/>
      <c r="E15" s="1">
        <v>16</v>
      </c>
      <c r="F15" s="1">
        <f t="shared" si="3"/>
        <v>1.5900000000000001E-2</v>
      </c>
      <c r="G15" s="1">
        <f t="shared" si="4"/>
        <v>9.9471839432434574</v>
      </c>
      <c r="H15" s="1"/>
      <c r="I15"/>
      <c r="J15"/>
      <c r="K15"/>
      <c r="P15"/>
      <c r="Q15"/>
      <c r="R15"/>
      <c r="S15"/>
      <c r="T15"/>
    </row>
    <row r="16" spans="1:20" x14ac:dyDescent="0.5">
      <c r="B16"/>
      <c r="D16" s="1"/>
      <c r="E16" s="1">
        <v>15</v>
      </c>
      <c r="F16" s="1">
        <f t="shared" si="3"/>
        <v>1.49E-2</v>
      </c>
      <c r="G16" s="1">
        <f t="shared" si="4"/>
        <v>10.610329539459689</v>
      </c>
      <c r="H16" s="1"/>
      <c r="I16"/>
      <c r="J16"/>
      <c r="K16"/>
      <c r="P16"/>
      <c r="Q16"/>
      <c r="R16"/>
      <c r="S16"/>
      <c r="T16"/>
    </row>
    <row r="17" spans="1:23" x14ac:dyDescent="0.5">
      <c r="B17"/>
      <c r="D17" s="1"/>
      <c r="E17" s="1">
        <v>10</v>
      </c>
      <c r="F17" s="1">
        <f t="shared" si="3"/>
        <v>9.9000000000000008E-3</v>
      </c>
      <c r="G17" s="1">
        <f t="shared" si="4"/>
        <v>15.915494309189533</v>
      </c>
      <c r="H17" s="1"/>
      <c r="I17"/>
      <c r="J17"/>
      <c r="K17"/>
      <c r="P17"/>
      <c r="Q17"/>
      <c r="R17"/>
      <c r="S17"/>
      <c r="T17"/>
    </row>
    <row r="18" spans="1:23" x14ac:dyDescent="0.5">
      <c r="B18"/>
      <c r="D18" s="1"/>
      <c r="E18" s="1">
        <v>8</v>
      </c>
      <c r="F18" s="1">
        <f t="shared" si="3"/>
        <v>7.9000000000000008E-3</v>
      </c>
      <c r="G18" s="1">
        <f t="shared" si="4"/>
        <v>19.894367886486915</v>
      </c>
      <c r="H18" s="1"/>
      <c r="I18"/>
      <c r="J18"/>
      <c r="K18"/>
      <c r="P18"/>
      <c r="Q18"/>
      <c r="R18"/>
      <c r="S18"/>
      <c r="T18"/>
    </row>
    <row r="19" spans="1:23" x14ac:dyDescent="0.5">
      <c r="B19" t="s">
        <v>37</v>
      </c>
      <c r="D19" s="1"/>
      <c r="E19" s="1"/>
      <c r="F19" s="1"/>
      <c r="G19" s="1"/>
      <c r="H19" s="1"/>
      <c r="I19"/>
      <c r="J19"/>
      <c r="K19"/>
      <c r="P19"/>
      <c r="Q19"/>
      <c r="R19"/>
      <c r="S19"/>
      <c r="T19"/>
    </row>
    <row r="20" spans="1:23" x14ac:dyDescent="0.5">
      <c r="B20" t="s">
        <v>40</v>
      </c>
      <c r="D20" s="1"/>
      <c r="E20" s="1"/>
      <c r="F20" s="1"/>
      <c r="G20" s="1"/>
      <c r="H20" s="1"/>
      <c r="I20"/>
      <c r="J20"/>
      <c r="K20"/>
      <c r="P20"/>
      <c r="Q20"/>
      <c r="R20"/>
      <c r="S20"/>
      <c r="T20"/>
      <c r="W20" t="s">
        <v>64</v>
      </c>
    </row>
    <row r="21" spans="1:23" x14ac:dyDescent="0.5">
      <c r="B21"/>
      <c r="D21" s="1"/>
      <c r="E21" s="1"/>
      <c r="F21" s="1"/>
      <c r="G21" s="1"/>
      <c r="H21" s="1"/>
      <c r="I21"/>
      <c r="J21"/>
      <c r="K21"/>
      <c r="P21"/>
      <c r="Q21"/>
      <c r="R21"/>
      <c r="S21"/>
      <c r="T21"/>
    </row>
    <row r="22" spans="1:23" x14ac:dyDescent="0.5">
      <c r="B22"/>
      <c r="D22" s="1"/>
      <c r="E22" s="1"/>
      <c r="F22" s="1"/>
      <c r="G22" s="1"/>
      <c r="H22" s="1"/>
      <c r="I22"/>
      <c r="J22"/>
      <c r="K22"/>
      <c r="P22"/>
      <c r="Q22"/>
      <c r="R22"/>
      <c r="S22"/>
      <c r="T22"/>
    </row>
    <row r="23" spans="1:23" x14ac:dyDescent="0.5">
      <c r="B23"/>
      <c r="D23" s="1"/>
      <c r="E23" s="1"/>
      <c r="F23" s="1"/>
      <c r="G23" s="1"/>
      <c r="H23" s="1"/>
      <c r="I23"/>
      <c r="J23"/>
      <c r="K23"/>
      <c r="P23"/>
      <c r="Q23"/>
      <c r="R23"/>
      <c r="S23"/>
      <c r="T23"/>
    </row>
    <row r="24" spans="1:23" x14ac:dyDescent="0.5">
      <c r="B24"/>
      <c r="D24" s="1"/>
      <c r="E24" s="1"/>
      <c r="F24" s="1"/>
      <c r="G24" s="1"/>
      <c r="H24" s="1"/>
      <c r="I24"/>
      <c r="J24"/>
      <c r="K24"/>
      <c r="P24"/>
      <c r="Q24"/>
      <c r="R24"/>
      <c r="S24"/>
      <c r="T24"/>
    </row>
    <row r="25" spans="1:23" x14ac:dyDescent="0.5">
      <c r="B25"/>
      <c r="E25" s="1"/>
      <c r="F25" s="1"/>
      <c r="G25" s="1"/>
    </row>
    <row r="26" spans="1:23" x14ac:dyDescent="0.5">
      <c r="B26"/>
      <c r="E26" s="1"/>
      <c r="F26" s="1"/>
      <c r="G26" s="1"/>
    </row>
    <row r="27" spans="1:23" x14ac:dyDescent="0.5">
      <c r="E27" s="1"/>
      <c r="F27" s="1"/>
      <c r="G27" s="1"/>
    </row>
    <row r="28" spans="1:23" ht="16.350000000000001" x14ac:dyDescent="0.65">
      <c r="A28" t="s">
        <v>9</v>
      </c>
      <c r="B28" s="1" t="s">
        <v>7</v>
      </c>
      <c r="C28" s="8">
        <v>5</v>
      </c>
      <c r="D28" s="8">
        <v>0.1</v>
      </c>
      <c r="H28" s="8">
        <v>0.1</v>
      </c>
      <c r="I28" s="8">
        <v>0.1</v>
      </c>
      <c r="J28" s="8">
        <v>5</v>
      </c>
      <c r="K28" s="8">
        <v>5</v>
      </c>
      <c r="L28" s="8">
        <v>5</v>
      </c>
      <c r="M28" s="8">
        <v>0.1</v>
      </c>
      <c r="N28" s="8">
        <v>5</v>
      </c>
      <c r="O28" s="8">
        <v>0.1</v>
      </c>
      <c r="P28" s="8">
        <v>0.1</v>
      </c>
    </row>
    <row r="29" spans="1:23" ht="16.350000000000001" x14ac:dyDescent="0.65">
      <c r="A29" t="s">
        <v>10</v>
      </c>
      <c r="C29" s="8">
        <v>200</v>
      </c>
      <c r="D29" s="8">
        <v>200</v>
      </c>
      <c r="H29" s="8">
        <v>110</v>
      </c>
      <c r="I29" s="8">
        <v>105</v>
      </c>
      <c r="J29" s="8">
        <v>100</v>
      </c>
      <c r="K29" s="8">
        <v>50</v>
      </c>
      <c r="L29" s="8">
        <v>15</v>
      </c>
      <c r="M29" s="8">
        <v>15</v>
      </c>
      <c r="N29" s="8">
        <v>10</v>
      </c>
      <c r="O29" s="8">
        <v>10</v>
      </c>
      <c r="P29" s="8">
        <v>8</v>
      </c>
      <c r="W29" s="1"/>
    </row>
    <row r="30" spans="1:23" ht="16.350000000000001" x14ac:dyDescent="0.65">
      <c r="A30" t="s">
        <v>8</v>
      </c>
      <c r="B30" s="8">
        <v>5</v>
      </c>
      <c r="C30" s="1">
        <f>(C29-C28)/1000</f>
        <v>0.19500000000000001</v>
      </c>
      <c r="D30" s="1">
        <f>(D29-D28)/1000</f>
        <v>0.19989999999999999</v>
      </c>
      <c r="H30" s="7">
        <f t="shared" ref="H30:P30" si="5">(H29-H28)/1000</f>
        <v>0.10990000000000001</v>
      </c>
      <c r="I30" s="4">
        <f t="shared" si="5"/>
        <v>0.10490000000000001</v>
      </c>
      <c r="J30" s="4">
        <f t="shared" si="5"/>
        <v>9.5000000000000001E-2</v>
      </c>
      <c r="K30" s="4">
        <f t="shared" si="5"/>
        <v>4.4999999999999998E-2</v>
      </c>
      <c r="L30" s="4">
        <f t="shared" si="5"/>
        <v>0.01</v>
      </c>
      <c r="M30" s="4">
        <f t="shared" si="5"/>
        <v>1.49E-2</v>
      </c>
      <c r="N30" s="4">
        <f t="shared" si="5"/>
        <v>5.0000000000000001E-3</v>
      </c>
      <c r="O30" s="4">
        <f t="shared" si="5"/>
        <v>9.9000000000000008E-3</v>
      </c>
      <c r="P30" s="1">
        <f t="shared" si="5"/>
        <v>7.9000000000000008E-3</v>
      </c>
      <c r="T30" s="12"/>
      <c r="U30" s="1"/>
      <c r="V30" s="1"/>
      <c r="W30" s="1"/>
    </row>
    <row r="31" spans="1:23" ht="16.350000000000001" x14ac:dyDescent="0.65">
      <c r="A31" t="s">
        <v>11</v>
      </c>
      <c r="B31" s="8">
        <v>1000</v>
      </c>
      <c r="C31" s="1">
        <f>C29/1000</f>
        <v>0.2</v>
      </c>
      <c r="D31" s="1">
        <f>D29/1000</f>
        <v>0.2</v>
      </c>
      <c r="E31" s="8">
        <v>0.1</v>
      </c>
      <c r="F31" s="8">
        <v>0.1</v>
      </c>
      <c r="G31" s="8">
        <v>0.1</v>
      </c>
      <c r="H31" s="4">
        <f t="shared" ref="H31:P31" si="6">H29/1000</f>
        <v>0.11</v>
      </c>
      <c r="I31" s="4">
        <f t="shared" si="6"/>
        <v>0.105</v>
      </c>
      <c r="J31" s="4">
        <f t="shared" si="6"/>
        <v>0.1</v>
      </c>
      <c r="K31" s="4">
        <f t="shared" si="6"/>
        <v>0.05</v>
      </c>
      <c r="L31" s="4">
        <f t="shared" si="6"/>
        <v>1.4999999999999999E-2</v>
      </c>
      <c r="M31" s="4">
        <f t="shared" si="6"/>
        <v>1.4999999999999999E-2</v>
      </c>
      <c r="N31" s="4">
        <f t="shared" si="6"/>
        <v>0.01</v>
      </c>
      <c r="O31" s="4">
        <f t="shared" si="6"/>
        <v>0.01</v>
      </c>
      <c r="P31" s="1">
        <f t="shared" si="6"/>
        <v>8.0000000000000002E-3</v>
      </c>
      <c r="Q31" s="12"/>
      <c r="R31" s="12"/>
      <c r="S31" s="12"/>
      <c r="T31" s="12"/>
      <c r="U31" s="1"/>
      <c r="V31" s="1"/>
      <c r="W31" s="1"/>
    </row>
    <row r="32" spans="1:23" ht="16.350000000000001" x14ac:dyDescent="0.65">
      <c r="A32" s="6" t="s">
        <v>12</v>
      </c>
      <c r="B32" s="1">
        <f>(B31-B30)/1000</f>
        <v>0.995</v>
      </c>
      <c r="C32" s="1">
        <f>1/C31</f>
        <v>5</v>
      </c>
      <c r="D32" s="1">
        <f>1/D31</f>
        <v>5</v>
      </c>
      <c r="E32" s="8">
        <v>175</v>
      </c>
      <c r="F32" s="8">
        <v>150</v>
      </c>
      <c r="G32" s="8">
        <v>125</v>
      </c>
      <c r="H32" s="4">
        <f t="shared" ref="H32:P32" si="7">1/H31</f>
        <v>9.0909090909090917</v>
      </c>
      <c r="I32" s="4">
        <f t="shared" si="7"/>
        <v>9.5238095238095237</v>
      </c>
      <c r="J32" s="4">
        <f t="shared" si="7"/>
        <v>10</v>
      </c>
      <c r="K32" s="4">
        <f t="shared" si="7"/>
        <v>20</v>
      </c>
      <c r="L32" s="4">
        <f t="shared" si="7"/>
        <v>66.666666666666671</v>
      </c>
      <c r="M32" s="4">
        <f t="shared" si="7"/>
        <v>66.666666666666671</v>
      </c>
      <c r="N32" s="4">
        <f t="shared" si="7"/>
        <v>100</v>
      </c>
      <c r="O32" s="4">
        <f t="shared" si="7"/>
        <v>100</v>
      </c>
      <c r="P32" s="1">
        <f t="shared" si="7"/>
        <v>125</v>
      </c>
      <c r="Q32" s="12"/>
      <c r="R32" s="12"/>
      <c r="S32" s="12"/>
      <c r="T32" s="12"/>
      <c r="U32" s="1"/>
      <c r="V32" s="1"/>
      <c r="W32" s="1"/>
    </row>
    <row r="33" spans="1:23" ht="16.350000000000001" x14ac:dyDescent="0.65">
      <c r="A33" s="6" t="s">
        <v>14</v>
      </c>
      <c r="B33" s="1">
        <f>B31/1000</f>
        <v>1</v>
      </c>
      <c r="C33" s="3">
        <f>C32/(2*PI())</f>
        <v>0.79577471545947676</v>
      </c>
      <c r="D33" s="3">
        <f>D32/(2*PI())</f>
        <v>0.79577471545947676</v>
      </c>
      <c r="E33" s="4">
        <f>(E32-E31)/1000</f>
        <v>0.1749</v>
      </c>
      <c r="F33" s="4">
        <f>(F32-F31)/1000</f>
        <v>0.14990000000000001</v>
      </c>
      <c r="G33" s="4">
        <f>(G32-G31)/1000</f>
        <v>0.12490000000000001</v>
      </c>
      <c r="H33" s="4">
        <f t="shared" ref="H33:P33" si="8">H32/(2*PI())</f>
        <v>1.4468631190172305</v>
      </c>
      <c r="I33" s="4">
        <f t="shared" si="8"/>
        <v>1.5157613627799555</v>
      </c>
      <c r="J33" s="4">
        <f t="shared" si="8"/>
        <v>1.5915494309189535</v>
      </c>
      <c r="K33" s="4">
        <f t="shared" si="8"/>
        <v>3.183098861837907</v>
      </c>
      <c r="L33" s="11">
        <f t="shared" si="8"/>
        <v>10.610329539459689</v>
      </c>
      <c r="M33" s="11">
        <f t="shared" si="8"/>
        <v>10.610329539459689</v>
      </c>
      <c r="N33" s="4">
        <f t="shared" si="8"/>
        <v>15.915494309189533</v>
      </c>
      <c r="O33" s="4">
        <f t="shared" si="8"/>
        <v>15.915494309189533</v>
      </c>
      <c r="P33" s="3">
        <f t="shared" si="8"/>
        <v>19.894367886486918</v>
      </c>
      <c r="Q33" s="12"/>
      <c r="R33" s="12"/>
      <c r="S33" s="12"/>
      <c r="T33" s="12"/>
      <c r="U33" s="1"/>
      <c r="V33" s="1"/>
      <c r="W33" s="1"/>
    </row>
    <row r="34" spans="1:23" x14ac:dyDescent="0.5">
      <c r="A34" t="s">
        <v>3</v>
      </c>
      <c r="B34" s="1">
        <f>1/B33</f>
        <v>1</v>
      </c>
      <c r="E34" s="4">
        <f>E32/1000</f>
        <v>0.17499999999999999</v>
      </c>
      <c r="F34" s="4">
        <f>F32/1000</f>
        <v>0.15</v>
      </c>
      <c r="G34" s="4">
        <f>G32/1000</f>
        <v>0.125</v>
      </c>
      <c r="I34"/>
      <c r="J34"/>
      <c r="K34"/>
      <c r="M34" s="5"/>
      <c r="N34" s="1"/>
      <c r="O34" s="1"/>
      <c r="Q34" s="12"/>
      <c r="R34" s="12"/>
      <c r="S34" s="12"/>
      <c r="T34" s="12"/>
      <c r="U34" s="1"/>
      <c r="V34" s="1"/>
      <c r="W34" s="1"/>
    </row>
    <row r="35" spans="1:23" x14ac:dyDescent="0.5">
      <c r="B35" s="3">
        <f>B34/(2*PI())</f>
        <v>0.15915494309189535</v>
      </c>
      <c r="E35" s="4">
        <f>1/E34</f>
        <v>5.7142857142857144</v>
      </c>
      <c r="F35" s="4">
        <f>1/F34</f>
        <v>6.666666666666667</v>
      </c>
      <c r="G35" s="4">
        <f>1/G34</f>
        <v>8</v>
      </c>
      <c r="I35"/>
      <c r="J35"/>
      <c r="K35"/>
      <c r="M35" s="5"/>
      <c r="N35" s="1"/>
      <c r="O35" s="1"/>
      <c r="Q35" s="12"/>
      <c r="R35" s="12"/>
      <c r="S35" s="12"/>
      <c r="T35" s="13"/>
      <c r="U35" s="1"/>
      <c r="V35" s="1"/>
    </row>
    <row r="36" spans="1:23" x14ac:dyDescent="0.5">
      <c r="A36" s="6" t="s">
        <v>16</v>
      </c>
      <c r="B36" s="1">
        <v>20</v>
      </c>
      <c r="C36" t="s">
        <v>20</v>
      </c>
      <c r="E36" s="4">
        <f>E35/(2*PI())</f>
        <v>0.90945681766797337</v>
      </c>
      <c r="F36" s="4">
        <f>F35/(2*PI())</f>
        <v>1.0610329539459691</v>
      </c>
      <c r="G36" s="4">
        <f>G35/(2*PI())</f>
        <v>1.2732395447351628</v>
      </c>
      <c r="I36"/>
      <c r="J36"/>
      <c r="K36"/>
      <c r="M36" s="5"/>
      <c r="N36" s="1"/>
      <c r="O36" s="1"/>
      <c r="Q36" s="13"/>
      <c r="R36" s="13"/>
      <c r="S36" s="13"/>
      <c r="T36" s="12"/>
    </row>
    <row r="37" spans="1:23" ht="16.350000000000001" x14ac:dyDescent="0.65">
      <c r="A37" s="2" t="s">
        <v>15</v>
      </c>
      <c r="C37" s="4">
        <f>1/C30</f>
        <v>5.1282051282051277</v>
      </c>
      <c r="D37" s="4">
        <f>1/D30</f>
        <v>5.002501250625313</v>
      </c>
      <c r="H37" s="4">
        <f t="shared" ref="H37:P37" si="9">1/H30</f>
        <v>9.0991810737033649</v>
      </c>
      <c r="I37" s="4">
        <f t="shared" si="9"/>
        <v>9.532888465204957</v>
      </c>
      <c r="J37" s="10">
        <f t="shared" si="9"/>
        <v>10.526315789473685</v>
      </c>
      <c r="K37" s="10">
        <f t="shared" si="9"/>
        <v>22.222222222222221</v>
      </c>
      <c r="L37" s="10">
        <f t="shared" si="9"/>
        <v>100</v>
      </c>
      <c r="M37" s="10">
        <f t="shared" si="9"/>
        <v>67.114093959731548</v>
      </c>
      <c r="N37" s="10">
        <f t="shared" si="9"/>
        <v>200</v>
      </c>
      <c r="O37" s="10">
        <f t="shared" si="9"/>
        <v>101.010101010101</v>
      </c>
      <c r="P37" s="10">
        <f t="shared" si="9"/>
        <v>126.58227848101265</v>
      </c>
      <c r="Q37" s="12"/>
      <c r="R37" s="12"/>
      <c r="S37" s="12"/>
      <c r="T37" s="12"/>
    </row>
    <row r="38" spans="1:23" ht="16.350000000000001" x14ac:dyDescent="0.65">
      <c r="A38" s="2" t="s">
        <v>4</v>
      </c>
      <c r="I38"/>
      <c r="J38"/>
      <c r="K38"/>
      <c r="M38" s="5"/>
      <c r="N38" s="1"/>
      <c r="O38" s="1"/>
      <c r="Q38" s="12"/>
      <c r="R38" s="12"/>
      <c r="S38" s="12"/>
      <c r="T38" s="12"/>
    </row>
    <row r="39" spans="1:23" ht="16.350000000000001" x14ac:dyDescent="0.65">
      <c r="A39" t="s">
        <v>1</v>
      </c>
      <c r="B39" s="4">
        <f>1/B32</f>
        <v>1.0050251256281406</v>
      </c>
      <c r="I39"/>
      <c r="J39"/>
      <c r="K39"/>
      <c r="M39" s="5"/>
      <c r="N39" s="1"/>
      <c r="O39" s="1"/>
      <c r="Q39" s="12"/>
      <c r="R39" s="12"/>
      <c r="S39" s="12"/>
      <c r="T39" s="14"/>
    </row>
    <row r="40" spans="1:23" ht="16.350000000000001" x14ac:dyDescent="0.65">
      <c r="A40" t="s">
        <v>0</v>
      </c>
      <c r="B40" s="1">
        <f>B43/B36</f>
        <v>9.6999999999999993</v>
      </c>
      <c r="E40" s="4">
        <f>1/E33</f>
        <v>5.7175528873642083</v>
      </c>
      <c r="F40" s="4">
        <f>1/F33</f>
        <v>6.6711140760507002</v>
      </c>
      <c r="G40" s="4">
        <f>1/G33</f>
        <v>8.0064051240992793</v>
      </c>
      <c r="I40"/>
      <c r="J40"/>
      <c r="K40"/>
      <c r="M40" s="5"/>
      <c r="N40" s="1"/>
      <c r="O40" s="1"/>
      <c r="Q40" s="14"/>
      <c r="R40" s="14"/>
      <c r="S40" s="14"/>
    </row>
    <row r="41" spans="1:23" x14ac:dyDescent="0.5">
      <c r="A41" t="s">
        <v>2</v>
      </c>
      <c r="B41" s="1">
        <v>134</v>
      </c>
      <c r="I41"/>
      <c r="J41"/>
      <c r="K41"/>
      <c r="M41" s="5"/>
      <c r="N41" s="1"/>
      <c r="O41" s="1"/>
    </row>
    <row r="42" spans="1:23" ht="16.350000000000001" x14ac:dyDescent="0.65">
      <c r="A42" s="2" t="s">
        <v>18</v>
      </c>
      <c r="B42" s="1">
        <v>-60</v>
      </c>
      <c r="C42" s="3">
        <f>C37*$B$36/($B$43-C37*$B$36)</f>
        <v>1.1217049915872124</v>
      </c>
      <c r="D42" s="3">
        <f>D37*$B$36/($B$43-D37*$B$36)</f>
        <v>1.064928703023333</v>
      </c>
      <c r="H42" s="3">
        <f>H37*$B$36/($B$43-H37*$B$36)</f>
        <v>15.144631228229535</v>
      </c>
      <c r="I42" s="3">
        <f>I37*$B$36/($B$43-I37*$B$36)</f>
        <v>57.045065601825293</v>
      </c>
      <c r="J42" s="9">
        <f>J37*$B$36/($B$43-J37*$B$36)</f>
        <v>-12.738853503184703</v>
      </c>
      <c r="K42"/>
      <c r="O42" s="5"/>
    </row>
    <row r="43" spans="1:23" x14ac:dyDescent="0.5">
      <c r="B43" s="1">
        <f>B41-B42</f>
        <v>194</v>
      </c>
      <c r="I43"/>
      <c r="J43"/>
      <c r="K43"/>
      <c r="M43" s="5"/>
      <c r="N43" s="1"/>
      <c r="O43" s="1"/>
    </row>
    <row r="44" spans="1:23" x14ac:dyDescent="0.5">
      <c r="A44" t="s">
        <v>17</v>
      </c>
      <c r="B44" s="3">
        <f>B39*$B$36/($B$43-B39*$B$36)</f>
        <v>0.11558689244639656</v>
      </c>
      <c r="I44"/>
      <c r="J44"/>
      <c r="K44"/>
      <c r="M44" s="5"/>
      <c r="N44" s="1"/>
      <c r="O44" s="1"/>
    </row>
    <row r="45" spans="1:23" ht="16.350000000000001" x14ac:dyDescent="0.65">
      <c r="A45" t="s">
        <v>1</v>
      </c>
      <c r="E45" s="3">
        <f>E40*$B$36/($B$43-E40*$B$36)</f>
        <v>1.4356883407749845</v>
      </c>
      <c r="F45" s="3">
        <f>F40*$B$36/($B$43-F40*$B$36)</f>
        <v>2.2024976323150454</v>
      </c>
      <c r="G45" s="3">
        <f>G40*$B$36/($B$43-G40*$B$36)</f>
        <v>4.7274618257457579</v>
      </c>
      <c r="I45"/>
      <c r="J45"/>
      <c r="K45"/>
      <c r="M45" s="5"/>
      <c r="N45" s="1"/>
      <c r="O45" s="1"/>
    </row>
    <row r="46" spans="1:23" ht="16.350000000000001" x14ac:dyDescent="0.65">
      <c r="A46" t="s">
        <v>0</v>
      </c>
      <c r="I46"/>
      <c r="J46"/>
      <c r="K46"/>
      <c r="M46" s="5"/>
      <c r="N46" s="1"/>
      <c r="O46" s="1"/>
    </row>
    <row r="47" spans="1:23" x14ac:dyDescent="0.5">
      <c r="A47" t="s">
        <v>2</v>
      </c>
      <c r="B47" s="1">
        <v>-100</v>
      </c>
      <c r="I47"/>
      <c r="J47"/>
      <c r="K47"/>
      <c r="M47" s="5"/>
      <c r="N47" s="1"/>
      <c r="O47" s="1"/>
    </row>
    <row r="48" spans="1:23" ht="16.350000000000001" x14ac:dyDescent="0.65">
      <c r="A48" s="2" t="s">
        <v>19</v>
      </c>
      <c r="B48" s="1">
        <v>-60</v>
      </c>
      <c r="C48" s="3">
        <f>$B$43/$B$49*(-C37*$B$36/($B$43-C37*$B$36))</f>
        <v>5.4402692091979796</v>
      </c>
      <c r="D48" s="3">
        <f>$B$43/$B$49*(-D37*$B$36/($B$43-D37*$B$36))</f>
        <v>5.164904209663165</v>
      </c>
      <c r="H48" s="3">
        <f>$B$43/$B$49*(-H37*$B$36/($B$43-H37*$B$36))</f>
        <v>73.451461456913236</v>
      </c>
      <c r="I48" s="9">
        <f>$B$43/$B$49*(-I37*$B$36/($B$43-I37*$B$36))</f>
        <v>276.66856816885263</v>
      </c>
      <c r="J48" s="9">
        <f>$B$43/$B$49*(-J37*$B$36/($B$43-J37*$B$36))</f>
        <v>-61.783439490445808</v>
      </c>
      <c r="K48"/>
      <c r="O48" s="5"/>
    </row>
    <row r="49" spans="1:7" x14ac:dyDescent="0.5">
      <c r="B49" s="1">
        <f>B47-B48</f>
        <v>-40</v>
      </c>
    </row>
    <row r="50" spans="1:7" x14ac:dyDescent="0.5">
      <c r="B50" s="3">
        <f>$B$43/$B$49*(-B39*$B$36/($B$43-B39*$B$36))</f>
        <v>0.56059642836502321</v>
      </c>
    </row>
    <row r="51" spans="1:7" x14ac:dyDescent="0.5">
      <c r="E51" s="3">
        <f>$B$43/$B$49*(-E40*$B$36/($B$43-E40*$B$36))</f>
        <v>6.9630884527586741</v>
      </c>
      <c r="F51" s="3">
        <f>$B$43/$B$49*(-F40*$B$36/($B$43-F40*$B$36))</f>
        <v>10.68211351672797</v>
      </c>
      <c r="G51" s="3">
        <f>$B$43/$B$49*(-G40*$B$36/($B$43-G40*$B$36))</f>
        <v>22.928189854866925</v>
      </c>
    </row>
    <row r="52" spans="1:7" x14ac:dyDescent="0.5">
      <c r="A52">
        <v>54</v>
      </c>
      <c r="C52" t="s">
        <v>27</v>
      </c>
    </row>
    <row r="53" spans="1:7" x14ac:dyDescent="0.5">
      <c r="A53">
        <v>0.89600000000000002</v>
      </c>
      <c r="C53" t="s">
        <v>23</v>
      </c>
    </row>
    <row r="54" spans="1:7" x14ac:dyDescent="0.5">
      <c r="A54">
        <f>A53*2*PI()</f>
        <v>5.6297340352329091</v>
      </c>
      <c r="B54" t="s">
        <v>21</v>
      </c>
      <c r="C54" t="s">
        <v>24</v>
      </c>
    </row>
    <row r="55" spans="1:7" x14ac:dyDescent="0.5">
      <c r="A55">
        <f>A52/A54</f>
        <v>9.5919273738419069</v>
      </c>
      <c r="B55" t="s">
        <v>25</v>
      </c>
      <c r="C55" t="s">
        <v>13</v>
      </c>
    </row>
    <row r="56" spans="1:7" x14ac:dyDescent="0.5">
      <c r="B56" t="s">
        <v>26</v>
      </c>
    </row>
    <row r="57" spans="1:7" x14ac:dyDescent="0.5">
      <c r="A57" t="s">
        <v>28</v>
      </c>
      <c r="B57" t="s">
        <v>22</v>
      </c>
    </row>
    <row r="58" spans="1:7" x14ac:dyDescent="0.5">
      <c r="A58" t="s">
        <v>29</v>
      </c>
    </row>
    <row r="59" spans="1:7" x14ac:dyDescent="0.5">
      <c r="A59" t="s">
        <v>30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8F78-2756-499A-90D5-64462195B6A6}">
  <dimension ref="A1:AZ32"/>
  <sheetViews>
    <sheetView topLeftCell="AG10" workbookViewId="0">
      <selection activeCell="AX2" sqref="AX2"/>
    </sheetView>
  </sheetViews>
  <sheetFormatPr defaultRowHeight="14.35" x14ac:dyDescent="0.5"/>
  <cols>
    <col min="1" max="4" width="8.87890625" style="1"/>
    <col min="5" max="5" width="11.234375" style="1" bestFit="1" customWidth="1"/>
    <col min="6" max="6" width="10.234375" style="1" bestFit="1" customWidth="1"/>
    <col min="11" max="11" width="11.234375" style="1" bestFit="1" customWidth="1"/>
    <col min="12" max="12" width="10.234375" style="1" bestFit="1" customWidth="1"/>
    <col min="39" max="39" width="11" bestFit="1" customWidth="1"/>
  </cols>
  <sheetData>
    <row r="1" spans="1:52" x14ac:dyDescent="0.5">
      <c r="A1" s="1" t="s">
        <v>74</v>
      </c>
      <c r="B1" s="1" t="s">
        <v>75</v>
      </c>
      <c r="C1" s="1" t="s">
        <v>76</v>
      </c>
      <c r="D1" s="1" t="s">
        <v>77</v>
      </c>
      <c r="E1" s="1" t="s">
        <v>33</v>
      </c>
      <c r="F1" s="27" t="s">
        <v>79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33</v>
      </c>
      <c r="L1" s="27" t="s">
        <v>79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33</v>
      </c>
      <c r="R1" s="27" t="s">
        <v>79</v>
      </c>
      <c r="S1" s="1" t="s">
        <v>74</v>
      </c>
      <c r="T1" s="1" t="s">
        <v>75</v>
      </c>
      <c r="U1" s="1" t="s">
        <v>76</v>
      </c>
      <c r="V1" s="1" t="s">
        <v>77</v>
      </c>
      <c r="W1" s="1" t="s">
        <v>33</v>
      </c>
      <c r="X1" s="27" t="s">
        <v>79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33</v>
      </c>
      <c r="AD1" s="27" t="s">
        <v>79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33</v>
      </c>
      <c r="AJ1" s="27" t="s">
        <v>79</v>
      </c>
      <c r="AK1" s="1" t="s">
        <v>74</v>
      </c>
      <c r="AL1" s="1" t="s">
        <v>75</v>
      </c>
      <c r="AM1" s="1" t="s">
        <v>76</v>
      </c>
      <c r="AN1" s="1" t="s">
        <v>77</v>
      </c>
      <c r="AO1" s="1" t="s">
        <v>33</v>
      </c>
      <c r="AP1" s="27" t="s">
        <v>79</v>
      </c>
      <c r="AQ1" s="1" t="s">
        <v>74</v>
      </c>
      <c r="AR1" s="1" t="s">
        <v>75</v>
      </c>
      <c r="AS1" s="1" t="s">
        <v>76</v>
      </c>
      <c r="AT1" s="1" t="s">
        <v>77</v>
      </c>
      <c r="AU1" s="1" t="s">
        <v>33</v>
      </c>
      <c r="AV1" s="27" t="s">
        <v>79</v>
      </c>
      <c r="AX1" s="1" t="s">
        <v>57</v>
      </c>
      <c r="AY1" s="1" t="s">
        <v>78</v>
      </c>
      <c r="AZ1" s="1"/>
    </row>
    <row r="2" spans="1:52" x14ac:dyDescent="0.5">
      <c r="A2" s="1">
        <v>0.01</v>
      </c>
      <c r="B2" s="1">
        <v>20</v>
      </c>
      <c r="C2" s="1">
        <f t="shared" ref="C2:C20" si="0">($AZ$5-B2)/(1-B2/$AY$2)</f>
        <v>0</v>
      </c>
      <c r="D2" s="3">
        <f t="shared" ref="D2:D20" si="1">($AY$5/$AZ$5*C2*$AY$2+$AX$5/$AZ$5*$AX$2*A2)/(1+$AY$5/$AZ$5*C2+$AX$5/$AZ$5*A2)</f>
        <v>1.1154358624379098E-2</v>
      </c>
      <c r="E2" s="18">
        <f t="shared" ref="E2:E20" si="2">B2/$AZ$5</f>
        <v>1</v>
      </c>
      <c r="F2" s="28">
        <f>D2/A2</f>
        <v>1.1154358624379097</v>
      </c>
      <c r="G2" s="1">
        <v>0.01</v>
      </c>
      <c r="H2" s="1">
        <v>15</v>
      </c>
      <c r="I2" s="1">
        <f t="shared" ref="I2:I20" si="3">($AZ$5-H2)/(1-H2/$AY$2)</f>
        <v>0.3125</v>
      </c>
      <c r="J2" s="3">
        <f t="shared" ref="J2:J20" si="4">($AY$5/$AZ$5*I2*$AY$2+$AX$5/$AZ$5*$AX$2*G2)/(1+$AY$5/$AZ$5*I2+$AX$5/$AZ$5*G2)</f>
        <v>-0.229586132417056</v>
      </c>
      <c r="K2" s="4">
        <f t="shared" ref="K2:K20" si="5">H2/$AZ$5</f>
        <v>0.75</v>
      </c>
      <c r="L2" s="29">
        <f>J2/G2</f>
        <v>-22.958613241705599</v>
      </c>
      <c r="M2" s="1">
        <v>0.01</v>
      </c>
      <c r="N2" s="1">
        <v>12</v>
      </c>
      <c r="O2" s="1">
        <f t="shared" ref="O2:O20" si="6">($AZ$5-N2)/(1-N2/$AY$2)</f>
        <v>0.61538461538461542</v>
      </c>
      <c r="P2" s="3">
        <f t="shared" ref="P2:P20" si="7">($AY$5/$AZ$5*O2*$AY$2+$AX$5/$AZ$5*$AX$2*M2)/(1+$AY$5/$AZ$5*O2+$AX$5/$AZ$5*M2)</f>
        <v>-0.37403359094717936</v>
      </c>
      <c r="Q2" s="18">
        <f t="shared" ref="Q2:Q20" si="8">N2/$AZ$5</f>
        <v>0.6</v>
      </c>
      <c r="R2" s="29">
        <f>P2/M2</f>
        <v>-37.403359094717935</v>
      </c>
      <c r="S2" s="1">
        <v>0.01</v>
      </c>
      <c r="T2" s="1">
        <v>10</v>
      </c>
      <c r="U2" s="1">
        <f t="shared" ref="U2:U20" si="9">($AZ$5-T2)/(1-T2/$AY$2)</f>
        <v>0.90909090909090906</v>
      </c>
      <c r="V2" s="3">
        <f t="shared" ref="V2:V20" si="10">($AY$5/$AZ$5*U2*$AY$2+$AX$5/$AZ$5*$AX$2*S2)/(1+$AY$5/$AZ$5*U2+$AX$5/$AZ$5*S2)</f>
        <v>-0.47033321496388258</v>
      </c>
      <c r="W2" s="18">
        <f t="shared" ref="W2:W20" si="11">T2/$AZ$5</f>
        <v>0.5</v>
      </c>
      <c r="X2" s="29">
        <f>V2/S2</f>
        <v>-47.033321496388254</v>
      </c>
      <c r="Y2" s="1">
        <v>0.01</v>
      </c>
      <c r="Z2" s="1">
        <v>8</v>
      </c>
      <c r="AA2" s="1">
        <f t="shared" ref="AA2:AA20" si="12">($AZ$5-Z2)/(1-Z2/$AY$2)</f>
        <v>1.3333333333333333</v>
      </c>
      <c r="AB2" s="3">
        <f t="shared" ref="AB2:AB20" si="13">($AY$5/$AZ$5*AA2*$AY$2+$AX$5/$AZ$5*$AX$2*Y2)/(1+$AY$5/$AZ$5*AA2+$AX$5/$AZ$5*Y2)</f>
        <v>-0.56663389366476324</v>
      </c>
      <c r="AC2" s="18">
        <f t="shared" ref="AC2:AC20" si="14">Z2/$AZ$5</f>
        <v>0.4</v>
      </c>
      <c r="AD2" s="29">
        <f>AB2/Y2</f>
        <v>-56.663389366476324</v>
      </c>
      <c r="AE2" s="1">
        <v>0.01</v>
      </c>
      <c r="AF2" s="1">
        <v>5</v>
      </c>
      <c r="AG2" s="1">
        <f t="shared" ref="AG2:AG20" si="15">($AZ$5-AF2)/(1-AF2/$AY$2)</f>
        <v>2.5</v>
      </c>
      <c r="AH2" s="3">
        <f>($AY$5/$AZ$5*AG2*$AY$2+$AX$5/$AZ$5*$AX$2*AE2)/(1+$AY$5/$AZ$5*AG2+$AX$5/$AZ$5*AE2)</f>
        <v>-0.71108688928681885</v>
      </c>
      <c r="AI2" s="4">
        <f>AF2/$AZ$5</f>
        <v>0.25</v>
      </c>
      <c r="AJ2" s="29">
        <f>AH2/AE2</f>
        <v>-71.108688928681886</v>
      </c>
      <c r="AK2" s="1">
        <v>0.01</v>
      </c>
      <c r="AL2" s="1">
        <v>1</v>
      </c>
      <c r="AM2" s="1">
        <f t="shared" ref="AM2:AM20" si="16">($AZ$5-AL2)/(1-AL2/$AY$2)</f>
        <v>9.5</v>
      </c>
      <c r="AN2" s="3">
        <f>($AY$5/$AZ$5*AM2*$AY$2+$AX$5/$AZ$5*$AX$2*AK2)/(1+$AY$5/$AZ$5*AM2+$AX$5/$AZ$5*AK2)</f>
        <v>-0.90369457500589867</v>
      </c>
      <c r="AO2" s="4">
        <f>AL2/$AZ$5</f>
        <v>0.05</v>
      </c>
      <c r="AP2" s="29">
        <f>AN2/AK2</f>
        <v>-90.36945750058986</v>
      </c>
      <c r="AQ2" s="1">
        <v>0.01</v>
      </c>
      <c r="AR2" s="1">
        <v>0.2</v>
      </c>
      <c r="AS2" s="1">
        <f t="shared" ref="AS2:AS20" si="17">($AZ$5-AR2)/(1-AR2/$AY$2)</f>
        <v>16.5</v>
      </c>
      <c r="AT2" s="3">
        <f>($AY$5/$AZ$5*AS2*$AY$2+$AX$5/$AZ$5*$AX$2*AQ2)/(1+$AY$5/$AZ$5*AS2+$AX$5/$AZ$5*AQ2)</f>
        <v>-0.94221661843111093</v>
      </c>
      <c r="AU2" s="4">
        <f>AR2/$AZ$5</f>
        <v>0.01</v>
      </c>
      <c r="AV2" s="29">
        <f>AT2/AQ2</f>
        <v>-94.221661843111093</v>
      </c>
      <c r="AX2" s="1">
        <v>194</v>
      </c>
      <c r="AY2" s="1">
        <v>-1</v>
      </c>
      <c r="AZ2" s="1"/>
    </row>
    <row r="3" spans="1:52" x14ac:dyDescent="0.5">
      <c r="A3" s="1">
        <v>0.05</v>
      </c>
      <c r="B3" s="1">
        <v>20</v>
      </c>
      <c r="C3" s="1">
        <f t="shared" si="0"/>
        <v>0</v>
      </c>
      <c r="D3" s="3">
        <f t="shared" si="1"/>
        <v>5.5758969296327301E-2</v>
      </c>
      <c r="E3" s="18">
        <f t="shared" si="2"/>
        <v>1</v>
      </c>
      <c r="F3" s="28">
        <f t="shared" ref="F3:F20" si="18">D3/A3</f>
        <v>1.115179385926546</v>
      </c>
      <c r="G3" s="1">
        <v>0.05</v>
      </c>
      <c r="H3" s="1">
        <v>15</v>
      </c>
      <c r="I3" s="1">
        <f t="shared" si="3"/>
        <v>0.3125</v>
      </c>
      <c r="J3" s="3">
        <f t="shared" si="4"/>
        <v>-0.1955571636689106</v>
      </c>
      <c r="K3" s="4">
        <f t="shared" si="5"/>
        <v>0.75</v>
      </c>
      <c r="L3" s="29">
        <f t="shared" ref="L3:L20" si="19">J3/G3</f>
        <v>-3.9111432733782117</v>
      </c>
      <c r="M3" s="1">
        <v>0.05</v>
      </c>
      <c r="N3" s="1">
        <v>12</v>
      </c>
      <c r="O3" s="1">
        <f t="shared" si="6"/>
        <v>0.61538461538461542</v>
      </c>
      <c r="P3" s="3">
        <f t="shared" si="7"/>
        <v>-0.34636335556945519</v>
      </c>
      <c r="Q3" s="18">
        <f t="shared" si="8"/>
        <v>0.6</v>
      </c>
      <c r="R3" s="29">
        <f t="shared" ref="R3:R20" si="20">P3/M3</f>
        <v>-6.9272671113891038</v>
      </c>
      <c r="S3" s="1">
        <v>0.05</v>
      </c>
      <c r="T3" s="1">
        <v>10</v>
      </c>
      <c r="U3" s="1">
        <f t="shared" si="9"/>
        <v>0.90909090909090906</v>
      </c>
      <c r="V3" s="3">
        <f t="shared" si="10"/>
        <v>-0.44690769782883882</v>
      </c>
      <c r="W3" s="18">
        <f t="shared" si="11"/>
        <v>0.5</v>
      </c>
      <c r="X3" s="29">
        <f t="shared" ref="X3:X20" si="21">V3/S3</f>
        <v>-8.9381539565767767</v>
      </c>
      <c r="Y3" s="1">
        <v>0.05</v>
      </c>
      <c r="Z3" s="1">
        <v>8</v>
      </c>
      <c r="AA3" s="1">
        <f t="shared" si="12"/>
        <v>1.3333333333333333</v>
      </c>
      <c r="AB3" s="3">
        <f t="shared" si="13"/>
        <v>-0.54745754540958347</v>
      </c>
      <c r="AC3" s="18">
        <f t="shared" si="14"/>
        <v>0.4</v>
      </c>
      <c r="AD3" s="29">
        <f t="shared" ref="AD3:AD20" si="22">AB3/Y3</f>
        <v>-10.949150908191669</v>
      </c>
      <c r="AE3" s="1">
        <v>0.05</v>
      </c>
      <c r="AF3" s="1">
        <v>5</v>
      </c>
      <c r="AG3" s="1">
        <f t="shared" si="15"/>
        <v>2.5</v>
      </c>
      <c r="AH3" s="3">
        <f t="shared" ref="AH3:AH20" si="23">($AY$5/$AZ$5*AG3*$AY$2+$AX$5/$AZ$5*$AX$2*AE3)/(1+$AY$5/$AZ$5*AG3+$AX$5/$AZ$5*AE3)</f>
        <v>-0.69829264024740811</v>
      </c>
      <c r="AI3" s="4">
        <f t="shared" ref="AI3:AI20" si="24">AF3/$AZ$5</f>
        <v>0.25</v>
      </c>
      <c r="AJ3" s="29">
        <f t="shared" ref="AJ3:AJ20" si="25">AH3/AE3</f>
        <v>-13.965852804948161</v>
      </c>
      <c r="AK3" s="1">
        <v>0.05</v>
      </c>
      <c r="AL3" s="1">
        <v>1</v>
      </c>
      <c r="AM3" s="1">
        <f t="shared" si="16"/>
        <v>9.5</v>
      </c>
      <c r="AN3" s="3">
        <f t="shared" ref="AN3:AN20" si="26">($AY$5/$AZ$5*AM3*$AY$2+$AX$5/$AZ$5*$AX$2*AK3)/(1+$AY$5/$AZ$5*AM3+$AX$5/$AZ$5*AK3)</f>
        <v>-0.89942537287669488</v>
      </c>
      <c r="AO3" s="4">
        <f t="shared" ref="AO3:AO20" si="27">AL3/$AZ$5</f>
        <v>0.05</v>
      </c>
      <c r="AP3" s="29">
        <f t="shared" ref="AP3:AP20" si="28">AN3/AK3</f>
        <v>-17.988507457533895</v>
      </c>
      <c r="AQ3" s="1">
        <v>0.05</v>
      </c>
      <c r="AR3" s="1">
        <v>0.2</v>
      </c>
      <c r="AS3" s="1">
        <f t="shared" si="17"/>
        <v>16.5</v>
      </c>
      <c r="AT3" s="3">
        <f t="shared" ref="AT3:AT20" si="29">($AY$5/$AZ$5*AS3*$AY$2+$AX$5/$AZ$5*$AX$2*AQ3)/(1+$AY$5/$AZ$5*AS3+$AX$5/$AZ$5*AQ3)</f>
        <v>-0.93965456281789661</v>
      </c>
      <c r="AU3" s="4">
        <f t="shared" ref="AU3:AU20" si="30">AR3/$AZ$5</f>
        <v>0.01</v>
      </c>
      <c r="AV3" s="29">
        <f t="shared" ref="AV3:AV20" si="31">AT3/AQ3</f>
        <v>-18.793091256357933</v>
      </c>
      <c r="AX3" s="1"/>
      <c r="AY3" s="1"/>
      <c r="AZ3" s="1"/>
    </row>
    <row r="4" spans="1:52" x14ac:dyDescent="0.5">
      <c r="A4" s="1">
        <v>0.1</v>
      </c>
      <c r="B4" s="1">
        <v>20</v>
      </c>
      <c r="C4" s="1">
        <f t="shared" si="0"/>
        <v>0</v>
      </c>
      <c r="D4" s="3">
        <f t="shared" si="1"/>
        <v>0.11148589561002423</v>
      </c>
      <c r="E4" s="18">
        <f t="shared" si="2"/>
        <v>1</v>
      </c>
      <c r="F4" s="28">
        <f t="shared" si="18"/>
        <v>1.1148589561002422</v>
      </c>
      <c r="G4" s="1">
        <v>0.1</v>
      </c>
      <c r="H4" s="1">
        <v>15</v>
      </c>
      <c r="I4" s="1">
        <f t="shared" si="3"/>
        <v>0.3125</v>
      </c>
      <c r="J4" s="3">
        <f t="shared" si="4"/>
        <v>-0.1530377168097786</v>
      </c>
      <c r="K4" s="4">
        <f t="shared" si="5"/>
        <v>0.75</v>
      </c>
      <c r="L4" s="29">
        <f t="shared" si="19"/>
        <v>-1.5303771680977858</v>
      </c>
      <c r="M4" s="1">
        <v>0.1</v>
      </c>
      <c r="N4" s="1">
        <v>12</v>
      </c>
      <c r="O4" s="1">
        <f t="shared" si="6"/>
        <v>0.61538461538461542</v>
      </c>
      <c r="P4" s="3">
        <f t="shared" si="7"/>
        <v>-0.31178663785152666</v>
      </c>
      <c r="Q4" s="18">
        <f t="shared" si="8"/>
        <v>0.6</v>
      </c>
      <c r="R4" s="29">
        <f t="shared" si="20"/>
        <v>-3.1178663785152665</v>
      </c>
      <c r="S4" s="1">
        <v>0.1</v>
      </c>
      <c r="T4" s="1">
        <v>10</v>
      </c>
      <c r="U4" s="1">
        <f t="shared" si="9"/>
        <v>0.90909090909090906</v>
      </c>
      <c r="V4" s="3">
        <f t="shared" si="10"/>
        <v>-0.41763373650555247</v>
      </c>
      <c r="W4" s="18">
        <f t="shared" si="11"/>
        <v>0.5</v>
      </c>
      <c r="X4" s="29">
        <f t="shared" si="21"/>
        <v>-4.1763373650555247</v>
      </c>
      <c r="Y4" s="1">
        <v>0.1</v>
      </c>
      <c r="Z4" s="1">
        <v>8</v>
      </c>
      <c r="AA4" s="1">
        <f t="shared" si="12"/>
        <v>1.3333333333333333</v>
      </c>
      <c r="AB4" s="3">
        <f t="shared" si="13"/>
        <v>-0.52349242508096216</v>
      </c>
      <c r="AC4" s="18">
        <f t="shared" si="14"/>
        <v>0.4</v>
      </c>
      <c r="AD4" s="29">
        <f t="shared" si="22"/>
        <v>-5.2349242508096214</v>
      </c>
      <c r="AE4" s="1">
        <v>0.1</v>
      </c>
      <c r="AF4" s="1">
        <v>5</v>
      </c>
      <c r="AG4" s="1">
        <f t="shared" si="15"/>
        <v>2.5</v>
      </c>
      <c r="AH4" s="3">
        <f t="shared" si="23"/>
        <v>-0.6823021932111154</v>
      </c>
      <c r="AI4" s="4">
        <f t="shared" si="24"/>
        <v>0.25</v>
      </c>
      <c r="AJ4" s="29">
        <f t="shared" si="25"/>
        <v>-6.8230219321111534</v>
      </c>
      <c r="AK4" s="1">
        <v>0.1</v>
      </c>
      <c r="AL4" s="1">
        <v>1</v>
      </c>
      <c r="AM4" s="1">
        <f t="shared" si="16"/>
        <v>9.5</v>
      </c>
      <c r="AN4" s="3">
        <f t="shared" si="26"/>
        <v>-0.89408913321413364</v>
      </c>
      <c r="AO4" s="4">
        <f t="shared" si="27"/>
        <v>0.05</v>
      </c>
      <c r="AP4" s="29">
        <f t="shared" si="28"/>
        <v>-8.9408913321413355</v>
      </c>
      <c r="AQ4" s="1">
        <v>0.1</v>
      </c>
      <c r="AR4" s="1">
        <v>0.2</v>
      </c>
      <c r="AS4" s="1">
        <f t="shared" si="17"/>
        <v>16.5</v>
      </c>
      <c r="AT4" s="3">
        <f t="shared" si="29"/>
        <v>-0.93645208800282265</v>
      </c>
      <c r="AU4" s="4">
        <f t="shared" si="30"/>
        <v>0.01</v>
      </c>
      <c r="AV4" s="29">
        <f t="shared" si="31"/>
        <v>-9.3645208800282251</v>
      </c>
      <c r="AX4" s="1" t="s">
        <v>72</v>
      </c>
      <c r="AY4" s="1" t="s">
        <v>73</v>
      </c>
      <c r="AZ4" s="1" t="s">
        <v>59</v>
      </c>
    </row>
    <row r="5" spans="1:52" x14ac:dyDescent="0.5">
      <c r="A5" s="1">
        <v>0.2</v>
      </c>
      <c r="B5" s="1">
        <v>20</v>
      </c>
      <c r="C5" s="1">
        <f t="shared" si="0"/>
        <v>0</v>
      </c>
      <c r="D5" s="3">
        <f t="shared" si="1"/>
        <v>0.22284372971083255</v>
      </c>
      <c r="E5" s="18">
        <f t="shared" si="2"/>
        <v>1</v>
      </c>
      <c r="F5" s="28">
        <f>D5/A5</f>
        <v>1.1142186485541627</v>
      </c>
      <c r="G5" s="1">
        <v>0.2</v>
      </c>
      <c r="H5" s="1">
        <v>15</v>
      </c>
      <c r="I5" s="1">
        <f t="shared" si="3"/>
        <v>0.3125</v>
      </c>
      <c r="J5" s="3">
        <f t="shared" si="4"/>
        <v>-6.8054656872074001E-2</v>
      </c>
      <c r="K5" s="4">
        <f t="shared" si="5"/>
        <v>0.75</v>
      </c>
      <c r="L5" s="29">
        <f>J5/G5</f>
        <v>-0.34027328436036997</v>
      </c>
      <c r="M5" s="1">
        <v>0.2</v>
      </c>
      <c r="N5" s="1">
        <v>12</v>
      </c>
      <c r="O5" s="1">
        <f t="shared" si="6"/>
        <v>0.61538461538461542</v>
      </c>
      <c r="P5" s="3">
        <f t="shared" si="7"/>
        <v>-0.24267009914370488</v>
      </c>
      <c r="Q5" s="18">
        <f t="shared" si="8"/>
        <v>0.6</v>
      </c>
      <c r="R5" s="29">
        <f t="shared" si="20"/>
        <v>-1.2133504957185244</v>
      </c>
      <c r="S5" s="1">
        <v>0.2</v>
      </c>
      <c r="T5" s="1">
        <v>10</v>
      </c>
      <c r="U5" s="1">
        <f t="shared" si="9"/>
        <v>0.90909090909090906</v>
      </c>
      <c r="V5" s="3">
        <f t="shared" si="10"/>
        <v>-0.35911224904997702</v>
      </c>
      <c r="W5" s="18">
        <f t="shared" si="11"/>
        <v>0.5</v>
      </c>
      <c r="X5" s="29">
        <f t="shared" si="21"/>
        <v>-1.795561245249885</v>
      </c>
      <c r="Y5" s="1">
        <v>0.2</v>
      </c>
      <c r="Z5" s="1">
        <v>8</v>
      </c>
      <c r="AA5" s="1">
        <f t="shared" si="12"/>
        <v>1.3333333333333333</v>
      </c>
      <c r="AB5" s="3">
        <f t="shared" si="13"/>
        <v>-0.47557989276713619</v>
      </c>
      <c r="AC5" s="18">
        <f t="shared" si="14"/>
        <v>0.4</v>
      </c>
      <c r="AD5" s="29">
        <f t="shared" si="22"/>
        <v>-2.3778994638356807</v>
      </c>
      <c r="AE5" s="1">
        <v>0.2</v>
      </c>
      <c r="AF5" s="1">
        <v>5</v>
      </c>
      <c r="AG5" s="1">
        <f t="shared" si="15"/>
        <v>2.5</v>
      </c>
      <c r="AH5" s="3">
        <f t="shared" si="23"/>
        <v>-0.65032917755594588</v>
      </c>
      <c r="AI5" s="4">
        <f t="shared" si="24"/>
        <v>0.25</v>
      </c>
      <c r="AJ5" s="29">
        <f t="shared" si="25"/>
        <v>-3.2516458877797292</v>
      </c>
      <c r="AK5" s="1">
        <v>0.2</v>
      </c>
      <c r="AL5" s="1">
        <v>1</v>
      </c>
      <c r="AM5" s="1">
        <f t="shared" si="16"/>
        <v>9.5</v>
      </c>
      <c r="AN5" s="3">
        <f t="shared" si="26"/>
        <v>-0.8834175304609494</v>
      </c>
      <c r="AO5" s="4">
        <f t="shared" si="27"/>
        <v>0.05</v>
      </c>
      <c r="AP5" s="29">
        <f t="shared" si="28"/>
        <v>-4.4170876523047466</v>
      </c>
      <c r="AQ5" s="1">
        <v>0.2</v>
      </c>
      <c r="AR5" s="1">
        <v>0.2</v>
      </c>
      <c r="AS5" s="1">
        <f t="shared" si="17"/>
        <v>16.5</v>
      </c>
      <c r="AT5" s="3">
        <f t="shared" si="29"/>
        <v>-0.93004745402444999</v>
      </c>
      <c r="AU5" s="4">
        <f t="shared" si="30"/>
        <v>0.01</v>
      </c>
      <c r="AV5" s="29">
        <f t="shared" si="31"/>
        <v>-4.6502372701222496</v>
      </c>
      <c r="AX5" s="1">
        <v>0.115</v>
      </c>
      <c r="AY5" s="1">
        <f>-AZ5/AY2</f>
        <v>20</v>
      </c>
      <c r="AZ5" s="1">
        <v>20</v>
      </c>
    </row>
    <row r="6" spans="1:52" x14ac:dyDescent="0.5">
      <c r="A6" s="1">
        <v>0.4</v>
      </c>
      <c r="B6" s="1">
        <v>20</v>
      </c>
      <c r="C6" s="1">
        <f t="shared" si="0"/>
        <v>0</v>
      </c>
      <c r="D6" s="3">
        <f t="shared" si="1"/>
        <v>0.44517609498154243</v>
      </c>
      <c r="E6" s="18">
        <f t="shared" si="2"/>
        <v>1</v>
      </c>
      <c r="F6" s="28">
        <f t="shared" si="18"/>
        <v>1.112940237453856</v>
      </c>
      <c r="G6" s="1">
        <v>0.4</v>
      </c>
      <c r="H6" s="1">
        <v>15</v>
      </c>
      <c r="I6" s="1">
        <f t="shared" si="3"/>
        <v>0.3125</v>
      </c>
      <c r="J6" s="3">
        <f t="shared" si="4"/>
        <v>0.10168846972923638</v>
      </c>
      <c r="K6" s="4">
        <f t="shared" si="5"/>
        <v>0.75</v>
      </c>
      <c r="L6" s="28">
        <f t="shared" si="19"/>
        <v>0.25422117432309094</v>
      </c>
      <c r="M6" s="1">
        <v>0.4</v>
      </c>
      <c r="N6" s="1">
        <v>12</v>
      </c>
      <c r="O6" s="1">
        <f t="shared" si="6"/>
        <v>0.61538461538461542</v>
      </c>
      <c r="P6" s="3">
        <f t="shared" si="7"/>
        <v>-0.10458442503292933</v>
      </c>
      <c r="Q6" s="18">
        <f t="shared" si="8"/>
        <v>0.6</v>
      </c>
      <c r="R6" s="29">
        <f t="shared" si="20"/>
        <v>-0.26146106258232332</v>
      </c>
      <c r="S6" s="1">
        <v>0.4</v>
      </c>
      <c r="T6" s="1">
        <v>10</v>
      </c>
      <c r="U6" s="1">
        <f t="shared" si="9"/>
        <v>0.90909090909090906</v>
      </c>
      <c r="V6" s="3">
        <f t="shared" si="10"/>
        <v>-0.24217490356855786</v>
      </c>
      <c r="W6" s="18">
        <f t="shared" si="11"/>
        <v>0.5</v>
      </c>
      <c r="X6" s="29">
        <f t="shared" si="21"/>
        <v>-0.60543725892139466</v>
      </c>
      <c r="Y6" s="1">
        <v>0.4</v>
      </c>
      <c r="Z6" s="1">
        <v>8</v>
      </c>
      <c r="AA6" s="1">
        <f t="shared" si="12"/>
        <v>1.3333333333333333</v>
      </c>
      <c r="AB6" s="3">
        <f t="shared" si="13"/>
        <v>-0.37982560047952735</v>
      </c>
      <c r="AC6" s="18">
        <f t="shared" si="14"/>
        <v>0.4</v>
      </c>
      <c r="AD6" s="29">
        <f t="shared" si="22"/>
        <v>-0.94956400119881834</v>
      </c>
      <c r="AE6" s="1">
        <v>0.4</v>
      </c>
      <c r="AF6" s="1">
        <v>5</v>
      </c>
      <c r="AG6" s="1">
        <f t="shared" si="15"/>
        <v>2.5</v>
      </c>
      <c r="AH6" s="3">
        <f t="shared" si="23"/>
        <v>-0.58641464180681258</v>
      </c>
      <c r="AI6" s="4">
        <f t="shared" si="24"/>
        <v>0.25</v>
      </c>
      <c r="AJ6" s="29">
        <f t="shared" si="25"/>
        <v>-1.4660366045170314</v>
      </c>
      <c r="AK6" s="1">
        <v>0.4</v>
      </c>
      <c r="AL6" s="1">
        <v>1</v>
      </c>
      <c r="AM6" s="1">
        <f t="shared" si="16"/>
        <v>9.5</v>
      </c>
      <c r="AN6" s="3">
        <f t="shared" si="26"/>
        <v>-0.86207783057044651</v>
      </c>
      <c r="AO6" s="4">
        <f t="shared" si="27"/>
        <v>0.05</v>
      </c>
      <c r="AP6" s="29">
        <f t="shared" si="28"/>
        <v>-2.155194576426116</v>
      </c>
      <c r="AQ6" s="1">
        <v>0.4</v>
      </c>
      <c r="AR6" s="1">
        <v>0.2</v>
      </c>
      <c r="AS6" s="1">
        <f t="shared" si="17"/>
        <v>16.5</v>
      </c>
      <c r="AT6" s="3">
        <f t="shared" si="29"/>
        <v>-0.91723944852962169</v>
      </c>
      <c r="AU6" s="4">
        <f t="shared" si="30"/>
        <v>0.01</v>
      </c>
      <c r="AV6" s="29">
        <f t="shared" si="31"/>
        <v>-2.2930986213240541</v>
      </c>
    </row>
    <row r="7" spans="1:52" x14ac:dyDescent="0.5">
      <c r="A7" s="1">
        <v>0.7</v>
      </c>
      <c r="B7" s="1">
        <v>20</v>
      </c>
      <c r="C7" s="1">
        <f t="shared" si="0"/>
        <v>0</v>
      </c>
      <c r="D7" s="3">
        <f t="shared" si="1"/>
        <v>0.7777196782948631</v>
      </c>
      <c r="E7" s="18">
        <f t="shared" si="2"/>
        <v>1</v>
      </c>
      <c r="F7" s="28">
        <f t="shared" si="18"/>
        <v>1.1110281118498044</v>
      </c>
      <c r="G7" s="1">
        <v>0.7</v>
      </c>
      <c r="H7" s="1">
        <v>15</v>
      </c>
      <c r="I7" s="1">
        <f t="shared" si="3"/>
        <v>0.3125</v>
      </c>
      <c r="J7" s="3">
        <f t="shared" si="4"/>
        <v>0.35574713735022118</v>
      </c>
      <c r="K7" s="4">
        <f t="shared" si="5"/>
        <v>0.75</v>
      </c>
      <c r="L7" s="28">
        <f t="shared" si="19"/>
        <v>0.50821019621460173</v>
      </c>
      <c r="M7" s="1">
        <v>0.7</v>
      </c>
      <c r="N7" s="1">
        <v>12</v>
      </c>
      <c r="O7" s="1">
        <f t="shared" si="6"/>
        <v>0.61538461538461542</v>
      </c>
      <c r="P7" s="3">
        <f t="shared" si="7"/>
        <v>0.1021763629432853</v>
      </c>
      <c r="Q7" s="18">
        <f t="shared" si="8"/>
        <v>0.6</v>
      </c>
      <c r="R7" s="28">
        <f t="shared" si="20"/>
        <v>0.14596623277612186</v>
      </c>
      <c r="S7" s="1">
        <v>0.7</v>
      </c>
      <c r="T7" s="1">
        <v>10</v>
      </c>
      <c r="U7" s="1">
        <f t="shared" si="9"/>
        <v>0.90909090909090906</v>
      </c>
      <c r="V7" s="3">
        <f t="shared" si="10"/>
        <v>-6.7032482706104166E-2</v>
      </c>
      <c r="W7" s="18">
        <f t="shared" si="11"/>
        <v>0.5</v>
      </c>
      <c r="X7" s="29">
        <f t="shared" si="21"/>
        <v>-9.5760689580148814E-2</v>
      </c>
      <c r="Y7" s="1">
        <v>0.7</v>
      </c>
      <c r="Z7" s="1">
        <v>8</v>
      </c>
      <c r="AA7" s="1">
        <f t="shared" si="12"/>
        <v>1.3333333333333333</v>
      </c>
      <c r="AB7" s="3">
        <f t="shared" si="13"/>
        <v>-0.23637083174381338</v>
      </c>
      <c r="AC7" s="18">
        <f t="shared" si="14"/>
        <v>0.4</v>
      </c>
      <c r="AD7" s="29">
        <f t="shared" si="22"/>
        <v>-0.33767261677687627</v>
      </c>
      <c r="AE7" s="1">
        <v>0.7</v>
      </c>
      <c r="AF7" s="1">
        <v>5</v>
      </c>
      <c r="AG7" s="1">
        <f t="shared" si="15"/>
        <v>2.5</v>
      </c>
      <c r="AH7" s="3">
        <f t="shared" si="23"/>
        <v>-0.49062149956121887</v>
      </c>
      <c r="AI7" s="4">
        <f t="shared" si="24"/>
        <v>0.25</v>
      </c>
      <c r="AJ7" s="29">
        <f t="shared" si="25"/>
        <v>-0.70088785651602703</v>
      </c>
      <c r="AK7" s="1">
        <v>0.7</v>
      </c>
      <c r="AL7" s="1">
        <v>1</v>
      </c>
      <c r="AM7" s="1">
        <f t="shared" si="16"/>
        <v>9.5</v>
      </c>
      <c r="AN7" s="3">
        <f t="shared" si="26"/>
        <v>-0.83007704189584475</v>
      </c>
      <c r="AO7" s="4">
        <f t="shared" si="27"/>
        <v>0.05</v>
      </c>
      <c r="AP7" s="29">
        <f t="shared" si="28"/>
        <v>-1.1858243455654927</v>
      </c>
      <c r="AQ7" s="1">
        <v>0.7</v>
      </c>
      <c r="AR7" s="1">
        <v>0.2</v>
      </c>
      <c r="AS7" s="1">
        <f t="shared" si="17"/>
        <v>16.5</v>
      </c>
      <c r="AT7" s="3">
        <f t="shared" si="29"/>
        <v>-0.89803059582010436</v>
      </c>
      <c r="AU7" s="4">
        <f t="shared" si="30"/>
        <v>0.01</v>
      </c>
      <c r="AV7" s="29">
        <f t="shared" si="31"/>
        <v>-1.2829008511715778</v>
      </c>
    </row>
    <row r="8" spans="1:52" x14ac:dyDescent="0.5">
      <c r="A8" s="1">
        <v>1</v>
      </c>
      <c r="B8" s="1">
        <v>20</v>
      </c>
      <c r="C8" s="1">
        <f t="shared" si="0"/>
        <v>0</v>
      </c>
      <c r="D8" s="3">
        <f t="shared" si="1"/>
        <v>1.1091225453641562</v>
      </c>
      <c r="E8" s="18">
        <f t="shared" si="2"/>
        <v>1</v>
      </c>
      <c r="F8" s="28">
        <f t="shared" si="18"/>
        <v>1.1091225453641562</v>
      </c>
      <c r="G8" s="1">
        <v>1</v>
      </c>
      <c r="H8" s="1">
        <v>15</v>
      </c>
      <c r="I8" s="1">
        <f t="shared" si="3"/>
        <v>0.3125</v>
      </c>
      <c r="J8" s="3">
        <f t="shared" si="4"/>
        <v>0.60914090650483599</v>
      </c>
      <c r="K8" s="4">
        <f t="shared" si="5"/>
        <v>0.75</v>
      </c>
      <c r="L8" s="28">
        <f t="shared" si="19"/>
        <v>0.60914090650483599</v>
      </c>
      <c r="M8" s="1">
        <v>1</v>
      </c>
      <c r="N8" s="1">
        <v>12</v>
      </c>
      <c r="O8" s="1">
        <f t="shared" si="6"/>
        <v>0.61538461538461542</v>
      </c>
      <c r="P8" s="3">
        <f t="shared" si="7"/>
        <v>0.30849713519733324</v>
      </c>
      <c r="Q8" s="18">
        <f t="shared" si="8"/>
        <v>0.6</v>
      </c>
      <c r="R8" s="28">
        <f t="shared" si="20"/>
        <v>0.30849713519733324</v>
      </c>
      <c r="S8" s="1">
        <v>1</v>
      </c>
      <c r="T8" s="1">
        <v>10</v>
      </c>
      <c r="U8" s="1">
        <f t="shared" si="9"/>
        <v>0.90909090909090906</v>
      </c>
      <c r="V8" s="3">
        <f t="shared" si="10"/>
        <v>0.1077943812089777</v>
      </c>
      <c r="W8" s="18">
        <f t="shared" si="11"/>
        <v>0.5</v>
      </c>
      <c r="X8" s="28">
        <f t="shared" si="21"/>
        <v>0.1077943812089777</v>
      </c>
      <c r="Y8" s="1">
        <v>1</v>
      </c>
      <c r="Z8" s="1">
        <v>8</v>
      </c>
      <c r="AA8" s="1">
        <f t="shared" si="12"/>
        <v>1.3333333333333333</v>
      </c>
      <c r="AB8" s="3">
        <f t="shared" si="13"/>
        <v>-9.3127649720332051E-2</v>
      </c>
      <c r="AC8" s="18">
        <f t="shared" si="14"/>
        <v>0.4</v>
      </c>
      <c r="AD8" s="29">
        <f t="shared" si="22"/>
        <v>-9.3127649720332051E-2</v>
      </c>
      <c r="AE8" s="1">
        <v>1</v>
      </c>
      <c r="AF8" s="1">
        <v>5</v>
      </c>
      <c r="AG8" s="1">
        <f t="shared" si="15"/>
        <v>2.5</v>
      </c>
      <c r="AH8" s="3">
        <f t="shared" si="23"/>
        <v>-0.39492262711260073</v>
      </c>
      <c r="AI8" s="4">
        <f t="shared" si="24"/>
        <v>0.25</v>
      </c>
      <c r="AJ8" s="29">
        <f t="shared" si="25"/>
        <v>-0.39492262711260073</v>
      </c>
      <c r="AK8" s="1">
        <v>1</v>
      </c>
      <c r="AL8" s="1">
        <v>1</v>
      </c>
      <c r="AM8" s="1">
        <f t="shared" si="16"/>
        <v>9.5</v>
      </c>
      <c r="AN8" s="3">
        <f t="shared" si="26"/>
        <v>-0.79808676201127937</v>
      </c>
      <c r="AO8" s="4">
        <f t="shared" si="27"/>
        <v>0.05</v>
      </c>
      <c r="AP8" s="29">
        <f t="shared" si="28"/>
        <v>-0.79808676201127937</v>
      </c>
      <c r="AQ8" s="1">
        <v>1</v>
      </c>
      <c r="AR8" s="1">
        <v>0.2</v>
      </c>
      <c r="AS8" s="1">
        <f t="shared" si="17"/>
        <v>16.5</v>
      </c>
      <c r="AT8" s="3">
        <f t="shared" si="29"/>
        <v>-0.87882552875483766</v>
      </c>
      <c r="AU8" s="4">
        <f t="shared" si="30"/>
        <v>0.01</v>
      </c>
      <c r="AV8" s="29">
        <f t="shared" si="31"/>
        <v>-0.87882552875483766</v>
      </c>
    </row>
    <row r="9" spans="1:52" x14ac:dyDescent="0.5">
      <c r="A9" s="1">
        <v>1.3</v>
      </c>
      <c r="B9" s="1">
        <v>20</v>
      </c>
      <c r="C9" s="1">
        <f t="shared" si="0"/>
        <v>0</v>
      </c>
      <c r="D9" s="3">
        <f t="shared" si="1"/>
        <v>1.4393905555969133</v>
      </c>
      <c r="E9" s="18">
        <f t="shared" si="2"/>
        <v>1</v>
      </c>
      <c r="F9" s="28">
        <f t="shared" si="18"/>
        <v>1.1072235043053178</v>
      </c>
      <c r="G9" s="1">
        <v>1.3</v>
      </c>
      <c r="H9" s="1">
        <v>15</v>
      </c>
      <c r="I9" s="1">
        <f t="shared" si="3"/>
        <v>0.3125</v>
      </c>
      <c r="J9" s="3">
        <f t="shared" si="4"/>
        <v>0.86187238394666577</v>
      </c>
      <c r="K9" s="4">
        <f t="shared" si="5"/>
        <v>0.75</v>
      </c>
      <c r="L9" s="28">
        <f t="shared" si="19"/>
        <v>0.66297875688205055</v>
      </c>
      <c r="M9" s="1">
        <v>1.3</v>
      </c>
      <c r="N9" s="1">
        <v>12</v>
      </c>
      <c r="O9" s="1">
        <f t="shared" si="6"/>
        <v>0.61538461538461542</v>
      </c>
      <c r="P9" s="3">
        <f t="shared" si="7"/>
        <v>0.51437929485819789</v>
      </c>
      <c r="Q9" s="18">
        <f t="shared" si="8"/>
        <v>0.6</v>
      </c>
      <c r="R9" s="28">
        <f t="shared" si="20"/>
        <v>0.3956763806601522</v>
      </c>
      <c r="S9" s="1">
        <v>1.3</v>
      </c>
      <c r="T9" s="1">
        <v>10</v>
      </c>
      <c r="U9" s="1">
        <f t="shared" si="9"/>
        <v>0.90909090909090906</v>
      </c>
      <c r="V9" s="3">
        <f t="shared" si="10"/>
        <v>0.28230654022523716</v>
      </c>
      <c r="W9" s="18">
        <f t="shared" si="11"/>
        <v>0.5</v>
      </c>
      <c r="X9" s="28">
        <f t="shared" si="21"/>
        <v>0.21715887709633627</v>
      </c>
      <c r="Y9" s="1">
        <v>1.3</v>
      </c>
      <c r="Z9" s="1">
        <v>8</v>
      </c>
      <c r="AA9" s="1">
        <f t="shared" si="12"/>
        <v>1.3333333333333333</v>
      </c>
      <c r="AB9" s="3">
        <f t="shared" si="13"/>
        <v>4.9904413361481319E-2</v>
      </c>
      <c r="AC9" s="18">
        <f t="shared" si="14"/>
        <v>0.4</v>
      </c>
      <c r="AD9" s="28">
        <f t="shared" si="22"/>
        <v>3.8388010278062552E-2</v>
      </c>
      <c r="AE9" s="1">
        <v>1.3</v>
      </c>
      <c r="AF9" s="1">
        <v>5</v>
      </c>
      <c r="AG9" s="1">
        <f t="shared" si="15"/>
        <v>2.5</v>
      </c>
      <c r="AH9" s="3">
        <f t="shared" si="23"/>
        <v>-0.29931788537338111</v>
      </c>
      <c r="AI9" s="4">
        <f t="shared" si="24"/>
        <v>0.25</v>
      </c>
      <c r="AJ9" s="29">
        <f t="shared" si="25"/>
        <v>-0.23024452721029315</v>
      </c>
      <c r="AK9" s="1">
        <v>1.3</v>
      </c>
      <c r="AL9" s="1">
        <v>1</v>
      </c>
      <c r="AM9" s="1">
        <f t="shared" si="16"/>
        <v>9.5</v>
      </c>
      <c r="AN9" s="3">
        <f t="shared" si="26"/>
        <v>-0.76610698574110336</v>
      </c>
      <c r="AO9" s="4">
        <f t="shared" si="27"/>
        <v>0.05</v>
      </c>
      <c r="AP9" s="29">
        <f t="shared" si="28"/>
        <v>-0.5893130659546949</v>
      </c>
      <c r="AQ9" s="1">
        <v>1.3</v>
      </c>
      <c r="AR9" s="1">
        <v>0.2</v>
      </c>
      <c r="AS9" s="1">
        <f t="shared" si="17"/>
        <v>16.5</v>
      </c>
      <c r="AT9" s="3">
        <f t="shared" si="29"/>
        <v>-0.85962424621483113</v>
      </c>
      <c r="AU9" s="4">
        <f t="shared" si="30"/>
        <v>0.01</v>
      </c>
      <c r="AV9" s="29">
        <f t="shared" si="31"/>
        <v>-0.66124942016525468</v>
      </c>
    </row>
    <row r="10" spans="1:52" x14ac:dyDescent="0.5">
      <c r="A10" s="1">
        <v>1.6</v>
      </c>
      <c r="B10" s="1">
        <v>20</v>
      </c>
      <c r="C10" s="1">
        <f t="shared" si="0"/>
        <v>0</v>
      </c>
      <c r="D10" s="3">
        <f t="shared" si="1"/>
        <v>1.7685295283392783</v>
      </c>
      <c r="E10" s="18">
        <f t="shared" si="2"/>
        <v>1</v>
      </c>
      <c r="F10" s="28">
        <f t="shared" si="18"/>
        <v>1.1053309552120489</v>
      </c>
      <c r="G10" s="1">
        <v>1.6</v>
      </c>
      <c r="H10" s="1">
        <v>15</v>
      </c>
      <c r="I10" s="1">
        <f t="shared" si="3"/>
        <v>0.3125</v>
      </c>
      <c r="J10" s="3">
        <f t="shared" si="4"/>
        <v>1.1139441628206097</v>
      </c>
      <c r="K10" s="4">
        <f t="shared" si="5"/>
        <v>0.75</v>
      </c>
      <c r="L10" s="28">
        <f t="shared" si="19"/>
        <v>0.69621510176288104</v>
      </c>
      <c r="M10" s="1">
        <v>1.6</v>
      </c>
      <c r="N10" s="1">
        <v>12</v>
      </c>
      <c r="O10" s="1">
        <f t="shared" si="6"/>
        <v>0.61538461538461542</v>
      </c>
      <c r="P10" s="3">
        <f t="shared" si="7"/>
        <v>0.71982423909543725</v>
      </c>
      <c r="Q10" s="18">
        <f t="shared" si="8"/>
        <v>0.6</v>
      </c>
      <c r="R10" s="28">
        <f t="shared" si="20"/>
        <v>0.44989014943464828</v>
      </c>
      <c r="S10" s="1">
        <v>1.6</v>
      </c>
      <c r="T10" s="1">
        <v>10</v>
      </c>
      <c r="U10" s="1">
        <f t="shared" si="9"/>
        <v>0.90909090909090906</v>
      </c>
      <c r="V10" s="3">
        <f t="shared" si="10"/>
        <v>0.45650484332644581</v>
      </c>
      <c r="W10" s="18">
        <f t="shared" si="11"/>
        <v>0.5</v>
      </c>
      <c r="X10" s="28">
        <f t="shared" si="21"/>
        <v>0.28531552707902863</v>
      </c>
      <c r="Y10" s="1">
        <v>1.6</v>
      </c>
      <c r="Z10" s="1">
        <v>8</v>
      </c>
      <c r="AA10" s="1">
        <f t="shared" si="12"/>
        <v>1.3333333333333333</v>
      </c>
      <c r="AB10" s="3">
        <f t="shared" si="13"/>
        <v>0.19272582389435944</v>
      </c>
      <c r="AC10" s="18">
        <f t="shared" si="14"/>
        <v>0.4</v>
      </c>
      <c r="AD10" s="28">
        <f t="shared" si="22"/>
        <v>0.12045363993397465</v>
      </c>
      <c r="AE10" s="1">
        <v>1.6</v>
      </c>
      <c r="AF10" s="1">
        <v>5</v>
      </c>
      <c r="AG10" s="1">
        <f t="shared" si="15"/>
        <v>2.5</v>
      </c>
      <c r="AH10" s="3">
        <f t="shared" si="23"/>
        <v>-0.20380713552946542</v>
      </c>
      <c r="AI10" s="4">
        <f t="shared" si="24"/>
        <v>0.25</v>
      </c>
      <c r="AJ10" s="29">
        <f t="shared" si="25"/>
        <v>-0.12737945970591588</v>
      </c>
      <c r="AK10" s="1">
        <v>1.6</v>
      </c>
      <c r="AL10" s="1">
        <v>1</v>
      </c>
      <c r="AM10" s="1">
        <f t="shared" si="16"/>
        <v>9.5</v>
      </c>
      <c r="AN10" s="3">
        <f t="shared" si="26"/>
        <v>-0.73413770791306665</v>
      </c>
      <c r="AO10" s="4">
        <f t="shared" si="27"/>
        <v>0.05</v>
      </c>
      <c r="AP10" s="29">
        <f t="shared" si="28"/>
        <v>-0.45883606744566663</v>
      </c>
      <c r="AQ10" s="1">
        <v>1.6</v>
      </c>
      <c r="AR10" s="1">
        <v>0.2</v>
      </c>
      <c r="AS10" s="1">
        <f t="shared" si="17"/>
        <v>16.5</v>
      </c>
      <c r="AT10" s="3">
        <f t="shared" si="29"/>
        <v>-0.8404267470815342</v>
      </c>
      <c r="AU10" s="4">
        <f t="shared" si="30"/>
        <v>0.01</v>
      </c>
      <c r="AV10" s="29">
        <f t="shared" si="31"/>
        <v>-0.52526671692595883</v>
      </c>
    </row>
    <row r="11" spans="1:52" x14ac:dyDescent="0.5">
      <c r="A11" s="1">
        <v>1.9</v>
      </c>
      <c r="B11" s="1">
        <v>20</v>
      </c>
      <c r="C11" s="1">
        <f t="shared" si="0"/>
        <v>0</v>
      </c>
      <c r="D11" s="3">
        <f t="shared" si="1"/>
        <v>2.0965452432178444</v>
      </c>
      <c r="E11" s="18">
        <f t="shared" si="2"/>
        <v>1</v>
      </c>
      <c r="F11" s="28">
        <f t="shared" si="18"/>
        <v>1.1034448648514972</v>
      </c>
      <c r="G11" s="1">
        <v>1.9</v>
      </c>
      <c r="H11" s="1">
        <v>15</v>
      </c>
      <c r="I11" s="1">
        <f t="shared" si="3"/>
        <v>0.3125</v>
      </c>
      <c r="J11" s="3">
        <f t="shared" si="4"/>
        <v>1.3653588227515723</v>
      </c>
      <c r="K11" s="4">
        <f t="shared" si="5"/>
        <v>0.75</v>
      </c>
      <c r="L11" s="28">
        <f t="shared" si="19"/>
        <v>0.71860990671135383</v>
      </c>
      <c r="M11" s="1">
        <v>1.9</v>
      </c>
      <c r="N11" s="1">
        <v>12</v>
      </c>
      <c r="O11" s="1">
        <f t="shared" si="6"/>
        <v>0.61538461538461542</v>
      </c>
      <c r="P11" s="3">
        <f t="shared" si="7"/>
        <v>0.92483335915079057</v>
      </c>
      <c r="Q11" s="18">
        <f t="shared" si="8"/>
        <v>0.6</v>
      </c>
      <c r="R11" s="28">
        <f t="shared" si="20"/>
        <v>0.48675439955304767</v>
      </c>
      <c r="S11" s="1">
        <v>1.9</v>
      </c>
      <c r="T11" s="1">
        <v>10</v>
      </c>
      <c r="U11" s="1">
        <f t="shared" si="9"/>
        <v>0.90909090909090906</v>
      </c>
      <c r="V11" s="3">
        <f t="shared" si="10"/>
        <v>0.63039013644536535</v>
      </c>
      <c r="W11" s="18">
        <f t="shared" si="11"/>
        <v>0.5</v>
      </c>
      <c r="X11" s="28">
        <f t="shared" si="21"/>
        <v>0.331784282339666</v>
      </c>
      <c r="Y11" s="1">
        <v>1.9</v>
      </c>
      <c r="Z11" s="1">
        <v>8</v>
      </c>
      <c r="AA11" s="1">
        <f t="shared" si="12"/>
        <v>1.3333333333333333</v>
      </c>
      <c r="AB11" s="3">
        <f t="shared" si="13"/>
        <v>0.33533704689827265</v>
      </c>
      <c r="AC11" s="18">
        <f t="shared" si="14"/>
        <v>0.4</v>
      </c>
      <c r="AD11" s="28">
        <f t="shared" si="22"/>
        <v>0.17649318257803825</v>
      </c>
      <c r="AE11" s="1">
        <v>1.9</v>
      </c>
      <c r="AF11" s="1">
        <v>5</v>
      </c>
      <c r="AG11" s="1">
        <f t="shared" si="15"/>
        <v>2.5</v>
      </c>
      <c r="AH11" s="3">
        <f t="shared" si="23"/>
        <v>-0.10839023903956946</v>
      </c>
      <c r="AI11" s="4">
        <f t="shared" si="24"/>
        <v>0.25</v>
      </c>
      <c r="AJ11" s="29">
        <f t="shared" si="25"/>
        <v>-5.7047494231352351E-2</v>
      </c>
      <c r="AK11" s="1">
        <v>1.9</v>
      </c>
      <c r="AL11" s="1">
        <v>1</v>
      </c>
      <c r="AM11" s="1">
        <f t="shared" si="16"/>
        <v>9.5</v>
      </c>
      <c r="AN11" s="3">
        <f t="shared" si="26"/>
        <v>-0.70217892335831533</v>
      </c>
      <c r="AO11" s="4">
        <f t="shared" si="27"/>
        <v>0.05</v>
      </c>
      <c r="AP11" s="29">
        <f t="shared" si="28"/>
        <v>-0.36956785439911333</v>
      </c>
      <c r="AQ11" s="1">
        <v>1.9</v>
      </c>
      <c r="AR11" s="1">
        <v>0.2</v>
      </c>
      <c r="AS11" s="1">
        <f t="shared" si="17"/>
        <v>16.5</v>
      </c>
      <c r="AT11" s="3">
        <f t="shared" si="29"/>
        <v>-0.8212330302368378</v>
      </c>
      <c r="AU11" s="4">
        <f t="shared" si="30"/>
        <v>0.01</v>
      </c>
      <c r="AV11" s="29">
        <f t="shared" si="31"/>
        <v>-0.43222791065096727</v>
      </c>
    </row>
    <row r="12" spans="1:52" x14ac:dyDescent="0.5">
      <c r="A12" s="1">
        <v>2.5</v>
      </c>
      <c r="B12" s="1">
        <v>20</v>
      </c>
      <c r="C12" s="1">
        <f t="shared" si="0"/>
        <v>0</v>
      </c>
      <c r="D12" s="3">
        <f t="shared" si="1"/>
        <v>2.7492298213185458</v>
      </c>
      <c r="E12" s="18">
        <f t="shared" si="2"/>
        <v>1</v>
      </c>
      <c r="F12" s="28">
        <f t="shared" si="18"/>
        <v>1.0996919285274183</v>
      </c>
      <c r="G12" s="1">
        <v>2.5</v>
      </c>
      <c r="H12" s="1">
        <v>15</v>
      </c>
      <c r="I12" s="1">
        <f t="shared" si="3"/>
        <v>0.3125</v>
      </c>
      <c r="J12" s="3">
        <f t="shared" si="4"/>
        <v>1.8662270372114931</v>
      </c>
      <c r="K12" s="4">
        <f t="shared" si="5"/>
        <v>0.75</v>
      </c>
      <c r="L12" s="28">
        <f t="shared" si="19"/>
        <v>0.74649081488459723</v>
      </c>
      <c r="M12" s="1">
        <v>2.5</v>
      </c>
      <c r="N12" s="1">
        <v>12</v>
      </c>
      <c r="O12" s="1">
        <f t="shared" si="6"/>
        <v>0.61538461538461542</v>
      </c>
      <c r="P12" s="3">
        <f t="shared" si="7"/>
        <v>1.3335496622319241</v>
      </c>
      <c r="Q12" s="18">
        <f t="shared" si="8"/>
        <v>0.6</v>
      </c>
      <c r="R12" s="28">
        <f t="shared" si="20"/>
        <v>0.5334198648927696</v>
      </c>
      <c r="S12" s="1">
        <v>2.5</v>
      </c>
      <c r="T12" s="1">
        <v>10</v>
      </c>
      <c r="U12" s="1">
        <f t="shared" si="9"/>
        <v>0.90909090909090906</v>
      </c>
      <c r="V12" s="3">
        <f t="shared" si="10"/>
        <v>0.97722506129441977</v>
      </c>
      <c r="W12" s="18">
        <f t="shared" si="11"/>
        <v>0.5</v>
      </c>
      <c r="X12" s="28">
        <f t="shared" si="21"/>
        <v>0.39089002451776789</v>
      </c>
      <c r="Y12" s="1">
        <v>2.5</v>
      </c>
      <c r="Z12" s="1">
        <v>8</v>
      </c>
      <c r="AA12" s="1">
        <f t="shared" si="12"/>
        <v>1.3333333333333333</v>
      </c>
      <c r="AB12" s="3">
        <f t="shared" si="13"/>
        <v>0.61993078356553388</v>
      </c>
      <c r="AC12" s="18">
        <f t="shared" si="14"/>
        <v>0.4</v>
      </c>
      <c r="AD12" s="28">
        <f t="shared" si="22"/>
        <v>0.24797231342621356</v>
      </c>
      <c r="AE12" s="1">
        <v>2.5</v>
      </c>
      <c r="AF12" s="1">
        <v>5</v>
      </c>
      <c r="AG12" s="1">
        <f t="shared" si="15"/>
        <v>2.5</v>
      </c>
      <c r="AH12" s="3">
        <f t="shared" si="23"/>
        <v>8.2162546683265114E-2</v>
      </c>
      <c r="AI12" s="4">
        <f t="shared" si="24"/>
        <v>0.25</v>
      </c>
      <c r="AJ12" s="28">
        <f t="shared" si="25"/>
        <v>3.2865018673306046E-2</v>
      </c>
      <c r="AK12" s="1">
        <v>2.5</v>
      </c>
      <c r="AL12" s="1">
        <v>1</v>
      </c>
      <c r="AM12" s="1">
        <f t="shared" si="16"/>
        <v>9.5</v>
      </c>
      <c r="AN12" s="3">
        <f t="shared" si="26"/>
        <v>-0.63829281341021227</v>
      </c>
      <c r="AO12" s="4">
        <f t="shared" si="27"/>
        <v>0.05</v>
      </c>
      <c r="AP12" s="29">
        <f t="shared" si="28"/>
        <v>-0.25531712536408491</v>
      </c>
      <c r="AQ12" s="1">
        <v>2.5</v>
      </c>
      <c r="AR12" s="1">
        <v>0.2</v>
      </c>
      <c r="AS12" s="1">
        <f t="shared" si="17"/>
        <v>16.5</v>
      </c>
      <c r="AT12" s="3">
        <f t="shared" si="29"/>
        <v>-0.782856938943011</v>
      </c>
      <c r="AU12" s="4">
        <f t="shared" si="30"/>
        <v>0.01</v>
      </c>
      <c r="AV12" s="29">
        <f t="shared" si="31"/>
        <v>-0.31314277557720438</v>
      </c>
    </row>
    <row r="13" spans="1:52" x14ac:dyDescent="0.5">
      <c r="A13" s="1">
        <v>3.5</v>
      </c>
      <c r="B13" s="1">
        <v>20</v>
      </c>
      <c r="C13" s="1">
        <f t="shared" si="0"/>
        <v>0</v>
      </c>
      <c r="D13" s="3">
        <f t="shared" si="1"/>
        <v>3.8272270555079033</v>
      </c>
      <c r="E13" s="18">
        <f t="shared" si="2"/>
        <v>1</v>
      </c>
      <c r="F13" s="28">
        <f t="shared" si="18"/>
        <v>1.0934934444308295</v>
      </c>
      <c r="G13" s="1">
        <v>3.5</v>
      </c>
      <c r="H13" s="1">
        <v>15</v>
      </c>
      <c r="I13" s="1">
        <f t="shared" si="3"/>
        <v>0.3125</v>
      </c>
      <c r="J13" s="3">
        <f t="shared" si="4"/>
        <v>2.6952443485601725</v>
      </c>
      <c r="K13" s="4">
        <f t="shared" si="5"/>
        <v>0.75</v>
      </c>
      <c r="L13" s="28">
        <f t="shared" si="19"/>
        <v>0.77006981387433504</v>
      </c>
      <c r="M13" s="1">
        <v>3.5</v>
      </c>
      <c r="N13" s="1">
        <v>12</v>
      </c>
      <c r="O13" s="1">
        <f t="shared" si="6"/>
        <v>0.61538461538461542</v>
      </c>
      <c r="P13" s="3">
        <f t="shared" si="7"/>
        <v>2.0109116777292422</v>
      </c>
      <c r="Q13" s="18">
        <f t="shared" si="8"/>
        <v>0.6</v>
      </c>
      <c r="R13" s="28">
        <f t="shared" si="20"/>
        <v>0.57454619363692638</v>
      </c>
      <c r="S13" s="1">
        <v>3.5</v>
      </c>
      <c r="T13" s="1">
        <v>10</v>
      </c>
      <c r="U13" s="1">
        <f t="shared" si="9"/>
        <v>0.90909090909090906</v>
      </c>
      <c r="V13" s="3">
        <f t="shared" si="10"/>
        <v>1.5525266388252408</v>
      </c>
      <c r="W13" s="18">
        <f t="shared" si="11"/>
        <v>0.5</v>
      </c>
      <c r="X13" s="28">
        <f t="shared" si="21"/>
        <v>0.44357903966435452</v>
      </c>
      <c r="Y13" s="1">
        <v>3.5</v>
      </c>
      <c r="Z13" s="1">
        <v>8</v>
      </c>
      <c r="AA13" s="1">
        <f t="shared" si="12"/>
        <v>1.3333333333333333</v>
      </c>
      <c r="AB13" s="3">
        <f t="shared" si="13"/>
        <v>1.0923994830302921</v>
      </c>
      <c r="AC13" s="18">
        <f t="shared" si="14"/>
        <v>0.4</v>
      </c>
      <c r="AD13" s="28">
        <f t="shared" si="22"/>
        <v>0.3121141380086549</v>
      </c>
      <c r="AE13" s="1">
        <v>3.5</v>
      </c>
      <c r="AF13" s="1">
        <v>5</v>
      </c>
      <c r="AG13" s="1">
        <f t="shared" si="15"/>
        <v>2.5</v>
      </c>
      <c r="AH13" s="3">
        <f t="shared" si="23"/>
        <v>0.39892049288022435</v>
      </c>
      <c r="AI13" s="4">
        <f t="shared" si="24"/>
        <v>0.25</v>
      </c>
      <c r="AJ13" s="28">
        <f t="shared" si="25"/>
        <v>0.1139772836800641</v>
      </c>
      <c r="AK13" s="1">
        <v>3.5</v>
      </c>
      <c r="AL13" s="1">
        <v>1</v>
      </c>
      <c r="AM13" s="1">
        <f t="shared" si="16"/>
        <v>9.5</v>
      </c>
      <c r="AN13" s="3">
        <f t="shared" si="26"/>
        <v>-0.53190907902710283</v>
      </c>
      <c r="AO13" s="4">
        <f t="shared" si="27"/>
        <v>0.05</v>
      </c>
      <c r="AP13" s="29">
        <f t="shared" si="28"/>
        <v>-0.15197402257917222</v>
      </c>
      <c r="AQ13" s="1">
        <v>3.5</v>
      </c>
      <c r="AR13" s="1">
        <v>0.2</v>
      </c>
      <c r="AS13" s="1">
        <f t="shared" si="17"/>
        <v>16.5</v>
      </c>
      <c r="AT13" s="3">
        <f t="shared" si="29"/>
        <v>-0.71893037292827533</v>
      </c>
      <c r="AU13" s="4">
        <f t="shared" si="30"/>
        <v>0.01</v>
      </c>
      <c r="AV13" s="29">
        <f t="shared" si="31"/>
        <v>-0.20540867797950724</v>
      </c>
    </row>
    <row r="14" spans="1:52" x14ac:dyDescent="0.5">
      <c r="A14" s="1">
        <v>5</v>
      </c>
      <c r="B14" s="1">
        <v>20</v>
      </c>
      <c r="C14" s="1">
        <f t="shared" si="0"/>
        <v>0</v>
      </c>
      <c r="D14" s="3">
        <f t="shared" si="1"/>
        <v>5.4216281895504244</v>
      </c>
      <c r="E14" s="18">
        <f t="shared" si="2"/>
        <v>1</v>
      </c>
      <c r="F14" s="28">
        <f t="shared" si="18"/>
        <v>1.084325637910085</v>
      </c>
      <c r="G14" s="1">
        <v>5</v>
      </c>
      <c r="H14" s="1">
        <v>15</v>
      </c>
      <c r="I14" s="1">
        <f t="shared" si="3"/>
        <v>0.3125</v>
      </c>
      <c r="J14" s="3">
        <f t="shared" si="4"/>
        <v>3.9254426840633734</v>
      </c>
      <c r="K14" s="4">
        <f t="shared" si="5"/>
        <v>0.75</v>
      </c>
      <c r="L14" s="28">
        <f t="shared" si="19"/>
        <v>0.78508853681267465</v>
      </c>
      <c r="M14" s="1">
        <v>5</v>
      </c>
      <c r="N14" s="1">
        <v>12</v>
      </c>
      <c r="O14" s="1">
        <f t="shared" si="6"/>
        <v>0.61538461538461542</v>
      </c>
      <c r="P14" s="3">
        <f t="shared" si="7"/>
        <v>3.0180712322358025</v>
      </c>
      <c r="Q14" s="18">
        <f t="shared" si="8"/>
        <v>0.6</v>
      </c>
      <c r="R14" s="28">
        <f t="shared" si="20"/>
        <v>0.60361424644716055</v>
      </c>
      <c r="S14" s="1">
        <v>5</v>
      </c>
      <c r="T14" s="1">
        <v>10</v>
      </c>
      <c r="U14" s="1">
        <f t="shared" si="9"/>
        <v>0.90909090909090906</v>
      </c>
      <c r="V14" s="3">
        <f t="shared" si="10"/>
        <v>2.4090775816571859</v>
      </c>
      <c r="W14" s="18">
        <f t="shared" si="11"/>
        <v>0.5</v>
      </c>
      <c r="X14" s="28">
        <f t="shared" si="21"/>
        <v>0.48181551633143715</v>
      </c>
      <c r="Y14" s="1">
        <v>5</v>
      </c>
      <c r="Z14" s="1">
        <v>8</v>
      </c>
      <c r="AA14" s="1">
        <f t="shared" si="12"/>
        <v>1.3333333333333333</v>
      </c>
      <c r="AB14" s="3">
        <f t="shared" si="13"/>
        <v>1.7967895572411361</v>
      </c>
      <c r="AC14" s="18">
        <f t="shared" si="14"/>
        <v>0.4</v>
      </c>
      <c r="AD14" s="28">
        <f t="shared" si="22"/>
        <v>0.35935791144822721</v>
      </c>
      <c r="AE14" s="1">
        <v>5</v>
      </c>
      <c r="AF14" s="1">
        <v>5</v>
      </c>
      <c r="AG14" s="1">
        <f t="shared" si="15"/>
        <v>2.5</v>
      </c>
      <c r="AH14" s="3">
        <f t="shared" si="23"/>
        <v>0.87212185618136728</v>
      </c>
      <c r="AI14" s="4">
        <f t="shared" si="24"/>
        <v>0.25</v>
      </c>
      <c r="AJ14" s="28">
        <f t="shared" si="25"/>
        <v>0.17442437123627347</v>
      </c>
      <c r="AK14" s="1">
        <v>5</v>
      </c>
      <c r="AL14" s="1">
        <v>1</v>
      </c>
      <c r="AM14" s="1">
        <f t="shared" si="16"/>
        <v>9.5</v>
      </c>
      <c r="AN14" s="3">
        <f t="shared" si="26"/>
        <v>-0.37255134750089042</v>
      </c>
      <c r="AO14" s="4">
        <f t="shared" si="27"/>
        <v>0.05</v>
      </c>
      <c r="AP14" s="29">
        <f t="shared" si="28"/>
        <v>-7.4510269500178083E-2</v>
      </c>
      <c r="AQ14" s="1">
        <v>5</v>
      </c>
      <c r="AR14" s="1">
        <v>0.2</v>
      </c>
      <c r="AS14" s="1">
        <f t="shared" si="17"/>
        <v>16.5</v>
      </c>
      <c r="AT14" s="3">
        <f t="shared" si="29"/>
        <v>-0.6231191613777366</v>
      </c>
      <c r="AU14" s="4">
        <f t="shared" si="30"/>
        <v>0.01</v>
      </c>
      <c r="AV14" s="29">
        <f t="shared" si="31"/>
        <v>-0.12462383227554732</v>
      </c>
    </row>
    <row r="15" spans="1:52" x14ac:dyDescent="0.5">
      <c r="A15" s="1">
        <v>8</v>
      </c>
      <c r="B15" s="1">
        <v>20</v>
      </c>
      <c r="C15" s="1">
        <f t="shared" si="0"/>
        <v>0</v>
      </c>
      <c r="D15" s="3">
        <f t="shared" si="1"/>
        <v>8.5315487571701709</v>
      </c>
      <c r="E15" s="18">
        <f t="shared" si="2"/>
        <v>1</v>
      </c>
      <c r="F15" s="28">
        <f t="shared" si="18"/>
        <v>1.0664435946462714</v>
      </c>
      <c r="G15" s="1">
        <v>8</v>
      </c>
      <c r="H15" s="1">
        <v>15</v>
      </c>
      <c r="I15" s="1">
        <f t="shared" si="3"/>
        <v>0.3125</v>
      </c>
      <c r="J15" s="3">
        <f t="shared" si="4"/>
        <v>6.3389768126610226</v>
      </c>
      <c r="K15" s="4">
        <f t="shared" si="5"/>
        <v>0.75</v>
      </c>
      <c r="L15" s="28">
        <f t="shared" si="19"/>
        <v>0.79237210158262783</v>
      </c>
      <c r="M15" s="1">
        <v>8</v>
      </c>
      <c r="N15" s="1">
        <v>12</v>
      </c>
      <c r="O15" s="1">
        <f t="shared" si="6"/>
        <v>0.61538461538461542</v>
      </c>
      <c r="P15" s="3">
        <f t="shared" si="7"/>
        <v>5.0010186128345211</v>
      </c>
      <c r="Q15" s="18">
        <f t="shared" si="8"/>
        <v>0.6</v>
      </c>
      <c r="R15" s="28">
        <f t="shared" si="20"/>
        <v>0.62512732660431514</v>
      </c>
      <c r="S15" s="1">
        <v>8</v>
      </c>
      <c r="T15" s="1">
        <v>10</v>
      </c>
      <c r="U15" s="1">
        <f t="shared" si="9"/>
        <v>0.90909090909090906</v>
      </c>
      <c r="V15" s="3">
        <f t="shared" si="10"/>
        <v>4.0995071142936856</v>
      </c>
      <c r="W15" s="18">
        <f t="shared" si="11"/>
        <v>0.5</v>
      </c>
      <c r="X15" s="28">
        <f t="shared" si="21"/>
        <v>0.5124383892867107</v>
      </c>
      <c r="Y15" s="1">
        <v>8</v>
      </c>
      <c r="Z15" s="1">
        <v>8</v>
      </c>
      <c r="AA15" s="1">
        <f t="shared" si="12"/>
        <v>1.3333333333333333</v>
      </c>
      <c r="AB15" s="3">
        <f t="shared" si="13"/>
        <v>3.1902493695713092</v>
      </c>
      <c r="AC15" s="18">
        <f t="shared" si="14"/>
        <v>0.4</v>
      </c>
      <c r="AD15" s="28">
        <f t="shared" si="22"/>
        <v>0.39878117119641365</v>
      </c>
      <c r="AE15" s="1">
        <v>8</v>
      </c>
      <c r="AF15" s="1">
        <v>5</v>
      </c>
      <c r="AG15" s="1">
        <f t="shared" si="15"/>
        <v>2.5</v>
      </c>
      <c r="AH15" s="3">
        <f t="shared" si="23"/>
        <v>1.811618725324309</v>
      </c>
      <c r="AI15" s="4">
        <f t="shared" si="24"/>
        <v>0.25</v>
      </c>
      <c r="AJ15" s="28">
        <f t="shared" si="25"/>
        <v>0.22645234066553863</v>
      </c>
      <c r="AK15" s="1">
        <v>8</v>
      </c>
      <c r="AL15" s="1">
        <v>1</v>
      </c>
      <c r="AM15" s="1">
        <f t="shared" si="16"/>
        <v>9.5</v>
      </c>
      <c r="AN15" s="3">
        <f t="shared" si="26"/>
        <v>-5.4617864593210746E-2</v>
      </c>
      <c r="AO15" s="4">
        <f t="shared" si="27"/>
        <v>0.05</v>
      </c>
      <c r="AP15" s="29">
        <f t="shared" si="28"/>
        <v>-6.8272330741513433E-3</v>
      </c>
      <c r="AQ15" s="1">
        <v>8</v>
      </c>
      <c r="AR15" s="1">
        <v>0.2</v>
      </c>
      <c r="AS15" s="1">
        <f t="shared" si="17"/>
        <v>16.5</v>
      </c>
      <c r="AT15" s="3">
        <f t="shared" si="29"/>
        <v>-0.43177932292260351</v>
      </c>
      <c r="AU15" s="4">
        <f t="shared" si="30"/>
        <v>0.01</v>
      </c>
      <c r="AV15" s="29">
        <f t="shared" si="31"/>
        <v>-5.3972415365325439E-2</v>
      </c>
    </row>
    <row r="16" spans="1:52" x14ac:dyDescent="0.5">
      <c r="A16" s="1">
        <v>10</v>
      </c>
      <c r="B16" s="1">
        <v>20</v>
      </c>
      <c r="C16" s="1">
        <f t="shared" si="0"/>
        <v>0</v>
      </c>
      <c r="D16" s="3">
        <f t="shared" si="1"/>
        <v>10.548463356973993</v>
      </c>
      <c r="E16" s="18">
        <f t="shared" si="2"/>
        <v>1</v>
      </c>
      <c r="F16" s="28">
        <f t="shared" si="18"/>
        <v>1.0548463356973994</v>
      </c>
      <c r="G16" s="1">
        <v>10</v>
      </c>
      <c r="H16" s="1">
        <v>15</v>
      </c>
      <c r="I16" s="1">
        <f t="shared" si="3"/>
        <v>0.3125</v>
      </c>
      <c r="J16" s="3">
        <f t="shared" si="4"/>
        <v>7.9142335766423351</v>
      </c>
      <c r="K16" s="4">
        <f t="shared" si="5"/>
        <v>0.75</v>
      </c>
      <c r="L16" s="28">
        <f t="shared" si="19"/>
        <v>0.79142335766423355</v>
      </c>
      <c r="M16" s="1">
        <v>10</v>
      </c>
      <c r="N16" s="1">
        <v>12</v>
      </c>
      <c r="O16" s="1">
        <f t="shared" si="6"/>
        <v>0.61538461538461542</v>
      </c>
      <c r="P16" s="3">
        <f t="shared" si="7"/>
        <v>6.3002643982066902</v>
      </c>
      <c r="Q16" s="18">
        <f t="shared" si="8"/>
        <v>0.6</v>
      </c>
      <c r="R16" s="28">
        <f t="shared" si="20"/>
        <v>0.63002643982066897</v>
      </c>
      <c r="S16" s="1">
        <v>10</v>
      </c>
      <c r="T16" s="1">
        <v>10</v>
      </c>
      <c r="U16" s="1">
        <f t="shared" si="9"/>
        <v>0.90909090909090906</v>
      </c>
      <c r="V16" s="3">
        <f t="shared" si="10"/>
        <v>5.2099849763087942</v>
      </c>
      <c r="W16" s="18">
        <f t="shared" si="11"/>
        <v>0.5</v>
      </c>
      <c r="X16" s="28">
        <f t="shared" si="21"/>
        <v>0.52099849763087946</v>
      </c>
      <c r="Y16" s="1">
        <v>10</v>
      </c>
      <c r="Z16" s="1">
        <v>8</v>
      </c>
      <c r="AA16" s="1">
        <f t="shared" si="12"/>
        <v>1.3333333333333333</v>
      </c>
      <c r="AB16" s="3">
        <f t="shared" si="13"/>
        <v>4.1080515859184379</v>
      </c>
      <c r="AC16" s="18">
        <f t="shared" si="14"/>
        <v>0.4</v>
      </c>
      <c r="AD16" s="28">
        <f t="shared" si="22"/>
        <v>0.4108051585918438</v>
      </c>
      <c r="AE16" s="1">
        <v>10</v>
      </c>
      <c r="AF16" s="1">
        <v>5</v>
      </c>
      <c r="AG16" s="1">
        <f t="shared" si="15"/>
        <v>2.5</v>
      </c>
      <c r="AH16" s="3">
        <f t="shared" si="23"/>
        <v>2.4328882642304985</v>
      </c>
      <c r="AI16" s="4">
        <f t="shared" si="24"/>
        <v>0.25</v>
      </c>
      <c r="AJ16" s="28">
        <f t="shared" si="25"/>
        <v>0.24328882642304986</v>
      </c>
      <c r="AK16" s="1">
        <v>10</v>
      </c>
      <c r="AL16" s="1">
        <v>1</v>
      </c>
      <c r="AM16" s="1">
        <f t="shared" si="16"/>
        <v>9.5</v>
      </c>
      <c r="AN16" s="3">
        <f t="shared" si="26"/>
        <v>0.15676059673218087</v>
      </c>
      <c r="AO16" s="4">
        <f t="shared" si="27"/>
        <v>0.05</v>
      </c>
      <c r="AP16" s="28">
        <f t="shared" si="28"/>
        <v>1.5676059673218088E-2</v>
      </c>
      <c r="AQ16" s="1">
        <v>10</v>
      </c>
      <c r="AR16" s="1">
        <v>0.2</v>
      </c>
      <c r="AS16" s="1">
        <f t="shared" si="17"/>
        <v>16.5</v>
      </c>
      <c r="AT16" s="3">
        <f t="shared" si="29"/>
        <v>-0.30442830699131429</v>
      </c>
      <c r="AU16" s="4">
        <f t="shared" si="30"/>
        <v>0.01</v>
      </c>
      <c r="AV16" s="29">
        <f t="shared" si="31"/>
        <v>-3.044283069913143E-2</v>
      </c>
    </row>
    <row r="17" spans="1:48" x14ac:dyDescent="0.5">
      <c r="A17" s="1">
        <v>13</v>
      </c>
      <c r="B17" s="1">
        <v>20</v>
      </c>
      <c r="C17" s="1">
        <f t="shared" si="0"/>
        <v>0</v>
      </c>
      <c r="D17" s="3">
        <f t="shared" si="1"/>
        <v>13.492905326820189</v>
      </c>
      <c r="E17" s="18">
        <f t="shared" si="2"/>
        <v>1</v>
      </c>
      <c r="F17" s="28">
        <f t="shared" si="18"/>
        <v>1.0379157943707837</v>
      </c>
      <c r="G17" s="1">
        <v>13</v>
      </c>
      <c r="H17" s="1">
        <v>15</v>
      </c>
      <c r="I17" s="1">
        <f t="shared" si="3"/>
        <v>0.3125</v>
      </c>
      <c r="J17" s="3">
        <f t="shared" si="4"/>
        <v>10.228149216074968</v>
      </c>
      <c r="K17" s="4">
        <f t="shared" si="5"/>
        <v>0.75</v>
      </c>
      <c r="L17" s="28">
        <f t="shared" si="19"/>
        <v>0.78678070892884366</v>
      </c>
      <c r="M17" s="1">
        <v>13</v>
      </c>
      <c r="N17" s="1">
        <v>12</v>
      </c>
      <c r="O17" s="1">
        <f t="shared" si="6"/>
        <v>0.61538461538461542</v>
      </c>
      <c r="P17" s="3">
        <f t="shared" si="7"/>
        <v>8.2159818858306686</v>
      </c>
      <c r="Q17" s="18">
        <f t="shared" si="8"/>
        <v>0.6</v>
      </c>
      <c r="R17" s="28">
        <f t="shared" si="20"/>
        <v>0.63199860660235907</v>
      </c>
      <c r="S17" s="1">
        <v>13</v>
      </c>
      <c r="T17" s="1">
        <v>10</v>
      </c>
      <c r="U17" s="1">
        <f t="shared" si="9"/>
        <v>0.90909090909090906</v>
      </c>
      <c r="V17" s="3">
        <f t="shared" si="10"/>
        <v>6.8515620524922953</v>
      </c>
      <c r="W17" s="18">
        <f t="shared" si="11"/>
        <v>0.5</v>
      </c>
      <c r="X17" s="28">
        <f t="shared" si="21"/>
        <v>0.52704323480709969</v>
      </c>
      <c r="Y17" s="1">
        <v>13</v>
      </c>
      <c r="Z17" s="1">
        <v>8</v>
      </c>
      <c r="AA17" s="1">
        <f t="shared" si="12"/>
        <v>1.3333333333333333</v>
      </c>
      <c r="AB17" s="3">
        <f t="shared" si="13"/>
        <v>5.4683185105720327</v>
      </c>
      <c r="AC17" s="18">
        <f t="shared" si="14"/>
        <v>0.4</v>
      </c>
      <c r="AD17" s="28">
        <f t="shared" si="22"/>
        <v>0.42063988542861791</v>
      </c>
      <c r="AE17" s="1">
        <v>13</v>
      </c>
      <c r="AF17" s="1">
        <v>5</v>
      </c>
      <c r="AG17" s="1">
        <f t="shared" si="15"/>
        <v>2.5</v>
      </c>
      <c r="AH17" s="3">
        <f t="shared" si="23"/>
        <v>3.3572977131267923</v>
      </c>
      <c r="AI17" s="4">
        <f t="shared" si="24"/>
        <v>0.25</v>
      </c>
      <c r="AJ17" s="28">
        <f t="shared" si="25"/>
        <v>0.25825367024052248</v>
      </c>
      <c r="AK17" s="1">
        <v>13</v>
      </c>
      <c r="AL17" s="1">
        <v>1</v>
      </c>
      <c r="AM17" s="1">
        <f t="shared" si="16"/>
        <v>9.5</v>
      </c>
      <c r="AN17" s="3">
        <f t="shared" si="26"/>
        <v>0.47296626397787184</v>
      </c>
      <c r="AO17" s="4">
        <f t="shared" si="27"/>
        <v>0.05</v>
      </c>
      <c r="AP17" s="28">
        <f t="shared" si="28"/>
        <v>3.6382020305990144E-2</v>
      </c>
      <c r="AQ17" s="1">
        <v>13</v>
      </c>
      <c r="AR17" s="1">
        <v>0.2</v>
      </c>
      <c r="AS17" s="1">
        <f t="shared" si="17"/>
        <v>16.5</v>
      </c>
      <c r="AT17" s="3">
        <f t="shared" si="29"/>
        <v>-0.11371427758574089</v>
      </c>
      <c r="AU17" s="4">
        <f t="shared" si="30"/>
        <v>0.01</v>
      </c>
      <c r="AV17" s="29">
        <f t="shared" si="31"/>
        <v>-8.7472521219800689E-3</v>
      </c>
    </row>
    <row r="18" spans="1:48" x14ac:dyDescent="0.5">
      <c r="A18" s="1">
        <v>15</v>
      </c>
      <c r="B18" s="1">
        <v>20</v>
      </c>
      <c r="C18" s="1">
        <f t="shared" si="0"/>
        <v>0</v>
      </c>
      <c r="D18" s="3">
        <f t="shared" si="1"/>
        <v>15.403912543153048</v>
      </c>
      <c r="E18" s="18">
        <f t="shared" si="2"/>
        <v>1</v>
      </c>
      <c r="F18" s="28">
        <f t="shared" si="18"/>
        <v>1.0269275028768698</v>
      </c>
      <c r="G18" s="1">
        <v>15</v>
      </c>
      <c r="H18" s="1">
        <v>15</v>
      </c>
      <c r="I18" s="1">
        <f t="shared" si="3"/>
        <v>0.3125</v>
      </c>
      <c r="J18" s="3">
        <f t="shared" si="4"/>
        <v>11.739052725647898</v>
      </c>
      <c r="K18" s="4">
        <f t="shared" si="5"/>
        <v>0.75</v>
      </c>
      <c r="L18" s="28">
        <f t="shared" si="19"/>
        <v>0.78260351504319325</v>
      </c>
      <c r="M18" s="1">
        <v>15</v>
      </c>
      <c r="N18" s="1">
        <v>12</v>
      </c>
      <c r="O18" s="1">
        <f t="shared" si="6"/>
        <v>0.61538461538461542</v>
      </c>
      <c r="P18" s="3">
        <f t="shared" si="7"/>
        <v>9.4715488500875828</v>
      </c>
      <c r="Q18" s="18">
        <f t="shared" si="8"/>
        <v>0.6</v>
      </c>
      <c r="R18" s="28">
        <f t="shared" si="20"/>
        <v>0.63143659000583885</v>
      </c>
      <c r="S18" s="1">
        <v>15</v>
      </c>
      <c r="T18" s="1">
        <v>10</v>
      </c>
      <c r="U18" s="1">
        <f t="shared" si="9"/>
        <v>0.90909090909090906</v>
      </c>
      <c r="V18" s="3">
        <f t="shared" si="10"/>
        <v>7.930178256164929</v>
      </c>
      <c r="W18" s="18">
        <f t="shared" si="11"/>
        <v>0.5</v>
      </c>
      <c r="X18" s="28">
        <f t="shared" si="21"/>
        <v>0.52867855041099532</v>
      </c>
      <c r="Y18" s="1">
        <v>15</v>
      </c>
      <c r="Z18" s="1">
        <v>8</v>
      </c>
      <c r="AA18" s="1">
        <f t="shared" si="12"/>
        <v>1.3333333333333333</v>
      </c>
      <c r="AB18" s="3">
        <f t="shared" si="13"/>
        <v>6.3643878078181499</v>
      </c>
      <c r="AC18" s="18">
        <f t="shared" si="14"/>
        <v>0.4</v>
      </c>
      <c r="AD18" s="28">
        <f t="shared" si="22"/>
        <v>0.42429252052120997</v>
      </c>
      <c r="AE18" s="1">
        <v>15</v>
      </c>
      <c r="AF18" s="1">
        <v>5</v>
      </c>
      <c r="AG18" s="1">
        <f t="shared" si="15"/>
        <v>2.5</v>
      </c>
      <c r="AH18" s="3">
        <f t="shared" si="23"/>
        <v>3.9686301847333558</v>
      </c>
      <c r="AI18" s="4">
        <f t="shared" si="24"/>
        <v>0.25</v>
      </c>
      <c r="AJ18" s="28">
        <f t="shared" si="25"/>
        <v>0.2645753456488904</v>
      </c>
      <c r="AK18" s="1">
        <v>15</v>
      </c>
      <c r="AL18" s="1">
        <v>1</v>
      </c>
      <c r="AM18" s="1">
        <f t="shared" si="16"/>
        <v>9.5</v>
      </c>
      <c r="AN18" s="3">
        <f t="shared" si="26"/>
        <v>0.68319754398394128</v>
      </c>
      <c r="AO18" s="4">
        <f t="shared" si="27"/>
        <v>0.05</v>
      </c>
      <c r="AP18" s="28">
        <f t="shared" si="28"/>
        <v>4.5546502932262749E-2</v>
      </c>
      <c r="AQ18" s="1">
        <v>15</v>
      </c>
      <c r="AR18" s="1">
        <v>0.2</v>
      </c>
      <c r="AS18" s="1">
        <f t="shared" si="17"/>
        <v>16.5</v>
      </c>
      <c r="AT18" s="3">
        <f t="shared" si="29"/>
        <v>1.3220555831970895E-2</v>
      </c>
      <c r="AU18" s="4">
        <f t="shared" si="30"/>
        <v>0.01</v>
      </c>
      <c r="AV18" s="28">
        <f t="shared" si="31"/>
        <v>8.8137038879805964E-4</v>
      </c>
    </row>
    <row r="19" spans="1:48" x14ac:dyDescent="0.5">
      <c r="A19" s="1">
        <v>18</v>
      </c>
      <c r="B19" s="1">
        <v>20</v>
      </c>
      <c r="C19" s="1">
        <f t="shared" si="0"/>
        <v>0</v>
      </c>
      <c r="D19" s="3">
        <f t="shared" si="1"/>
        <v>18.195740824648848</v>
      </c>
      <c r="E19" s="18">
        <f t="shared" si="2"/>
        <v>1</v>
      </c>
      <c r="F19" s="28">
        <f t="shared" si="18"/>
        <v>1.0108744902582694</v>
      </c>
      <c r="G19" s="1">
        <v>18</v>
      </c>
      <c r="H19" s="1">
        <v>15</v>
      </c>
      <c r="I19" s="1">
        <f t="shared" si="3"/>
        <v>0.3125</v>
      </c>
      <c r="J19" s="3">
        <f t="shared" si="4"/>
        <v>13.959392655367234</v>
      </c>
      <c r="K19" s="4">
        <f t="shared" si="5"/>
        <v>0.75</v>
      </c>
      <c r="L19" s="28">
        <f t="shared" si="19"/>
        <v>0.77552181418706856</v>
      </c>
      <c r="M19" s="1">
        <v>18</v>
      </c>
      <c r="N19" s="1">
        <v>12</v>
      </c>
      <c r="O19" s="1">
        <f t="shared" si="6"/>
        <v>0.61538461538461542</v>
      </c>
      <c r="P19" s="3">
        <f t="shared" si="7"/>
        <v>11.323398447114631</v>
      </c>
      <c r="Q19" s="18">
        <f t="shared" si="8"/>
        <v>0.6</v>
      </c>
      <c r="R19" s="28">
        <f t="shared" si="20"/>
        <v>0.62907769150636839</v>
      </c>
      <c r="S19" s="1">
        <v>18</v>
      </c>
      <c r="T19" s="1">
        <v>10</v>
      </c>
      <c r="U19" s="1">
        <f t="shared" si="9"/>
        <v>0.90909090909090906</v>
      </c>
      <c r="V19" s="3">
        <f t="shared" si="10"/>
        <v>9.5249904013370372</v>
      </c>
      <c r="W19" s="18">
        <f t="shared" si="11"/>
        <v>0.5</v>
      </c>
      <c r="X19" s="28">
        <f t="shared" si="21"/>
        <v>0.5291661334076132</v>
      </c>
      <c r="Y19" s="1">
        <v>18</v>
      </c>
      <c r="Z19" s="1">
        <v>8</v>
      </c>
      <c r="AA19" s="1">
        <f t="shared" si="12"/>
        <v>1.3333333333333333</v>
      </c>
      <c r="AB19" s="3">
        <f t="shared" si="13"/>
        <v>7.6926338827713581</v>
      </c>
      <c r="AC19" s="18">
        <f t="shared" si="14"/>
        <v>0.4</v>
      </c>
      <c r="AD19" s="28">
        <f t="shared" si="22"/>
        <v>0.42736854904285321</v>
      </c>
      <c r="AE19" s="1">
        <v>18</v>
      </c>
      <c r="AF19" s="1">
        <v>5</v>
      </c>
      <c r="AG19" s="1">
        <f t="shared" si="15"/>
        <v>2.5</v>
      </c>
      <c r="AH19" s="3">
        <f t="shared" si="23"/>
        <v>4.878312751491606</v>
      </c>
      <c r="AI19" s="4">
        <f t="shared" si="24"/>
        <v>0.25</v>
      </c>
      <c r="AJ19" s="28">
        <f t="shared" si="25"/>
        <v>0.271017375082867</v>
      </c>
      <c r="AK19" s="1">
        <v>18</v>
      </c>
      <c r="AL19" s="1">
        <v>1</v>
      </c>
      <c r="AM19" s="1">
        <f t="shared" si="16"/>
        <v>9.5</v>
      </c>
      <c r="AN19" s="3">
        <f t="shared" si="26"/>
        <v>0.99768944216532285</v>
      </c>
      <c r="AO19" s="4">
        <f t="shared" si="27"/>
        <v>0.05</v>
      </c>
      <c r="AP19" s="28">
        <f t="shared" si="28"/>
        <v>5.5427191231406825E-2</v>
      </c>
      <c r="AQ19" s="1">
        <v>18</v>
      </c>
      <c r="AR19" s="1">
        <v>0.2</v>
      </c>
      <c r="AS19" s="1">
        <f t="shared" si="17"/>
        <v>16.5</v>
      </c>
      <c r="AT19" s="3">
        <f t="shared" si="29"/>
        <v>0.20331184139517713</v>
      </c>
      <c r="AU19" s="4">
        <f t="shared" si="30"/>
        <v>0.01</v>
      </c>
      <c r="AV19" s="28">
        <f t="shared" si="31"/>
        <v>1.1295102299732063E-2</v>
      </c>
    </row>
    <row r="20" spans="1:48" x14ac:dyDescent="0.5">
      <c r="A20" s="1">
        <v>20</v>
      </c>
      <c r="B20" s="1">
        <v>20</v>
      </c>
      <c r="C20" s="1">
        <f t="shared" si="0"/>
        <v>0</v>
      </c>
      <c r="D20" s="3">
        <f t="shared" si="1"/>
        <v>20.00896860986547</v>
      </c>
      <c r="E20" s="18">
        <f t="shared" si="2"/>
        <v>1</v>
      </c>
      <c r="F20" s="28">
        <f t="shared" si="18"/>
        <v>1.0004484304932735</v>
      </c>
      <c r="G20" s="1">
        <v>20</v>
      </c>
      <c r="H20" s="1">
        <v>15</v>
      </c>
      <c r="I20" s="1">
        <f t="shared" si="3"/>
        <v>0.3125</v>
      </c>
      <c r="J20" s="3">
        <f t="shared" si="4"/>
        <v>15.409807355516637</v>
      </c>
      <c r="K20" s="4">
        <f t="shared" si="5"/>
        <v>0.75</v>
      </c>
      <c r="L20" s="28">
        <f t="shared" si="19"/>
        <v>0.77049036777583191</v>
      </c>
      <c r="M20" s="1">
        <v>20</v>
      </c>
      <c r="N20" s="1">
        <v>12</v>
      </c>
      <c r="O20" s="1">
        <f t="shared" si="6"/>
        <v>0.61538461538461542</v>
      </c>
      <c r="P20" s="3">
        <f t="shared" si="7"/>
        <v>12.537452767281616</v>
      </c>
      <c r="Q20" s="18">
        <f t="shared" si="8"/>
        <v>0.6</v>
      </c>
      <c r="R20" s="28">
        <f t="shared" si="20"/>
        <v>0.6268726383640808</v>
      </c>
      <c r="S20" s="1">
        <v>20</v>
      </c>
      <c r="T20" s="1">
        <v>10</v>
      </c>
      <c r="U20" s="1">
        <f t="shared" si="9"/>
        <v>0.90909090909090906</v>
      </c>
      <c r="V20" s="3">
        <f t="shared" si="10"/>
        <v>10.573096788681784</v>
      </c>
      <c r="W20" s="18">
        <f t="shared" si="11"/>
        <v>0.5</v>
      </c>
      <c r="X20" s="28">
        <f t="shared" si="21"/>
        <v>0.5286548394340892</v>
      </c>
      <c r="Y20" s="1">
        <v>20</v>
      </c>
      <c r="Z20" s="1">
        <v>8</v>
      </c>
      <c r="AA20" s="1">
        <f t="shared" si="12"/>
        <v>1.3333333333333333</v>
      </c>
      <c r="AB20" s="3">
        <f t="shared" si="13"/>
        <v>8.5677331518039477</v>
      </c>
      <c r="AC20" s="18">
        <f t="shared" si="14"/>
        <v>0.4</v>
      </c>
      <c r="AD20" s="28">
        <f t="shared" si="22"/>
        <v>0.42838665759019739</v>
      </c>
      <c r="AE20" s="1">
        <v>20</v>
      </c>
      <c r="AF20" s="1">
        <v>5</v>
      </c>
      <c r="AG20" s="1">
        <f t="shared" si="15"/>
        <v>2.5</v>
      </c>
      <c r="AH20" s="3">
        <f t="shared" si="23"/>
        <v>5.479944674965421</v>
      </c>
      <c r="AI20" s="4">
        <f t="shared" si="24"/>
        <v>0.25</v>
      </c>
      <c r="AJ20" s="28">
        <f t="shared" si="25"/>
        <v>0.27399723374827106</v>
      </c>
      <c r="AK20" s="1">
        <v>20</v>
      </c>
      <c r="AL20" s="1">
        <v>1</v>
      </c>
      <c r="AM20" s="1">
        <f t="shared" si="16"/>
        <v>9.5</v>
      </c>
      <c r="AN20" s="3">
        <f t="shared" si="26"/>
        <v>1.206782854451248</v>
      </c>
      <c r="AO20" s="4">
        <f t="shared" si="27"/>
        <v>0.05</v>
      </c>
      <c r="AP20" s="28">
        <f t="shared" si="28"/>
        <v>6.0339142722562397E-2</v>
      </c>
      <c r="AQ20" s="1">
        <v>20</v>
      </c>
      <c r="AR20" s="1">
        <v>0.2</v>
      </c>
      <c r="AS20" s="1">
        <f t="shared" si="17"/>
        <v>16.5</v>
      </c>
      <c r="AT20" s="3">
        <f t="shared" si="29"/>
        <v>0.32983252909452165</v>
      </c>
      <c r="AU20" s="4">
        <f t="shared" si="30"/>
        <v>0.01</v>
      </c>
      <c r="AV20" s="28">
        <f t="shared" si="31"/>
        <v>1.6491626454726082E-2</v>
      </c>
    </row>
    <row r="24" spans="1:48" x14ac:dyDescent="0.5">
      <c r="A24" s="1" t="s">
        <v>75</v>
      </c>
      <c r="B24" s="1" t="s">
        <v>101</v>
      </c>
      <c r="C24" s="1" t="s">
        <v>102</v>
      </c>
      <c r="D24" s="1" t="s">
        <v>103</v>
      </c>
      <c r="G24" s="1"/>
      <c r="H24" s="1"/>
      <c r="K24"/>
      <c r="L24"/>
      <c r="M24" s="1"/>
      <c r="N24" s="1"/>
    </row>
    <row r="25" spans="1:48" x14ac:dyDescent="0.5">
      <c r="A25" s="1">
        <v>0.2</v>
      </c>
      <c r="B25" s="1">
        <f>A25/20</f>
        <v>0.01</v>
      </c>
      <c r="C25" s="1">
        <f>1/B25</f>
        <v>100</v>
      </c>
      <c r="D25" s="1">
        <v>14</v>
      </c>
      <c r="E25" s="1">
        <f>C25-D25</f>
        <v>86</v>
      </c>
      <c r="G25" s="1"/>
      <c r="H25" s="1"/>
      <c r="K25"/>
      <c r="L25"/>
      <c r="M25" s="1"/>
      <c r="N25" s="1"/>
    </row>
    <row r="26" spans="1:48" x14ac:dyDescent="0.5">
      <c r="A26" s="1">
        <v>1</v>
      </c>
      <c r="B26" s="1">
        <f t="shared" ref="B26:B32" si="32">A26/20</f>
        <v>0.05</v>
      </c>
      <c r="C26" s="1">
        <f t="shared" ref="C26:C32" si="33">1/B26</f>
        <v>20</v>
      </c>
      <c r="D26" s="1">
        <v>8.1999999999999993</v>
      </c>
      <c r="E26" s="1">
        <f t="shared" ref="E26:E32" si="34">C26-D26</f>
        <v>11.8</v>
      </c>
      <c r="G26" s="1"/>
      <c r="H26" s="1"/>
      <c r="K26"/>
      <c r="L26"/>
      <c r="M26" s="1"/>
      <c r="N26" s="1"/>
    </row>
    <row r="27" spans="1:48" x14ac:dyDescent="0.5">
      <c r="A27" s="40">
        <v>5</v>
      </c>
      <c r="B27" s="40">
        <f t="shared" si="32"/>
        <v>0.25</v>
      </c>
      <c r="C27" s="40">
        <f t="shared" si="33"/>
        <v>4</v>
      </c>
      <c r="D27" s="40">
        <v>2.25</v>
      </c>
      <c r="E27" s="1">
        <f t="shared" si="34"/>
        <v>1.75</v>
      </c>
      <c r="G27" s="1"/>
      <c r="H27" s="1"/>
      <c r="K27"/>
      <c r="L27"/>
      <c r="M27" s="1"/>
      <c r="N27" s="1"/>
    </row>
    <row r="28" spans="1:48" x14ac:dyDescent="0.5">
      <c r="A28" s="40">
        <v>8</v>
      </c>
      <c r="B28" s="40">
        <f t="shared" si="32"/>
        <v>0.4</v>
      </c>
      <c r="C28" s="40">
        <f t="shared" si="33"/>
        <v>2.5</v>
      </c>
      <c r="D28" s="40">
        <v>1.2</v>
      </c>
      <c r="E28" s="40">
        <f t="shared" si="34"/>
        <v>1.3</v>
      </c>
      <c r="F28" s="1">
        <v>1.1499999999999999</v>
      </c>
      <c r="G28" s="1">
        <f>(E28-F28)/F28</f>
        <v>0.13043478260869579</v>
      </c>
      <c r="H28" s="1"/>
      <c r="K28"/>
      <c r="L28"/>
      <c r="M28" s="1"/>
      <c r="N28" s="1"/>
    </row>
    <row r="29" spans="1:48" x14ac:dyDescent="0.5">
      <c r="A29" s="40">
        <v>10</v>
      </c>
      <c r="B29" s="40">
        <f t="shared" si="32"/>
        <v>0.5</v>
      </c>
      <c r="C29" s="40">
        <f t="shared" si="33"/>
        <v>2</v>
      </c>
      <c r="D29" s="40">
        <v>0.82</v>
      </c>
      <c r="E29" s="40">
        <f t="shared" si="34"/>
        <v>1.1800000000000002</v>
      </c>
      <c r="F29" s="1">
        <v>1.1499999999999999</v>
      </c>
      <c r="G29" s="1">
        <f t="shared" ref="G29:G32" si="35">(E29-F29)/F29</f>
        <v>2.6086956521739348E-2</v>
      </c>
      <c r="H29" s="1"/>
      <c r="K29"/>
      <c r="L29"/>
      <c r="M29" s="1"/>
      <c r="N29" s="1"/>
    </row>
    <row r="30" spans="1:48" x14ac:dyDescent="0.5">
      <c r="A30" s="40">
        <v>12</v>
      </c>
      <c r="B30" s="40">
        <f t="shared" si="32"/>
        <v>0.6</v>
      </c>
      <c r="C30" s="40">
        <f t="shared" si="33"/>
        <v>1.6666666666666667</v>
      </c>
      <c r="D30" s="40">
        <v>0.55000000000000004</v>
      </c>
      <c r="E30" s="40">
        <f t="shared" si="34"/>
        <v>1.1166666666666667</v>
      </c>
      <c r="F30" s="1">
        <v>1.1499999999999999</v>
      </c>
      <c r="G30" s="1">
        <f t="shared" si="35"/>
        <v>-2.8985507246376711E-2</v>
      </c>
      <c r="H30" s="1"/>
      <c r="K30"/>
      <c r="L30"/>
      <c r="M30" s="1"/>
      <c r="N30" s="1"/>
    </row>
    <row r="31" spans="1:48" x14ac:dyDescent="0.5">
      <c r="A31" s="40">
        <v>15</v>
      </c>
      <c r="B31" s="40">
        <f t="shared" si="32"/>
        <v>0.75</v>
      </c>
      <c r="C31" s="40">
        <f t="shared" si="33"/>
        <v>1.3333333333333333</v>
      </c>
      <c r="D31" s="40">
        <v>0.28000000000000003</v>
      </c>
      <c r="E31" s="40">
        <f t="shared" si="34"/>
        <v>1.0533333333333332</v>
      </c>
      <c r="F31" s="1">
        <v>1.1499999999999999</v>
      </c>
      <c r="G31" s="1">
        <f t="shared" si="35"/>
        <v>-8.4057971014492777E-2</v>
      </c>
      <c r="H31" s="1"/>
      <c r="K31"/>
      <c r="L31"/>
      <c r="M31" s="1"/>
      <c r="N31" s="1"/>
    </row>
    <row r="32" spans="1:48" x14ac:dyDescent="0.5">
      <c r="A32" s="40">
        <v>20</v>
      </c>
      <c r="B32" s="40">
        <f t="shared" si="32"/>
        <v>1</v>
      </c>
      <c r="C32" s="40">
        <f t="shared" si="33"/>
        <v>1</v>
      </c>
      <c r="D32" s="40">
        <v>0</v>
      </c>
      <c r="E32" s="40">
        <f t="shared" si="34"/>
        <v>1</v>
      </c>
      <c r="F32" s="1">
        <v>1.1499999999999999</v>
      </c>
      <c r="G32" s="1">
        <f t="shared" si="35"/>
        <v>-0.13043478260869559</v>
      </c>
      <c r="H32" s="1"/>
      <c r="K32"/>
      <c r="L32"/>
      <c r="M32" s="1"/>
      <c r="N32" s="1"/>
    </row>
  </sheetData>
  <sortState ref="A25:D32">
    <sortCondition ref="A25:A3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C8101-4112-41B8-AE12-94A0B35F58A6}">
  <dimension ref="A1:AD25"/>
  <sheetViews>
    <sheetView tabSelected="1" workbookViewId="0">
      <selection activeCell="F52" sqref="F52"/>
    </sheetView>
  </sheetViews>
  <sheetFormatPr defaultRowHeight="14.35" x14ac:dyDescent="0.5"/>
  <cols>
    <col min="1" max="5" width="8.87890625" style="1"/>
    <col min="6" max="6" width="10.234375" style="12" bestFit="1" customWidth="1"/>
    <col min="7" max="9" width="8.87890625" style="17"/>
    <col min="10" max="10" width="11.234375" style="12" bestFit="1" customWidth="1"/>
    <col min="11" max="11" width="10.234375" style="12" bestFit="1" customWidth="1"/>
    <col min="12" max="17" width="8.87890625" style="17"/>
    <col min="18" max="18" width="17.234375" style="1" bestFit="1" customWidth="1"/>
    <col min="19" max="27" width="8.87890625" style="17"/>
    <col min="29" max="29" width="11" bestFit="1" customWidth="1"/>
  </cols>
  <sheetData>
    <row r="1" spans="1:30" x14ac:dyDescent="0.5">
      <c r="A1" s="35" t="s">
        <v>74</v>
      </c>
      <c r="B1" s="1" t="s">
        <v>75</v>
      </c>
      <c r="C1" s="1" t="s">
        <v>91</v>
      </c>
      <c r="D1" s="1" t="s">
        <v>92</v>
      </c>
      <c r="E1" s="38" t="s">
        <v>77</v>
      </c>
      <c r="F1" s="1" t="s">
        <v>75</v>
      </c>
      <c r="G1" s="1" t="s">
        <v>91</v>
      </c>
      <c r="H1" s="1" t="s">
        <v>92</v>
      </c>
      <c r="I1" s="38" t="s">
        <v>77</v>
      </c>
      <c r="J1" s="1" t="s">
        <v>75</v>
      </c>
      <c r="K1" s="1" t="s">
        <v>91</v>
      </c>
      <c r="L1" s="1" t="s">
        <v>92</v>
      </c>
      <c r="M1" s="38" t="s">
        <v>77</v>
      </c>
      <c r="N1" s="1" t="s">
        <v>75</v>
      </c>
      <c r="O1" s="1" t="s">
        <v>91</v>
      </c>
      <c r="P1" s="1" t="s">
        <v>92</v>
      </c>
      <c r="Q1" s="38" t="s">
        <v>77</v>
      </c>
      <c r="R1" s="36" t="s">
        <v>93</v>
      </c>
      <c r="S1" s="1" t="s">
        <v>75</v>
      </c>
      <c r="T1" s="1" t="s">
        <v>91</v>
      </c>
      <c r="U1" s="1" t="s">
        <v>92</v>
      </c>
      <c r="V1" s="38" t="s">
        <v>77</v>
      </c>
      <c r="W1" s="1" t="s">
        <v>75</v>
      </c>
      <c r="X1" s="1" t="s">
        <v>91</v>
      </c>
      <c r="Y1" s="1" t="s">
        <v>92</v>
      </c>
      <c r="Z1" s="38" t="s">
        <v>77</v>
      </c>
      <c r="AA1" s="12"/>
      <c r="AB1" s="1" t="s">
        <v>57</v>
      </c>
      <c r="AC1" s="1" t="s">
        <v>89</v>
      </c>
      <c r="AD1" s="1"/>
    </row>
    <row r="2" spans="1:30" x14ac:dyDescent="0.5">
      <c r="A2" s="35">
        <v>0.01</v>
      </c>
      <c r="B2" s="1">
        <v>5</v>
      </c>
      <c r="C2" s="1">
        <v>7.0000000000000007E-2</v>
      </c>
      <c r="D2" s="1">
        <f>(1-C2)/C2</f>
        <v>13.285714285714283</v>
      </c>
      <c r="E2" s="39">
        <f t="shared" ref="E2:E18" si="0">($AB$5/$AD$5*$AB$2*$A2)/(1+$AB$5/$AD$5*$A2+(1-C2)/C2*B2/$AD$5)</f>
        <v>2.5812879679865419E-3</v>
      </c>
      <c r="F2" s="1">
        <v>4</v>
      </c>
      <c r="G2" s="1">
        <v>7.0000000000000007E-2</v>
      </c>
      <c r="H2" s="1">
        <f>(1-G2)/G2</f>
        <v>13.285714285714283</v>
      </c>
      <c r="I2" s="39">
        <f t="shared" ref="I2:I18" si="1">($AB$5/$AD$5*$AB$2*$A2)/(1+$AB$5/$AD$5*$A2+(1-G2)/G2*F2/$AD$5)</f>
        <v>3.0501473560816091E-3</v>
      </c>
      <c r="J2" s="1">
        <v>3</v>
      </c>
      <c r="K2" s="1">
        <v>7.0000000000000007E-2</v>
      </c>
      <c r="L2" s="1">
        <f>(1-K2)/K2</f>
        <v>13.285714285714283</v>
      </c>
      <c r="M2" s="39">
        <f t="shared" ref="M2:M18" si="2">($AB$5/$AD$5*$AB$2*$A2)/(1+$AB$5/$AD$5*$A2+(1-K2)/K2*J2/$AD$5)</f>
        <v>3.7271360299641026E-3</v>
      </c>
      <c r="N2" s="1">
        <v>2.2999999999999998</v>
      </c>
      <c r="O2" s="1">
        <v>7.0000000000000007E-2</v>
      </c>
      <c r="P2" s="1">
        <f>(1-O2)/O2</f>
        <v>13.285714285714283</v>
      </c>
      <c r="Q2" s="39">
        <f t="shared" ref="Q2:Q18" si="3">($AB$5/$AD$5*$AB$2*$A2)/(1+$AB$5/$AD$5*$A2+(1-O2)/O2*N2/$AD$5)</f>
        <v>4.4127281083320936E-3</v>
      </c>
      <c r="R2" s="37">
        <f>A2/N2</f>
        <v>4.3478260869565218E-3</v>
      </c>
      <c r="S2" s="1">
        <v>2</v>
      </c>
      <c r="T2" s="1">
        <v>7.0000000000000007E-2</v>
      </c>
      <c r="U2" s="1">
        <f>(1-T2)/T2</f>
        <v>13.285714285714283</v>
      </c>
      <c r="V2" s="39">
        <f t="shared" ref="V2:V18" si="4">($AB$5/$AD$5*$AB$2*$A2)/(1+$AB$5/$AD$5*$A2+(1-T2)/T2*S2/$AD$5)</f>
        <v>4.7903725076727409E-3</v>
      </c>
      <c r="W2" s="1">
        <v>1</v>
      </c>
      <c r="X2" s="1">
        <v>7.0000000000000007E-2</v>
      </c>
      <c r="Y2" s="1">
        <f>(1-X2)/X2</f>
        <v>13.285714285714283</v>
      </c>
      <c r="Z2" s="39">
        <f t="shared" ref="Z2:Z18" si="5">($AB$5/$AD$5*$AB$2*$A2)/(1+$AB$5/$AD$5*$A2+(1-X2)/X2*W2/$AD$5)</f>
        <v>6.7023435456414491E-3</v>
      </c>
      <c r="AA2" s="12"/>
      <c r="AB2" s="1">
        <v>194</v>
      </c>
      <c r="AC2" s="1">
        <v>0</v>
      </c>
      <c r="AD2" s="1"/>
    </row>
    <row r="3" spans="1:30" x14ac:dyDescent="0.5">
      <c r="A3" s="35">
        <v>0.05</v>
      </c>
      <c r="B3" s="1">
        <v>5</v>
      </c>
      <c r="C3" s="1">
        <v>7.0000000000000007E-2</v>
      </c>
      <c r="D3" s="1">
        <f t="shared" ref="D3:D18" si="6">(1-C3)/C3</f>
        <v>13.285714285714283</v>
      </c>
      <c r="E3" s="39">
        <f t="shared" si="0"/>
        <v>1.29057529643689E-2</v>
      </c>
      <c r="F3" s="1">
        <v>4</v>
      </c>
      <c r="G3" s="1">
        <v>7.0000000000000007E-2</v>
      </c>
      <c r="H3" s="1">
        <f t="shared" ref="H3:H18" si="7">(1-G3)/G3</f>
        <v>13.285714285714283</v>
      </c>
      <c r="I3" s="39">
        <f t="shared" si="1"/>
        <v>1.5249777727434516E-2</v>
      </c>
      <c r="J3" s="1">
        <v>3</v>
      </c>
      <c r="K3" s="1">
        <v>7.0000000000000007E-2</v>
      </c>
      <c r="L3" s="1">
        <f t="shared" ref="L3:L18" si="8">(1-K3)/K3</f>
        <v>13.285714285714283</v>
      </c>
      <c r="M3" s="39">
        <f t="shared" si="2"/>
        <v>1.8634248142034088E-2</v>
      </c>
      <c r="N3" s="1">
        <v>2.2999999999999998</v>
      </c>
      <c r="O3" s="1">
        <v>7.0000000000000007E-2</v>
      </c>
      <c r="P3" s="1">
        <f t="shared" ref="P3:P18" si="9">(1-O3)/O3</f>
        <v>13.285714285714283</v>
      </c>
      <c r="Q3" s="39">
        <f t="shared" si="3"/>
        <v>2.2061633284148948E-2</v>
      </c>
      <c r="R3" s="37">
        <f t="shared" ref="R3:R18" si="10">A3/N3</f>
        <v>2.1739130434782612E-2</v>
      </c>
      <c r="S3" s="1">
        <v>2</v>
      </c>
      <c r="T3" s="1">
        <v>7.0000000000000007E-2</v>
      </c>
      <c r="U3" s="1">
        <f t="shared" ref="U3:U18" si="11">(1-T3)/T3</f>
        <v>13.285714285714283</v>
      </c>
      <c r="V3" s="39">
        <f t="shared" si="4"/>
        <v>2.3949497032958358E-2</v>
      </c>
      <c r="W3" s="1">
        <v>1</v>
      </c>
      <c r="X3" s="1">
        <v>7.0000000000000007E-2</v>
      </c>
      <c r="Y3" s="1">
        <f t="shared" ref="Y3:Y18" si="12">(1-X3)/X3</f>
        <v>13.285714285714283</v>
      </c>
      <c r="Z3" s="39">
        <f t="shared" si="5"/>
        <v>3.3507087295005906E-2</v>
      </c>
      <c r="AA3" s="12"/>
      <c r="AB3" s="1"/>
      <c r="AC3" s="1"/>
      <c r="AD3" s="1"/>
    </row>
    <row r="4" spans="1:30" x14ac:dyDescent="0.5">
      <c r="A4" s="35">
        <v>0.1</v>
      </c>
      <c r="B4" s="1">
        <v>5</v>
      </c>
      <c r="C4" s="1">
        <v>7.0000000000000007E-2</v>
      </c>
      <c r="D4" s="1">
        <f t="shared" si="6"/>
        <v>13.285714285714283</v>
      </c>
      <c r="E4" s="39">
        <f t="shared" si="0"/>
        <v>2.5809788945437843E-2</v>
      </c>
      <c r="F4" s="1">
        <v>4</v>
      </c>
      <c r="G4" s="1">
        <v>7.0000000000000007E-2</v>
      </c>
      <c r="H4" s="1">
        <f t="shared" si="7"/>
        <v>13.285714285714283</v>
      </c>
      <c r="I4" s="39">
        <f t="shared" si="1"/>
        <v>3.0497158161656227E-2</v>
      </c>
      <c r="J4" s="1">
        <v>3</v>
      </c>
      <c r="K4" s="1">
        <v>7.0000000000000007E-2</v>
      </c>
      <c r="L4" s="1">
        <f t="shared" si="8"/>
        <v>13.285714285714283</v>
      </c>
      <c r="M4" s="39">
        <f t="shared" si="2"/>
        <v>3.7264916883510454E-2</v>
      </c>
      <c r="N4" s="1">
        <v>2.2999999999999998</v>
      </c>
      <c r="O4" s="1">
        <v>7.0000000000000007E-2</v>
      </c>
      <c r="P4" s="1">
        <f t="shared" si="9"/>
        <v>13.285714285714283</v>
      </c>
      <c r="Q4" s="39">
        <f t="shared" si="3"/>
        <v>4.4118249451594087E-2</v>
      </c>
      <c r="R4" s="37">
        <f t="shared" si="10"/>
        <v>4.3478260869565223E-2</v>
      </c>
      <c r="S4" s="1">
        <v>2</v>
      </c>
      <c r="T4" s="1">
        <v>7.0000000000000007E-2</v>
      </c>
      <c r="U4" s="1">
        <f t="shared" si="11"/>
        <v>13.285714285714283</v>
      </c>
      <c r="V4" s="39">
        <f t="shared" si="4"/>
        <v>4.7893081616349344E-2</v>
      </c>
      <c r="W4" s="1">
        <v>1</v>
      </c>
      <c r="X4" s="1">
        <v>7.0000000000000007E-2</v>
      </c>
      <c r="Y4" s="1">
        <f t="shared" si="12"/>
        <v>13.285714285714283</v>
      </c>
      <c r="Z4" s="39">
        <f t="shared" si="5"/>
        <v>6.7002602105281223E-2</v>
      </c>
      <c r="AA4" s="12"/>
      <c r="AB4" s="1" t="s">
        <v>72</v>
      </c>
      <c r="AC4" s="1" t="s">
        <v>90</v>
      </c>
      <c r="AD4" s="1" t="s">
        <v>59</v>
      </c>
    </row>
    <row r="5" spans="1:30" x14ac:dyDescent="0.5">
      <c r="A5" s="35">
        <v>0.3</v>
      </c>
      <c r="B5" s="1">
        <v>5</v>
      </c>
      <c r="C5" s="1">
        <v>7.0000000000000007E-2</v>
      </c>
      <c r="D5" s="1">
        <f t="shared" si="6"/>
        <v>13.285714285714283</v>
      </c>
      <c r="E5" s="39">
        <f t="shared" si="0"/>
        <v>7.7408769887722509E-2</v>
      </c>
      <c r="F5" s="1">
        <v>4</v>
      </c>
      <c r="G5" s="1">
        <v>7.0000000000000007E-2</v>
      </c>
      <c r="H5" s="1">
        <f t="shared" si="7"/>
        <v>13.285714285714283</v>
      </c>
      <c r="I5" s="39">
        <f t="shared" si="1"/>
        <v>9.1462718268629159E-2</v>
      </c>
      <c r="J5" s="1">
        <v>3</v>
      </c>
      <c r="K5" s="1">
        <v>7.0000000000000007E-2</v>
      </c>
      <c r="L5" s="1">
        <f t="shared" si="8"/>
        <v>13.285714285714283</v>
      </c>
      <c r="M5" s="39">
        <f t="shared" si="2"/>
        <v>0.11175181846262834</v>
      </c>
      <c r="N5" s="1">
        <v>2.2999999999999998</v>
      </c>
      <c r="O5" s="1">
        <v>7.0000000000000007E-2</v>
      </c>
      <c r="P5" s="1">
        <f t="shared" si="9"/>
        <v>13.285714285714283</v>
      </c>
      <c r="Q5" s="39">
        <f t="shared" si="3"/>
        <v>0.13229457716760107</v>
      </c>
      <c r="R5" s="37">
        <f t="shared" si="10"/>
        <v>0.13043478260869565</v>
      </c>
      <c r="S5" s="1">
        <v>2</v>
      </c>
      <c r="T5" s="1">
        <v>7.0000000000000007E-2</v>
      </c>
      <c r="U5" s="1">
        <f t="shared" si="11"/>
        <v>13.285714285714283</v>
      </c>
      <c r="V5" s="39">
        <f t="shared" si="4"/>
        <v>0.14360833922109847</v>
      </c>
      <c r="W5" s="1">
        <v>1</v>
      </c>
      <c r="X5" s="1">
        <v>7.0000000000000007E-2</v>
      </c>
      <c r="Y5" s="1">
        <f t="shared" si="12"/>
        <v>13.285714285714283</v>
      </c>
      <c r="Z5" s="39">
        <f t="shared" si="5"/>
        <v>0.20086905632145222</v>
      </c>
      <c r="AA5" s="12"/>
      <c r="AB5" s="1">
        <v>0.115</v>
      </c>
      <c r="AC5" s="1">
        <v>19</v>
      </c>
      <c r="AD5" s="1">
        <v>20</v>
      </c>
    </row>
    <row r="6" spans="1:30" x14ac:dyDescent="0.5">
      <c r="A6" s="35">
        <v>0.5</v>
      </c>
      <c r="B6" s="1">
        <v>5</v>
      </c>
      <c r="C6" s="1">
        <v>7.0000000000000007E-2</v>
      </c>
      <c r="D6" s="1">
        <f t="shared" si="6"/>
        <v>13.285714285714283</v>
      </c>
      <c r="E6" s="39">
        <f t="shared" si="0"/>
        <v>0.12898030649031017</v>
      </c>
      <c r="F6" s="1">
        <v>4</v>
      </c>
      <c r="G6" s="1">
        <v>7.0000000000000007E-2</v>
      </c>
      <c r="H6" s="1">
        <f t="shared" si="7"/>
        <v>13.285714285714283</v>
      </c>
      <c r="I6" s="39">
        <f t="shared" si="1"/>
        <v>0.15238996687174636</v>
      </c>
      <c r="J6" s="1">
        <v>3</v>
      </c>
      <c r="K6" s="1">
        <v>7.0000000000000007E-2</v>
      </c>
      <c r="L6" s="1">
        <f t="shared" si="8"/>
        <v>13.285714285714283</v>
      </c>
      <c r="M6" s="39">
        <f t="shared" si="2"/>
        <v>0.18618153206049085</v>
      </c>
      <c r="N6" s="1">
        <v>2.2999999999999998</v>
      </c>
      <c r="O6" s="1">
        <v>7.0000000000000007E-2</v>
      </c>
      <c r="P6" s="1">
        <f t="shared" si="9"/>
        <v>13.285714285714283</v>
      </c>
      <c r="Q6" s="39">
        <f t="shared" si="3"/>
        <v>0.22039076777612351</v>
      </c>
      <c r="R6" s="37">
        <f t="shared" si="10"/>
        <v>0.21739130434782611</v>
      </c>
      <c r="S6" s="1">
        <v>2</v>
      </c>
      <c r="T6" s="1">
        <v>7.0000000000000007E-2</v>
      </c>
      <c r="U6" s="1">
        <f t="shared" si="11"/>
        <v>13.285714285714283</v>
      </c>
      <c r="V6" s="39">
        <f t="shared" si="4"/>
        <v>0.2392291725706758</v>
      </c>
      <c r="W6" s="1">
        <v>1</v>
      </c>
      <c r="X6" s="1">
        <v>7.0000000000000007E-2</v>
      </c>
      <c r="Y6" s="1">
        <f t="shared" si="12"/>
        <v>13.285714285714283</v>
      </c>
      <c r="Z6" s="39">
        <f t="shared" si="5"/>
        <v>0.33455082957551868</v>
      </c>
      <c r="AA6" s="12"/>
    </row>
    <row r="7" spans="1:30" x14ac:dyDescent="0.5">
      <c r="A7" s="35">
        <v>0.7</v>
      </c>
      <c r="B7" s="1">
        <v>5</v>
      </c>
      <c r="C7" s="1">
        <v>7.0000000000000007E-2</v>
      </c>
      <c r="D7" s="1">
        <f t="shared" si="6"/>
        <v>13.285714285714283</v>
      </c>
      <c r="E7" s="39">
        <f t="shared" si="0"/>
        <v>0.18052442064292185</v>
      </c>
      <c r="F7" s="1">
        <v>4</v>
      </c>
      <c r="G7" s="1">
        <v>7.0000000000000007E-2</v>
      </c>
      <c r="H7" s="1">
        <f t="shared" si="7"/>
        <v>13.285714285714283</v>
      </c>
      <c r="I7" s="39">
        <f t="shared" si="1"/>
        <v>0.213278940072791</v>
      </c>
      <c r="J7" s="1">
        <v>3</v>
      </c>
      <c r="K7" s="1">
        <v>7.0000000000000007E-2</v>
      </c>
      <c r="L7" s="1">
        <f t="shared" si="8"/>
        <v>13.285714285714283</v>
      </c>
      <c r="M7" s="39">
        <f t="shared" si="2"/>
        <v>0.26055412351169732</v>
      </c>
      <c r="N7" s="1">
        <v>2.2999999999999998</v>
      </c>
      <c r="O7" s="1">
        <v>7.0000000000000007E-2</v>
      </c>
      <c r="P7" s="1">
        <f t="shared" si="9"/>
        <v>13.285714285714283</v>
      </c>
      <c r="Q7" s="39">
        <f t="shared" si="3"/>
        <v>0.30840693047380058</v>
      </c>
      <c r="R7" s="37">
        <f t="shared" si="10"/>
        <v>0.30434782608695654</v>
      </c>
      <c r="S7" s="1">
        <v>2</v>
      </c>
      <c r="T7" s="1">
        <v>7.0000000000000007E-2</v>
      </c>
      <c r="U7" s="1">
        <f t="shared" si="11"/>
        <v>13.285714285714283</v>
      </c>
      <c r="V7" s="39">
        <f t="shared" si="4"/>
        <v>0.33475572132219311</v>
      </c>
      <c r="W7" s="1">
        <v>1</v>
      </c>
      <c r="X7" s="1">
        <v>7.0000000000000007E-2</v>
      </c>
      <c r="Y7" s="1">
        <f t="shared" si="12"/>
        <v>13.285714285714283</v>
      </c>
      <c r="Z7" s="39">
        <f t="shared" si="5"/>
        <v>0.4680483037803424</v>
      </c>
      <c r="AA7" s="12"/>
    </row>
    <row r="8" spans="1:30" x14ac:dyDescent="0.5">
      <c r="A8" s="35">
        <v>0.9</v>
      </c>
      <c r="B8" s="1">
        <v>5</v>
      </c>
      <c r="C8" s="1">
        <v>7.0000000000000007E-2</v>
      </c>
      <c r="D8" s="1">
        <f t="shared" si="6"/>
        <v>13.285714285714283</v>
      </c>
      <c r="E8" s="39">
        <f t="shared" si="0"/>
        <v>0.23204113421200565</v>
      </c>
      <c r="F8" s="1">
        <v>4</v>
      </c>
      <c r="G8" s="1">
        <v>7.0000000000000007E-2</v>
      </c>
      <c r="H8" s="1">
        <f t="shared" si="7"/>
        <v>13.285714285714283</v>
      </c>
      <c r="I8" s="39">
        <f t="shared" si="1"/>
        <v>0.2741296739282012</v>
      </c>
      <c r="J8" s="1">
        <v>3</v>
      </c>
      <c r="K8" s="1">
        <v>7.0000000000000007E-2</v>
      </c>
      <c r="L8" s="1">
        <f t="shared" si="8"/>
        <v>13.285714285714283</v>
      </c>
      <c r="M8" s="39">
        <f t="shared" si="2"/>
        <v>0.33486965854983447</v>
      </c>
      <c r="N8" s="12">
        <v>2.2999999999999998</v>
      </c>
      <c r="O8" s="1">
        <v>7.0000000000000007E-2</v>
      </c>
      <c r="P8" s="12">
        <f t="shared" si="9"/>
        <v>13.285714285714283</v>
      </c>
      <c r="Q8" s="39">
        <f t="shared" si="3"/>
        <v>0.3963431742589697</v>
      </c>
      <c r="R8" s="37">
        <f t="shared" si="10"/>
        <v>0.39130434782608697</v>
      </c>
      <c r="S8" s="1">
        <v>2</v>
      </c>
      <c r="T8" s="1">
        <v>7.0000000000000007E-2</v>
      </c>
      <c r="U8" s="1">
        <f t="shared" si="11"/>
        <v>13.285714285714283</v>
      </c>
      <c r="V8" s="39">
        <f t="shared" si="4"/>
        <v>0.43018812485748698</v>
      </c>
      <c r="W8" s="1">
        <v>1</v>
      </c>
      <c r="X8" s="1">
        <v>7.0000000000000007E-2</v>
      </c>
      <c r="Y8" s="1">
        <f t="shared" si="12"/>
        <v>13.285714285714283</v>
      </c>
      <c r="Z8" s="39">
        <f t="shared" si="5"/>
        <v>0.60136185979646983</v>
      </c>
      <c r="AA8" s="12"/>
    </row>
    <row r="9" spans="1:30" x14ac:dyDescent="0.5">
      <c r="A9" s="41">
        <v>1</v>
      </c>
      <c r="B9" s="1">
        <v>5</v>
      </c>
      <c r="C9" s="1">
        <v>7.0000000000000007E-2</v>
      </c>
      <c r="D9" s="1">
        <f t="shared" si="6"/>
        <v>13.285714285714283</v>
      </c>
      <c r="E9" s="39">
        <f t="shared" si="0"/>
        <v>0.25778922260463355</v>
      </c>
      <c r="F9" s="1">
        <v>4</v>
      </c>
      <c r="G9" s="1">
        <v>7.0000000000000007E-2</v>
      </c>
      <c r="H9" s="1">
        <f t="shared" si="7"/>
        <v>13.285714285714283</v>
      </c>
      <c r="I9" s="39">
        <f t="shared" si="1"/>
        <v>0.30454071235654884</v>
      </c>
      <c r="J9" s="1">
        <v>3</v>
      </c>
      <c r="K9" s="1">
        <v>7.0000000000000007E-2</v>
      </c>
      <c r="L9" s="1">
        <f t="shared" si="8"/>
        <v>13.285714285714283</v>
      </c>
      <c r="M9" s="39">
        <f t="shared" si="2"/>
        <v>0.37200605042817503</v>
      </c>
      <c r="N9" s="15">
        <v>2.2999999999999998</v>
      </c>
      <c r="O9" s="15">
        <v>7.0000000000000007E-2</v>
      </c>
      <c r="P9" s="15">
        <f t="shared" si="9"/>
        <v>13.285714285714283</v>
      </c>
      <c r="Q9" s="34">
        <f t="shared" si="3"/>
        <v>0.44028136056723194</v>
      </c>
      <c r="R9" s="34">
        <f t="shared" ref="R9" si="13">A9/N9</f>
        <v>0.43478260869565222</v>
      </c>
      <c r="S9" s="1">
        <v>2</v>
      </c>
      <c r="T9" s="1">
        <v>7.0000000000000007E-2</v>
      </c>
      <c r="U9" s="1">
        <f t="shared" si="11"/>
        <v>13.285714285714283</v>
      </c>
      <c r="V9" s="39">
        <f t="shared" si="4"/>
        <v>0.47786906565077036</v>
      </c>
      <c r="W9" s="1">
        <v>1</v>
      </c>
      <c r="X9" s="1">
        <v>7.0000000000000007E-2</v>
      </c>
      <c r="Y9" s="1">
        <f t="shared" si="12"/>
        <v>13.285714285714283</v>
      </c>
      <c r="Z9" s="39">
        <f t="shared" si="5"/>
        <v>0.66794978721584231</v>
      </c>
      <c r="AA9" s="12"/>
    </row>
    <row r="10" spans="1:30" x14ac:dyDescent="0.5">
      <c r="A10" s="35">
        <v>1.1000000000000001</v>
      </c>
      <c r="B10" s="1">
        <v>5</v>
      </c>
      <c r="C10" s="1">
        <v>7.0000000000000007E-2</v>
      </c>
      <c r="D10" s="1">
        <f t="shared" si="6"/>
        <v>13.285714285714283</v>
      </c>
      <c r="E10" s="39">
        <f t="shared" si="0"/>
        <v>0.28353046904076767</v>
      </c>
      <c r="F10" s="1">
        <v>4</v>
      </c>
      <c r="G10" s="1">
        <v>7.0000000000000007E-2</v>
      </c>
      <c r="H10" s="1">
        <f t="shared" si="7"/>
        <v>13.285714285714283</v>
      </c>
      <c r="I10" s="39">
        <f t="shared" si="1"/>
        <v>0.33494220444914125</v>
      </c>
      <c r="J10" s="1">
        <v>3</v>
      </c>
      <c r="K10" s="1">
        <v>7.0000000000000007E-2</v>
      </c>
      <c r="L10" s="1">
        <f t="shared" si="8"/>
        <v>13.285714285714283</v>
      </c>
      <c r="M10" s="39">
        <f t="shared" si="2"/>
        <v>0.40912820280767026</v>
      </c>
      <c r="N10" s="1">
        <v>2.2999999999999998</v>
      </c>
      <c r="O10" s="1">
        <v>7.0000000000000007E-2</v>
      </c>
      <c r="P10" s="1">
        <f t="shared" si="9"/>
        <v>13.285714285714283</v>
      </c>
      <c r="Q10" s="39">
        <f t="shared" si="3"/>
        <v>0.4841996079321168</v>
      </c>
      <c r="R10" s="37">
        <f t="shared" si="10"/>
        <v>0.47826086956521746</v>
      </c>
      <c r="S10" s="1">
        <v>2</v>
      </c>
      <c r="T10" s="1">
        <v>7.0000000000000007E-2</v>
      </c>
      <c r="U10" s="1">
        <f t="shared" si="11"/>
        <v>13.285714285714283</v>
      </c>
      <c r="V10" s="39">
        <f t="shared" si="4"/>
        <v>0.5255265222837967</v>
      </c>
      <c r="W10" s="1">
        <v>1</v>
      </c>
      <c r="X10" s="1">
        <v>7.0000000000000007E-2</v>
      </c>
      <c r="Y10" s="1">
        <f t="shared" si="12"/>
        <v>13.285714285714283</v>
      </c>
      <c r="Z10" s="39">
        <f t="shared" si="5"/>
        <v>0.73449187743575395</v>
      </c>
      <c r="AA10" s="12"/>
    </row>
    <row r="11" spans="1:30" x14ac:dyDescent="0.5">
      <c r="A11" s="35">
        <v>1.3</v>
      </c>
      <c r="B11" s="1">
        <v>5</v>
      </c>
      <c r="C11" s="1">
        <v>7.0000000000000007E-2</v>
      </c>
      <c r="D11" s="1">
        <f t="shared" si="6"/>
        <v>13.285714285714283</v>
      </c>
      <c r="E11" s="39">
        <f t="shared" si="0"/>
        <v>0.33499244694920283</v>
      </c>
      <c r="F11" s="1">
        <v>4</v>
      </c>
      <c r="G11" s="1">
        <v>7.0000000000000007E-2</v>
      </c>
      <c r="H11" s="1">
        <f t="shared" si="7"/>
        <v>13.285714285714283</v>
      </c>
      <c r="I11" s="39">
        <f t="shared" si="1"/>
        <v>0.39571656760157226</v>
      </c>
      <c r="J11" s="1">
        <v>3</v>
      </c>
      <c r="K11" s="1">
        <v>7.0000000000000007E-2</v>
      </c>
      <c r="L11" s="1">
        <f t="shared" si="8"/>
        <v>13.285714285714283</v>
      </c>
      <c r="M11" s="39">
        <f t="shared" si="2"/>
        <v>0.48332982181734652</v>
      </c>
      <c r="N11" s="1">
        <v>2.2999999999999998</v>
      </c>
      <c r="O11" s="1">
        <v>7.0000000000000007E-2</v>
      </c>
      <c r="P11" s="1">
        <f t="shared" si="9"/>
        <v>13.285714285714283</v>
      </c>
      <c r="Q11" s="39">
        <f t="shared" si="3"/>
        <v>0.57197634009632448</v>
      </c>
      <c r="R11" s="37">
        <f t="shared" si="10"/>
        <v>0.56521739130434789</v>
      </c>
      <c r="S11" s="1">
        <v>2</v>
      </c>
      <c r="T11" s="1">
        <v>7.0000000000000007E-2</v>
      </c>
      <c r="U11" s="1">
        <f t="shared" si="11"/>
        <v>13.285714285714283</v>
      </c>
      <c r="V11" s="39">
        <f t="shared" si="4"/>
        <v>0.62077105243443986</v>
      </c>
      <c r="W11" s="1">
        <v>1</v>
      </c>
      <c r="X11" s="1">
        <v>7.0000000000000007E-2</v>
      </c>
      <c r="Y11" s="1">
        <f t="shared" si="12"/>
        <v>13.285714285714283</v>
      </c>
      <c r="Z11" s="39">
        <f t="shared" si="5"/>
        <v>0.8674387354649612</v>
      </c>
      <c r="AA11" s="12"/>
    </row>
    <row r="12" spans="1:30" x14ac:dyDescent="0.5">
      <c r="A12" s="35">
        <v>1.5</v>
      </c>
      <c r="B12" s="1">
        <v>5</v>
      </c>
      <c r="C12" s="1">
        <v>7.0000000000000007E-2</v>
      </c>
      <c r="D12" s="1">
        <f t="shared" si="6"/>
        <v>13.285714285714283</v>
      </c>
      <c r="E12" s="39">
        <f t="shared" si="0"/>
        <v>0.38642708973412576</v>
      </c>
      <c r="F12" s="1">
        <v>4</v>
      </c>
      <c r="G12" s="1">
        <v>7.0000000000000007E-2</v>
      </c>
      <c r="H12" s="1">
        <f t="shared" si="7"/>
        <v>13.285714285714283</v>
      </c>
      <c r="I12" s="39">
        <f t="shared" si="1"/>
        <v>0.45645279930632349</v>
      </c>
      <c r="J12" s="1">
        <v>3</v>
      </c>
      <c r="K12" s="1">
        <v>7.0000000000000007E-2</v>
      </c>
      <c r="L12" s="1">
        <f t="shared" si="8"/>
        <v>13.285714285714283</v>
      </c>
      <c r="M12" s="39">
        <f t="shared" si="2"/>
        <v>0.55747458101057223</v>
      </c>
      <c r="N12" s="1">
        <v>2.2999999999999998</v>
      </c>
      <c r="O12" s="1">
        <v>7.0000000000000007E-2</v>
      </c>
      <c r="P12" s="1">
        <f t="shared" si="9"/>
        <v>13.285714285714283</v>
      </c>
      <c r="Q12" s="39">
        <f t="shared" si="3"/>
        <v>0.6596734791577199</v>
      </c>
      <c r="R12" s="37">
        <f t="shared" si="10"/>
        <v>0.65217391304347827</v>
      </c>
      <c r="S12" s="1">
        <v>2</v>
      </c>
      <c r="T12" s="1">
        <v>7.0000000000000007E-2</v>
      </c>
      <c r="U12" s="1">
        <f t="shared" si="11"/>
        <v>13.285714285714283</v>
      </c>
      <c r="V12" s="39">
        <f t="shared" si="4"/>
        <v>0.71592185386948648</v>
      </c>
      <c r="W12" s="1">
        <v>1</v>
      </c>
      <c r="X12" s="1">
        <v>7.0000000000000007E-2</v>
      </c>
      <c r="Y12" s="1">
        <f t="shared" si="12"/>
        <v>13.285714285714283</v>
      </c>
      <c r="Z12" s="39">
        <f t="shared" si="5"/>
        <v>1.0002028116093635</v>
      </c>
      <c r="AA12" s="12"/>
    </row>
    <row r="13" spans="1:30" x14ac:dyDescent="0.5">
      <c r="A13" s="35">
        <v>1.7</v>
      </c>
      <c r="B13" s="1">
        <v>5</v>
      </c>
      <c r="C13" s="1">
        <v>7.0000000000000007E-2</v>
      </c>
      <c r="D13" s="1">
        <f t="shared" si="6"/>
        <v>13.285714285714283</v>
      </c>
      <c r="E13" s="39">
        <f t="shared" si="0"/>
        <v>0.43783441916920157</v>
      </c>
      <c r="F13" s="1">
        <v>4</v>
      </c>
      <c r="G13" s="1">
        <v>7.0000000000000007E-2</v>
      </c>
      <c r="H13" s="1">
        <f t="shared" si="7"/>
        <v>13.285714285714283</v>
      </c>
      <c r="I13" s="39">
        <f t="shared" si="1"/>
        <v>0.51715093543916302</v>
      </c>
      <c r="J13" s="1">
        <v>3</v>
      </c>
      <c r="K13" s="1">
        <v>7.0000000000000007E-2</v>
      </c>
      <c r="L13" s="1">
        <f t="shared" si="8"/>
        <v>13.285714285714283</v>
      </c>
      <c r="M13" s="39">
        <f t="shared" si="2"/>
        <v>0.63156254571881576</v>
      </c>
      <c r="N13" s="1">
        <v>2.2999999999999998</v>
      </c>
      <c r="O13" s="1">
        <v>7.0000000000000007E-2</v>
      </c>
      <c r="P13" s="1">
        <f t="shared" si="9"/>
        <v>13.285714285714283</v>
      </c>
      <c r="Q13" s="39">
        <f t="shared" si="3"/>
        <v>0.74729113332592112</v>
      </c>
      <c r="R13" s="37">
        <f t="shared" si="10"/>
        <v>0.73913043478260876</v>
      </c>
      <c r="S13" s="1">
        <v>2</v>
      </c>
      <c r="T13" s="1">
        <v>7.0000000000000007E-2</v>
      </c>
      <c r="U13" s="1">
        <f t="shared" si="11"/>
        <v>13.285714285714283</v>
      </c>
      <c r="V13" s="39">
        <f t="shared" si="4"/>
        <v>0.81097906487643123</v>
      </c>
      <c r="W13" s="1">
        <v>1</v>
      </c>
      <c r="X13" s="1">
        <v>7.0000000000000007E-2</v>
      </c>
      <c r="Y13" s="1">
        <f t="shared" si="12"/>
        <v>13.285714285714283</v>
      </c>
      <c r="Z13" s="39">
        <f t="shared" si="5"/>
        <v>1.132784482556316</v>
      </c>
      <c r="AA13" s="12"/>
    </row>
    <row r="14" spans="1:30" x14ac:dyDescent="0.5">
      <c r="A14" s="35">
        <v>1.9</v>
      </c>
      <c r="B14" s="1">
        <v>5</v>
      </c>
      <c r="C14" s="1">
        <v>7.0000000000000007E-2</v>
      </c>
      <c r="D14" s="1">
        <f t="shared" si="6"/>
        <v>13.285714285714283</v>
      </c>
      <c r="E14" s="39">
        <f t="shared" si="0"/>
        <v>0.48921445700497668</v>
      </c>
      <c r="F14" s="1">
        <v>4</v>
      </c>
      <c r="G14" s="1">
        <v>7.0000000000000007E-2</v>
      </c>
      <c r="H14" s="1">
        <f t="shared" si="7"/>
        <v>13.285714285714283</v>
      </c>
      <c r="I14" s="39">
        <f t="shared" si="1"/>
        <v>0.57781101183086847</v>
      </c>
      <c r="J14" s="1">
        <v>3</v>
      </c>
      <c r="K14" s="1">
        <v>7.0000000000000007E-2</v>
      </c>
      <c r="L14" s="1">
        <f t="shared" si="8"/>
        <v>13.285714285714283</v>
      </c>
      <c r="M14" s="39">
        <f t="shared" si="2"/>
        <v>0.7055937811734968</v>
      </c>
      <c r="N14" s="1">
        <v>2.2999999999999998</v>
      </c>
      <c r="O14" s="1">
        <v>7.0000000000000007E-2</v>
      </c>
      <c r="P14" s="1">
        <f t="shared" si="9"/>
        <v>13.285714285714283</v>
      </c>
      <c r="Q14" s="39">
        <f t="shared" si="3"/>
        <v>0.8348294106144819</v>
      </c>
      <c r="R14" s="37">
        <f t="shared" si="10"/>
        <v>0.82608695652173914</v>
      </c>
      <c r="S14" s="1">
        <v>2</v>
      </c>
      <c r="T14" s="1">
        <v>7.0000000000000007E-2</v>
      </c>
      <c r="U14" s="1">
        <f t="shared" si="11"/>
        <v>13.285714285714283</v>
      </c>
      <c r="V14" s="39">
        <f t="shared" si="4"/>
        <v>0.90594282347086275</v>
      </c>
      <c r="W14" s="1">
        <v>1</v>
      </c>
      <c r="X14" s="1">
        <v>7.0000000000000007E-2</v>
      </c>
      <c r="Y14" s="1">
        <f t="shared" si="12"/>
        <v>13.285714285714283</v>
      </c>
      <c r="Z14" s="39">
        <f t="shared" si="5"/>
        <v>1.2651841239588195</v>
      </c>
      <c r="AA14" s="12"/>
    </row>
    <row r="15" spans="1:30" x14ac:dyDescent="0.5">
      <c r="A15" s="35">
        <v>2.1</v>
      </c>
      <c r="B15" s="1">
        <v>5</v>
      </c>
      <c r="C15" s="1">
        <v>7.0000000000000007E-2</v>
      </c>
      <c r="D15" s="1">
        <f t="shared" si="6"/>
        <v>13.285714285714283</v>
      </c>
      <c r="E15" s="39">
        <f t="shared" si="0"/>
        <v>0.5405672249689093</v>
      </c>
      <c r="F15" s="1">
        <v>4</v>
      </c>
      <c r="G15" s="1">
        <v>7.0000000000000007E-2</v>
      </c>
      <c r="H15" s="1">
        <f t="shared" si="7"/>
        <v>13.285714285714283</v>
      </c>
      <c r="I15" s="39">
        <f t="shared" si="1"/>
        <v>0.63843306426729718</v>
      </c>
      <c r="J15" s="1">
        <v>3</v>
      </c>
      <c r="K15" s="1">
        <v>7.0000000000000007E-2</v>
      </c>
      <c r="L15" s="1">
        <f t="shared" si="8"/>
        <v>13.285714285714283</v>
      </c>
      <c r="M15" s="39">
        <f t="shared" si="2"/>
        <v>0.77956835250617751</v>
      </c>
      <c r="N15" s="1">
        <v>2.2999999999999998</v>
      </c>
      <c r="O15" s="1">
        <v>7.0000000000000007E-2</v>
      </c>
      <c r="P15" s="1">
        <f t="shared" si="9"/>
        <v>13.285714285714283</v>
      </c>
      <c r="Q15" s="39">
        <f t="shared" si="3"/>
        <v>0.92228841884133594</v>
      </c>
      <c r="R15" s="37">
        <f t="shared" si="10"/>
        <v>0.91304347826086962</v>
      </c>
      <c r="S15" s="1">
        <v>2</v>
      </c>
      <c r="T15" s="1">
        <v>7.0000000000000007E-2</v>
      </c>
      <c r="U15" s="1">
        <f t="shared" si="11"/>
        <v>13.285714285714283</v>
      </c>
      <c r="V15" s="39">
        <f t="shared" si="4"/>
        <v>1.0008132673971324</v>
      </c>
      <c r="W15" s="1">
        <v>1</v>
      </c>
      <c r="X15" s="1">
        <v>7.0000000000000007E-2</v>
      </c>
      <c r="Y15" s="1">
        <f t="shared" si="12"/>
        <v>13.285714285714283</v>
      </c>
      <c r="Z15" s="39">
        <f t="shared" si="5"/>
        <v>1.3974021104390677</v>
      </c>
      <c r="AA15" s="12"/>
    </row>
    <row r="16" spans="1:30" x14ac:dyDescent="0.5">
      <c r="A16" s="35">
        <v>2.2999999999999998</v>
      </c>
      <c r="B16" s="1">
        <v>5</v>
      </c>
      <c r="C16" s="1">
        <v>7.0000000000000007E-2</v>
      </c>
      <c r="D16" s="1">
        <f t="shared" si="6"/>
        <v>13.285714285714283</v>
      </c>
      <c r="E16" s="39">
        <f t="shared" si="0"/>
        <v>0.59189274476539988</v>
      </c>
      <c r="F16" s="1">
        <v>4</v>
      </c>
      <c r="G16" s="1">
        <v>7.0000000000000007E-2</v>
      </c>
      <c r="H16" s="1">
        <f t="shared" si="7"/>
        <v>13.285714285714283</v>
      </c>
      <c r="I16" s="39">
        <f t="shared" si="1"/>
        <v>0.69901712848945663</v>
      </c>
      <c r="J16" s="1">
        <v>3</v>
      </c>
      <c r="K16" s="1">
        <v>7.0000000000000007E-2</v>
      </c>
      <c r="L16" s="1">
        <f t="shared" si="8"/>
        <v>13.285714285714283</v>
      </c>
      <c r="M16" s="39">
        <f t="shared" si="2"/>
        <v>0.85348632474875352</v>
      </c>
      <c r="N16" s="1">
        <v>2.2999999999999998</v>
      </c>
      <c r="O16" s="1">
        <v>7.0000000000000007E-2</v>
      </c>
      <c r="P16" s="1">
        <f t="shared" si="9"/>
        <v>13.285714285714283</v>
      </c>
      <c r="Q16" s="39">
        <f t="shared" si="3"/>
        <v>1.0096682656292384</v>
      </c>
      <c r="R16" s="37">
        <f t="shared" si="10"/>
        <v>1</v>
      </c>
      <c r="S16" s="1">
        <v>2</v>
      </c>
      <c r="T16" s="1">
        <v>7.0000000000000007E-2</v>
      </c>
      <c r="U16" s="1">
        <f t="shared" si="11"/>
        <v>13.285714285714283</v>
      </c>
      <c r="V16" s="39">
        <f t="shared" si="4"/>
        <v>1.0955905341290186</v>
      </c>
      <c r="W16" s="1">
        <v>1</v>
      </c>
      <c r="X16" s="1">
        <v>7.0000000000000007E-2</v>
      </c>
      <c r="Y16" s="1">
        <f t="shared" si="12"/>
        <v>13.285714285714283</v>
      </c>
      <c r="Z16" s="39">
        <f t="shared" si="5"/>
        <v>1.5294388155919805</v>
      </c>
      <c r="AA16" s="12"/>
    </row>
    <row r="17" spans="1:27" x14ac:dyDescent="0.5">
      <c r="A17" s="35">
        <v>2.5</v>
      </c>
      <c r="B17" s="1">
        <v>5</v>
      </c>
      <c r="C17" s="1">
        <v>7.0000000000000007E-2</v>
      </c>
      <c r="D17" s="1">
        <f t="shared" si="6"/>
        <v>13.285714285714283</v>
      </c>
      <c r="E17" s="39">
        <f t="shared" si="0"/>
        <v>0.64319103807582223</v>
      </c>
      <c r="F17" s="1">
        <v>4</v>
      </c>
      <c r="G17" s="1">
        <v>7.0000000000000007E-2</v>
      </c>
      <c r="H17" s="1">
        <f t="shared" si="7"/>
        <v>13.285714285714283</v>
      </c>
      <c r="I17" s="39">
        <f t="shared" si="1"/>
        <v>0.75956324019357513</v>
      </c>
      <c r="J17" s="1">
        <v>3</v>
      </c>
      <c r="K17" s="1">
        <v>7.0000000000000007E-2</v>
      </c>
      <c r="L17" s="1">
        <f t="shared" si="8"/>
        <v>13.285714285714283</v>
      </c>
      <c r="M17" s="39">
        <f t="shared" si="2"/>
        <v>0.92734776283364517</v>
      </c>
      <c r="N17" s="1">
        <v>2.2999999999999998</v>
      </c>
      <c r="O17" s="1">
        <v>7.0000000000000007E-2</v>
      </c>
      <c r="P17" s="1">
        <f t="shared" si="9"/>
        <v>13.285714285714283</v>
      </c>
      <c r="Q17" s="39">
        <f t="shared" si="3"/>
        <v>1.0969690584062095</v>
      </c>
      <c r="R17" s="37">
        <f t="shared" si="10"/>
        <v>1.0869565217391306</v>
      </c>
      <c r="S17" s="1">
        <v>2</v>
      </c>
      <c r="T17" s="1">
        <v>7.0000000000000007E-2</v>
      </c>
      <c r="U17" s="1">
        <f t="shared" si="11"/>
        <v>13.285714285714283</v>
      </c>
      <c r="V17" s="39">
        <f t="shared" si="4"/>
        <v>1.1902747608703936</v>
      </c>
      <c r="W17" s="1">
        <v>1</v>
      </c>
      <c r="X17" s="1">
        <v>7.0000000000000007E-2</v>
      </c>
      <c r="Y17" s="1">
        <f t="shared" si="12"/>
        <v>13.285714285714283</v>
      </c>
      <c r="Z17" s="39">
        <f t="shared" si="5"/>
        <v>1.661294611988724</v>
      </c>
      <c r="AA17" s="12"/>
    </row>
    <row r="18" spans="1:27" x14ac:dyDescent="0.5">
      <c r="A18" s="35">
        <v>2.7</v>
      </c>
      <c r="B18" s="1">
        <v>5</v>
      </c>
      <c r="C18" s="1">
        <v>7.0000000000000007E-2</v>
      </c>
      <c r="D18" s="1">
        <f t="shared" si="6"/>
        <v>13.285714285714283</v>
      </c>
      <c r="E18" s="39">
        <f t="shared" si="0"/>
        <v>0.69446212655855377</v>
      </c>
      <c r="F18" s="1">
        <v>4</v>
      </c>
      <c r="G18" s="1">
        <v>7.0000000000000007E-2</v>
      </c>
      <c r="H18" s="1">
        <f t="shared" si="7"/>
        <v>13.285714285714283</v>
      </c>
      <c r="I18" s="39">
        <f t="shared" si="1"/>
        <v>0.82007143503117141</v>
      </c>
      <c r="J18" s="1">
        <v>3</v>
      </c>
      <c r="K18" s="1">
        <v>7.0000000000000007E-2</v>
      </c>
      <c r="L18" s="1">
        <f t="shared" si="8"/>
        <v>13.285714285714283</v>
      </c>
      <c r="M18" s="39">
        <f t="shared" si="2"/>
        <v>1.001152731593987</v>
      </c>
      <c r="N18" s="1">
        <v>2.2999999999999998</v>
      </c>
      <c r="O18" s="1">
        <v>7.0000000000000007E-2</v>
      </c>
      <c r="P18" s="1">
        <f t="shared" si="9"/>
        <v>13.285714285714283</v>
      </c>
      <c r="Q18" s="39">
        <f t="shared" si="3"/>
        <v>1.1841909044059726</v>
      </c>
      <c r="R18" s="37">
        <f t="shared" si="10"/>
        <v>1.173913043478261</v>
      </c>
      <c r="S18" s="1">
        <v>2</v>
      </c>
      <c r="T18" s="1">
        <v>7.0000000000000007E-2</v>
      </c>
      <c r="U18" s="1">
        <f t="shared" si="11"/>
        <v>13.285714285714283</v>
      </c>
      <c r="V18" s="39">
        <f t="shared" si="4"/>
        <v>1.2848660845558828</v>
      </c>
      <c r="W18" s="1">
        <v>1</v>
      </c>
      <c r="X18" s="1">
        <v>7.0000000000000007E-2</v>
      </c>
      <c r="Y18" s="1">
        <f t="shared" si="12"/>
        <v>13.285714285714283</v>
      </c>
      <c r="Z18" s="39">
        <f t="shared" si="5"/>
        <v>1.7929698711802138</v>
      </c>
      <c r="AA18" s="12"/>
    </row>
    <row r="20" spans="1:27" x14ac:dyDescent="0.5">
      <c r="A20" s="2" t="s">
        <v>94</v>
      </c>
    </row>
    <row r="21" spans="1:27" x14ac:dyDescent="0.5">
      <c r="A21" s="1" t="s">
        <v>95</v>
      </c>
      <c r="B21" s="1" t="s">
        <v>97</v>
      </c>
      <c r="C21" s="1" t="s">
        <v>99</v>
      </c>
    </row>
    <row r="22" spans="1:27" x14ac:dyDescent="0.5">
      <c r="A22" s="1" t="s">
        <v>96</v>
      </c>
      <c r="B22" s="1" t="s">
        <v>98</v>
      </c>
      <c r="C22" s="1" t="s">
        <v>77</v>
      </c>
      <c r="D22" s="1" t="s">
        <v>91</v>
      </c>
    </row>
    <row r="23" spans="1:27" x14ac:dyDescent="0.5">
      <c r="A23" s="1">
        <v>1</v>
      </c>
      <c r="B23" s="1">
        <v>2.34</v>
      </c>
      <c r="C23" s="1">
        <f>A23/B23</f>
        <v>0.42735042735042739</v>
      </c>
      <c r="D23" s="15">
        <v>0.08</v>
      </c>
    </row>
    <row r="25" spans="1:27" x14ac:dyDescent="0.5">
      <c r="D25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Subtraction Network Vary Input</vt:lpstr>
      <vt:lpstr>Subtraction Network Vary gs</vt:lpstr>
      <vt:lpstr>Nonlinearity of Synaptic Gain</vt:lpstr>
      <vt:lpstr>Derivative kd Gain Zero Error</vt:lpstr>
      <vt:lpstr>Multiplication Baseline</vt:lpstr>
      <vt:lpstr>Division Network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Hamstreet</dc:creator>
  <cp:lastModifiedBy>Tiffany Hamstreet</cp:lastModifiedBy>
  <dcterms:created xsi:type="dcterms:W3CDTF">2018-04-26T20:04:48Z</dcterms:created>
  <dcterms:modified xsi:type="dcterms:W3CDTF">2018-07-20T01:59:58Z</dcterms:modified>
</cp:coreProperties>
</file>