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9435" windowHeight="5415"/>
  </bookViews>
  <sheets>
    <sheet name="OVERVIEW" sheetId="1" r:id="rId1"/>
    <sheet name="ALE Tanks" sheetId="2" r:id="rId2"/>
    <sheet name="Alert" sheetId="3" r:id="rId3"/>
    <sheet name="Africa" sheetId="4" r:id="rId4"/>
    <sheet name="Acadia" sheetId="5" r:id="rId5"/>
    <sheet name="Allegheny" sheetId="6" r:id="rId6"/>
    <sheet name="Arctic" sheetId="7" r:id="rId7"/>
    <sheet name="Arguello" sheetId="8" r:id="rId8"/>
    <sheet name="BarrowFlt" sheetId="9" r:id="rId9"/>
    <sheet name="Bahamas" sheetId="10" r:id="rId10"/>
    <sheet name="Belem" sheetId="11" r:id="rId11"/>
    <sheet name="BeavertonOGC" sheetId="12" r:id="rId12"/>
    <sheet name="Beijing Rural" sheetId="13" r:id="rId13"/>
    <sheet name="BlackSaddleOR" sheetId="14" r:id="rId14"/>
    <sheet name="Brazil Many" sheetId="15" r:id="rId15"/>
    <sheet name="Brazil Flights1" sheetId="16" r:id="rId16"/>
    <sheet name="Brazil Flights2" sheetId="17" r:id="rId17"/>
    <sheet name="CajunPass" sheetId="18" r:id="rId18"/>
    <sheet name="Cozumel" sheetId="19" r:id="rId19"/>
    <sheet name="Chendu Rural" sheetId="20" r:id="rId20"/>
    <sheet name="DeadHorse" sheetId="21" r:id="rId21"/>
    <sheet name="DiscoveryBay" sheetId="22" r:id="rId22"/>
    <sheet name="Ducke Brazil" sheetId="23" r:id="rId23"/>
    <sheet name="Dye3" sheetId="24" r:id="rId24"/>
    <sheet name="Greenland" sheetId="25" r:id="rId25"/>
    <sheet name="GlenCanyon" sheetId="26" r:id="rId26"/>
    <sheet name="Guam" sheetId="27" r:id="rId27"/>
    <sheet name="GuangzhouRural" sheetId="28" r:id="rId28"/>
    <sheet name="Hawaii" sheetId="29" r:id="rId29"/>
    <sheet name="HopiPoint" sheetId="30" r:id="rId30"/>
    <sheet name="Iceland" sheetId="31" r:id="rId31"/>
    <sheet name="Jungfraujauch" sheetId="32" r:id="rId32"/>
    <sheet name="Keahole HA" sheetId="33" r:id="rId33"/>
    <sheet name="Kuwait" sheetId="34" r:id="rId34"/>
    <sheet name="Landsdown" sheetId="35" r:id="rId35"/>
    <sheet name="LaurelHill PA" sheetId="36" r:id="rId36"/>
    <sheet name="Marshall Isl" sheetId="37" r:id="rId37"/>
    <sheet name="NiwotRidge" sheetId="38" r:id="rId38"/>
    <sheet name="NorwayShipM" sheetId="39" r:id="rId39"/>
    <sheet name="NorwayNyAlesund" sheetId="40" r:id="rId40"/>
    <sheet name="PachecoPass" sheetId="41" r:id="rId41"/>
    <sheet name="PtReyes" sheetId="42" r:id="rId42"/>
    <sheet name="Sondrestrom" sheetId="43" r:id="rId43"/>
    <sheet name="SanNicholsIISL" sheetId="44" r:id="rId44"/>
    <sheet name="Shenandoah" sheetId="45" r:id="rId45"/>
    <sheet name="SpiritMountain" sheetId="46" r:id="rId46"/>
    <sheet name="Toolik Lake" sheetId="47" r:id="rId47"/>
    <sheet name="TuZu China" sheetId="48" r:id="rId48"/>
    <sheet name="CStJames" sheetId="49" r:id="rId49"/>
    <sheet name="WhiteFaceMtn" sheetId="50" r:id="rId50"/>
    <sheet name="AmazonRiver" sheetId="51" r:id="rId51"/>
    <sheet name="Cruise83" sheetId="52" r:id="rId52"/>
    <sheet name="Cruise87" sheetId="53" r:id="rId53"/>
    <sheet name="Cruise91" sheetId="54" r:id="rId54"/>
    <sheet name="Cruise92" sheetId="55" r:id="rId55"/>
    <sheet name="Tillamook" sheetId="56" r:id="rId56"/>
    <sheet name="Yangtze River" sheetId="57" r:id="rId57"/>
    <sheet name="Yosemite" sheetId="58" r:id="rId58"/>
  </sheets>
  <definedNames>
    <definedName name="\Z">'Brazil Many'!$D$1:$D$1</definedName>
  </definedNames>
  <calcPr calcId="145621" calcMode="manual" iterate="1" iterateCount="50" iterateDelta="0"/>
</workbook>
</file>

<file path=xl/calcChain.xml><?xml version="1.0" encoding="utf-8"?>
<calcChain xmlns="http://schemas.openxmlformats.org/spreadsheetml/2006/main">
  <c r="B9" i="58" l="1"/>
  <c r="B10" i="58"/>
  <c r="B11" i="58"/>
  <c r="B12" i="58"/>
  <c r="B13" i="58"/>
  <c r="B14" i="58"/>
  <c r="B15" i="58"/>
  <c r="B16" i="58"/>
  <c r="B17" i="58"/>
  <c r="B18" i="58"/>
  <c r="B19" i="58"/>
  <c r="B20" i="58"/>
  <c r="B21" i="58"/>
  <c r="B22" i="58"/>
  <c r="B23" i="58"/>
  <c r="B24" i="58"/>
  <c r="B25" i="58"/>
  <c r="B26" i="58"/>
  <c r="B27" i="58"/>
  <c r="B28" i="58"/>
  <c r="B29" i="58"/>
  <c r="B30" i="58"/>
  <c r="B31" i="58"/>
  <c r="B32" i="58"/>
  <c r="B33" i="58"/>
  <c r="B34" i="58"/>
  <c r="B35" i="58"/>
  <c r="B36" i="58"/>
  <c r="B37" i="58"/>
  <c r="B38" i="58"/>
  <c r="B39" i="58"/>
  <c r="B40" i="58"/>
  <c r="B41" i="58"/>
  <c r="B42" i="58"/>
  <c r="D47" i="58"/>
  <c r="E47" i="58"/>
  <c r="F47" i="58"/>
  <c r="G47" i="58"/>
  <c r="H47" i="58"/>
  <c r="I47" i="58"/>
  <c r="J47" i="58"/>
  <c r="K47" i="58"/>
  <c r="L47" i="58"/>
  <c r="D48" i="58"/>
  <c r="E48" i="58"/>
  <c r="F48" i="58"/>
  <c r="G48" i="58"/>
  <c r="H48" i="58"/>
  <c r="I48" i="58"/>
  <c r="J48" i="58"/>
  <c r="K48" i="58"/>
  <c r="L48" i="58"/>
  <c r="D49" i="58"/>
  <c r="E49" i="58"/>
  <c r="F49" i="58"/>
  <c r="G49" i="58"/>
  <c r="H49" i="58"/>
  <c r="I49" i="58"/>
  <c r="J49" i="58"/>
  <c r="K49" i="58"/>
  <c r="L49" i="58"/>
  <c r="C8" i="57"/>
  <c r="C11" i="57"/>
  <c r="C15" i="57"/>
  <c r="C24" i="57"/>
  <c r="F24" i="57"/>
  <c r="G24" i="57"/>
  <c r="H24" i="57"/>
  <c r="I24" i="57"/>
  <c r="J24" i="57"/>
  <c r="K24" i="57"/>
  <c r="L24" i="57"/>
  <c r="M24" i="57"/>
  <c r="N24" i="57"/>
  <c r="O24" i="57"/>
  <c r="P24" i="57"/>
  <c r="Q24" i="57"/>
  <c r="R24" i="57"/>
  <c r="S24" i="57"/>
  <c r="T24" i="57"/>
  <c r="U24" i="57"/>
  <c r="V24" i="57"/>
  <c r="W24" i="57"/>
  <c r="X24" i="57"/>
  <c r="Y24" i="57"/>
  <c r="Z24" i="57"/>
  <c r="AA24" i="57"/>
  <c r="AB24" i="57"/>
  <c r="AC24" i="57"/>
  <c r="AD24" i="57"/>
  <c r="AE24" i="57"/>
  <c r="AF24" i="57"/>
  <c r="AG24" i="57"/>
  <c r="AH24" i="57"/>
  <c r="AI24" i="57"/>
  <c r="AJ24" i="57"/>
  <c r="AK24" i="57"/>
  <c r="AL24" i="57"/>
  <c r="AM24" i="57"/>
  <c r="AN24" i="57"/>
  <c r="AO24" i="57"/>
  <c r="F25" i="57"/>
  <c r="G25" i="57"/>
  <c r="H25" i="57"/>
  <c r="I25" i="57"/>
  <c r="J25" i="57"/>
  <c r="K25" i="57"/>
  <c r="L25" i="57"/>
  <c r="M25" i="57"/>
  <c r="N25" i="57"/>
  <c r="O25" i="57"/>
  <c r="P25" i="57"/>
  <c r="Q25" i="57"/>
  <c r="R25" i="57"/>
  <c r="S25" i="57"/>
  <c r="T25" i="57"/>
  <c r="U25" i="57"/>
  <c r="V25" i="57"/>
  <c r="W25" i="57"/>
  <c r="X25" i="57"/>
  <c r="Y25" i="57"/>
  <c r="Z25" i="57"/>
  <c r="AA25" i="57"/>
  <c r="AB25" i="57"/>
  <c r="AC25" i="57"/>
  <c r="AD25" i="57"/>
  <c r="AE25" i="57"/>
  <c r="AF25" i="57"/>
  <c r="AG25" i="57"/>
  <c r="AH25" i="57"/>
  <c r="AI25" i="57"/>
  <c r="AJ25" i="57"/>
  <c r="AK25" i="57"/>
  <c r="AL25" i="57"/>
  <c r="AM25" i="57"/>
  <c r="AN25" i="57"/>
  <c r="AO25" i="57"/>
  <c r="F26" i="57"/>
  <c r="G26" i="57"/>
  <c r="H26" i="57"/>
  <c r="I26" i="57"/>
  <c r="J26" i="57"/>
  <c r="K26" i="57"/>
  <c r="L26" i="57"/>
  <c r="M26" i="57"/>
  <c r="N26" i="57"/>
  <c r="O26" i="57"/>
  <c r="P26" i="57"/>
  <c r="Q26" i="57"/>
  <c r="R26" i="57"/>
  <c r="S26" i="57"/>
  <c r="T26" i="57"/>
  <c r="U26" i="57"/>
  <c r="V26" i="57"/>
  <c r="W26" i="57"/>
  <c r="X26" i="57"/>
  <c r="Y26" i="57"/>
  <c r="Z26" i="57"/>
  <c r="AA26" i="57"/>
  <c r="AB26" i="57"/>
  <c r="AC26" i="57"/>
  <c r="AD26" i="57"/>
  <c r="AE26" i="57"/>
  <c r="AF26" i="57"/>
  <c r="AG26" i="57"/>
  <c r="AH26" i="57"/>
  <c r="AI26" i="57"/>
  <c r="AJ26" i="57"/>
  <c r="AK26" i="57"/>
  <c r="AL26" i="57"/>
  <c r="AM26" i="57"/>
  <c r="AN26" i="57"/>
  <c r="AO26" i="57"/>
  <c r="B10" i="56"/>
  <c r="V10" i="56"/>
  <c r="B11" i="56"/>
  <c r="B12" i="56"/>
  <c r="B13" i="56"/>
  <c r="V14" i="56"/>
  <c r="B15" i="56"/>
  <c r="B16" i="56"/>
  <c r="B17" i="56"/>
  <c r="B18" i="56"/>
  <c r="V18" i="56"/>
  <c r="B20" i="56"/>
  <c r="B21" i="56"/>
  <c r="B22" i="56"/>
  <c r="V22" i="56"/>
  <c r="B23" i="56"/>
  <c r="B24" i="56"/>
  <c r="B25" i="56"/>
  <c r="V26" i="56"/>
  <c r="B27" i="56"/>
  <c r="B28" i="56"/>
  <c r="B29" i="56"/>
  <c r="B30" i="56"/>
  <c r="V30" i="56"/>
  <c r="B31" i="56"/>
  <c r="B32" i="56"/>
  <c r="B34" i="56"/>
  <c r="B35" i="56"/>
  <c r="V35" i="56"/>
  <c r="B36" i="56"/>
  <c r="B37" i="56"/>
  <c r="V37" i="56"/>
  <c r="B39" i="56"/>
  <c r="B40" i="56"/>
  <c r="V40" i="56"/>
  <c r="B41" i="56"/>
  <c r="B42" i="56"/>
  <c r="B43" i="56"/>
  <c r="V43" i="56"/>
  <c r="B44" i="56"/>
  <c r="B46" i="56"/>
  <c r="B47" i="56"/>
  <c r="V47" i="56"/>
  <c r="B48" i="56"/>
  <c r="B49" i="56"/>
  <c r="B50" i="56"/>
  <c r="V50" i="56"/>
  <c r="B51" i="56"/>
  <c r="V53" i="56"/>
  <c r="B55" i="56"/>
  <c r="C55" i="56"/>
  <c r="H55" i="56"/>
  <c r="I55" i="56"/>
  <c r="J55" i="56"/>
  <c r="K55" i="56"/>
  <c r="L55" i="56"/>
  <c r="M55" i="56"/>
  <c r="N55" i="56"/>
  <c r="O55" i="56"/>
  <c r="P55" i="56"/>
  <c r="Q55" i="56"/>
  <c r="R55" i="56"/>
  <c r="S55" i="56"/>
  <c r="C56" i="56"/>
  <c r="H56" i="56"/>
  <c r="I56" i="56"/>
  <c r="J56" i="56"/>
  <c r="K56" i="56"/>
  <c r="L56" i="56"/>
  <c r="M56" i="56"/>
  <c r="N56" i="56"/>
  <c r="O56" i="56"/>
  <c r="P56" i="56"/>
  <c r="Q56" i="56"/>
  <c r="R56" i="56"/>
  <c r="S56" i="56"/>
  <c r="V56" i="56"/>
  <c r="C57" i="56"/>
  <c r="H57" i="56"/>
  <c r="I57" i="56"/>
  <c r="J57" i="56"/>
  <c r="K57" i="56"/>
  <c r="L57" i="56"/>
  <c r="M57" i="56"/>
  <c r="N57" i="56"/>
  <c r="O57" i="56"/>
  <c r="P57" i="56"/>
  <c r="Q57" i="56"/>
  <c r="R57" i="56"/>
  <c r="S57" i="56"/>
  <c r="V58" i="56"/>
  <c r="V66" i="56"/>
  <c r="V70" i="56"/>
  <c r="V74" i="56"/>
  <c r="V78" i="56"/>
  <c r="V83" i="56"/>
  <c r="V85" i="56"/>
  <c r="V90" i="56"/>
  <c r="V94" i="56"/>
  <c r="V98" i="56"/>
  <c r="V103" i="56"/>
  <c r="V108" i="56"/>
  <c r="V111" i="56"/>
  <c r="V114" i="56"/>
  <c r="V117" i="56"/>
  <c r="V120" i="56"/>
  <c r="V123" i="56"/>
  <c r="V130" i="56"/>
  <c r="V133" i="56"/>
  <c r="V136" i="56"/>
  <c r="V139" i="56"/>
  <c r="V142" i="56"/>
  <c r="V145" i="56"/>
  <c r="A8" i="55"/>
  <c r="A9" i="55"/>
  <c r="A10" i="55"/>
  <c r="A11" i="55"/>
  <c r="A12" i="55"/>
  <c r="A13" i="55"/>
  <c r="A14" i="55"/>
  <c r="A15" i="55"/>
  <c r="A20" i="55"/>
  <c r="B20" i="55"/>
  <c r="C20" i="55"/>
  <c r="D20" i="55"/>
  <c r="E20" i="55"/>
  <c r="F20" i="55"/>
  <c r="G20" i="55"/>
  <c r="H20" i="55"/>
  <c r="I20" i="55"/>
  <c r="J20" i="55"/>
  <c r="K20" i="55"/>
  <c r="L20" i="55"/>
  <c r="M20" i="55"/>
  <c r="B21" i="55"/>
  <c r="C21" i="55"/>
  <c r="D21" i="55"/>
  <c r="E21" i="55"/>
  <c r="F21" i="55"/>
  <c r="G21" i="55"/>
  <c r="H21" i="55"/>
  <c r="I21" i="55"/>
  <c r="J21" i="55"/>
  <c r="K21" i="55"/>
  <c r="L21" i="55"/>
  <c r="M21" i="55"/>
  <c r="B22" i="55"/>
  <c r="C22" i="55"/>
  <c r="D22" i="55"/>
  <c r="E22" i="55"/>
  <c r="F22" i="55"/>
  <c r="G22" i="55"/>
  <c r="H22" i="55"/>
  <c r="I22" i="55"/>
  <c r="J22" i="55"/>
  <c r="K22" i="55"/>
  <c r="L22" i="55"/>
  <c r="M22" i="55"/>
  <c r="A8" i="54"/>
  <c r="A9" i="54"/>
  <c r="A10" i="54"/>
  <c r="A11" i="54"/>
  <c r="A12" i="54"/>
  <c r="A13" i="54"/>
  <c r="A14" i="54"/>
  <c r="A15" i="54"/>
  <c r="A16" i="54"/>
  <c r="A17" i="54"/>
  <c r="A18" i="54"/>
  <c r="A19" i="54"/>
  <c r="A20" i="54"/>
  <c r="A21" i="54"/>
  <c r="A22" i="54"/>
  <c r="A23" i="54"/>
  <c r="A24" i="54"/>
  <c r="A25" i="54"/>
  <c r="A26" i="54"/>
  <c r="A27" i="54"/>
  <c r="A28" i="54"/>
  <c r="A29" i="54"/>
  <c r="A30" i="54"/>
  <c r="A31" i="54"/>
  <c r="A32" i="54"/>
  <c r="A33" i="54"/>
  <c r="A34" i="54"/>
  <c r="A35" i="54"/>
  <c r="A36" i="54"/>
  <c r="A37" i="54"/>
  <c r="A38" i="54"/>
  <c r="A39" i="54"/>
  <c r="A40" i="54"/>
  <c r="A41" i="54"/>
  <c r="A42" i="54"/>
  <c r="A43" i="54"/>
  <c r="A44" i="54"/>
  <c r="A45" i="54"/>
  <c r="A46" i="54"/>
  <c r="A47" i="54"/>
  <c r="A48" i="54"/>
  <c r="A49" i="54"/>
  <c r="A50" i="54"/>
  <c r="A51" i="54"/>
  <c r="A52" i="54"/>
  <c r="A53" i="54"/>
  <c r="A54" i="54"/>
  <c r="A55" i="54"/>
  <c r="A56" i="54"/>
  <c r="A57" i="54"/>
  <c r="A58" i="54"/>
  <c r="A59" i="54"/>
  <c r="A60" i="54"/>
  <c r="A61" i="54"/>
  <c r="A62" i="54"/>
  <c r="A63" i="54"/>
  <c r="A64" i="54"/>
  <c r="A65" i="54"/>
  <c r="A66" i="54"/>
  <c r="A67" i="54"/>
  <c r="A68" i="54"/>
  <c r="A69" i="54"/>
  <c r="A70" i="54"/>
  <c r="A71" i="54"/>
  <c r="A72" i="54"/>
  <c r="A73" i="54"/>
  <c r="A74" i="54"/>
  <c r="A75" i="54"/>
  <c r="A76" i="54"/>
  <c r="A77" i="54"/>
  <c r="A78" i="54"/>
  <c r="A79" i="54"/>
  <c r="A80" i="54"/>
  <c r="A81" i="54"/>
  <c r="A82" i="54"/>
  <c r="A83" i="54"/>
  <c r="A84" i="54"/>
  <c r="A85" i="54"/>
  <c r="A86" i="54"/>
  <c r="A87" i="54"/>
  <c r="A88" i="54"/>
  <c r="A89" i="54"/>
  <c r="A90" i="54"/>
  <c r="A91" i="54"/>
  <c r="A92" i="54"/>
  <c r="A93" i="54"/>
  <c r="A94" i="54"/>
  <c r="A95" i="54"/>
  <c r="A96" i="54"/>
  <c r="A97" i="54"/>
  <c r="B104" i="54"/>
  <c r="C104" i="54"/>
  <c r="D104" i="54"/>
  <c r="E104" i="54"/>
  <c r="F104" i="54"/>
  <c r="G104" i="54"/>
  <c r="H104" i="54"/>
  <c r="I104" i="54"/>
  <c r="J104" i="54"/>
  <c r="K104" i="54"/>
  <c r="L104" i="54"/>
  <c r="M104" i="54"/>
  <c r="N104" i="54"/>
  <c r="O104" i="54"/>
  <c r="P104" i="54"/>
  <c r="Q104" i="54"/>
  <c r="R104" i="54"/>
  <c r="S104" i="54"/>
  <c r="B105" i="54"/>
  <c r="C105" i="54"/>
  <c r="D105" i="54"/>
  <c r="E105" i="54"/>
  <c r="F105" i="54"/>
  <c r="G105" i="54"/>
  <c r="H105" i="54"/>
  <c r="I105" i="54"/>
  <c r="J105" i="54"/>
  <c r="K105" i="54"/>
  <c r="L105" i="54"/>
  <c r="M105" i="54"/>
  <c r="N105" i="54"/>
  <c r="O105" i="54"/>
  <c r="P105" i="54"/>
  <c r="Q105" i="54"/>
  <c r="R105" i="54"/>
  <c r="S105" i="54"/>
  <c r="B106" i="54"/>
  <c r="C106" i="54"/>
  <c r="D106" i="54"/>
  <c r="E106" i="54"/>
  <c r="F106" i="54"/>
  <c r="G106" i="54"/>
  <c r="H106" i="54"/>
  <c r="I106" i="54"/>
  <c r="J106" i="54"/>
  <c r="K106" i="54"/>
  <c r="L106" i="54"/>
  <c r="M106" i="54"/>
  <c r="N106" i="54"/>
  <c r="O106" i="54"/>
  <c r="P106" i="54"/>
  <c r="Q106" i="54"/>
  <c r="R106" i="54"/>
  <c r="S106" i="54"/>
  <c r="E107" i="54"/>
  <c r="F107" i="54"/>
  <c r="E108" i="54"/>
  <c r="F108" i="54"/>
  <c r="A27" i="53"/>
  <c r="B27" i="53"/>
  <c r="C27" i="53"/>
  <c r="D27" i="53"/>
  <c r="E27" i="53"/>
  <c r="F27" i="53"/>
  <c r="G27" i="53"/>
  <c r="H27" i="53"/>
  <c r="I27" i="53"/>
  <c r="J27" i="53"/>
  <c r="K27" i="53"/>
  <c r="L27" i="53"/>
  <c r="M27" i="53"/>
  <c r="N27" i="53"/>
  <c r="O27" i="53"/>
  <c r="P27" i="53"/>
  <c r="Q27" i="53"/>
  <c r="R27" i="53"/>
  <c r="S27" i="53"/>
  <c r="T27" i="53"/>
  <c r="U27" i="53"/>
  <c r="V27" i="53"/>
  <c r="W27" i="53"/>
  <c r="X27" i="53"/>
  <c r="Y27" i="53"/>
  <c r="Z27" i="53"/>
  <c r="B28" i="53"/>
  <c r="C28" i="53"/>
  <c r="D28" i="53"/>
  <c r="E28" i="53"/>
  <c r="F28" i="53"/>
  <c r="G28" i="53"/>
  <c r="H28" i="53"/>
  <c r="I28" i="53"/>
  <c r="J28" i="53"/>
  <c r="K28" i="53"/>
  <c r="L28" i="53"/>
  <c r="M28" i="53"/>
  <c r="N28" i="53"/>
  <c r="O28" i="53"/>
  <c r="P28" i="53"/>
  <c r="Q28" i="53"/>
  <c r="R28" i="53"/>
  <c r="S28" i="53"/>
  <c r="T28" i="53"/>
  <c r="U28" i="53"/>
  <c r="V28" i="53"/>
  <c r="W28" i="53"/>
  <c r="X28" i="53"/>
  <c r="Y28" i="53"/>
  <c r="Z28" i="53"/>
  <c r="B29" i="53"/>
  <c r="C29" i="53"/>
  <c r="D29" i="53"/>
  <c r="E29" i="53"/>
  <c r="F29" i="53"/>
  <c r="G29" i="53"/>
  <c r="H29" i="53"/>
  <c r="I29" i="53"/>
  <c r="J29" i="53"/>
  <c r="K29" i="53"/>
  <c r="L29" i="53"/>
  <c r="M29" i="53"/>
  <c r="N29" i="53"/>
  <c r="O29" i="53"/>
  <c r="P29" i="53"/>
  <c r="Q29" i="53"/>
  <c r="R29" i="53"/>
  <c r="S29" i="53"/>
  <c r="T29" i="53"/>
  <c r="U29" i="53"/>
  <c r="V29" i="53"/>
  <c r="W29" i="53"/>
  <c r="X29" i="53"/>
  <c r="Y29" i="53"/>
  <c r="Z29" i="53"/>
  <c r="A9" i="52"/>
  <c r="A10" i="52"/>
  <c r="A11" i="52"/>
  <c r="A12" i="52"/>
  <c r="A13" i="52"/>
  <c r="A14" i="52"/>
  <c r="A15" i="52"/>
  <c r="A16" i="52"/>
  <c r="A17" i="52"/>
  <c r="A18" i="52"/>
  <c r="A19" i="52"/>
  <c r="B24" i="52"/>
  <c r="C24" i="52"/>
  <c r="D24" i="52"/>
  <c r="E24" i="52"/>
  <c r="F24" i="52"/>
  <c r="G24" i="52"/>
  <c r="H24" i="52"/>
  <c r="I24" i="52"/>
  <c r="J24" i="52"/>
  <c r="K24" i="52"/>
  <c r="L24" i="52"/>
  <c r="M24" i="52"/>
  <c r="N24" i="52"/>
  <c r="O24" i="52"/>
  <c r="P24" i="52"/>
  <c r="Q24" i="52"/>
  <c r="R24" i="52"/>
  <c r="S24" i="52"/>
  <c r="T24" i="52"/>
  <c r="U24" i="52"/>
  <c r="B25" i="52"/>
  <c r="C25" i="52"/>
  <c r="D25" i="52"/>
  <c r="E25" i="52"/>
  <c r="F25" i="52"/>
  <c r="G25" i="52"/>
  <c r="H25" i="52"/>
  <c r="I25" i="52"/>
  <c r="J25" i="52"/>
  <c r="K25" i="52"/>
  <c r="L25" i="52"/>
  <c r="M25" i="52"/>
  <c r="N25" i="52"/>
  <c r="O25" i="52"/>
  <c r="P25" i="52"/>
  <c r="Q25" i="52"/>
  <c r="R25" i="52"/>
  <c r="S25" i="52"/>
  <c r="T25" i="52"/>
  <c r="U25" i="52"/>
  <c r="B26" i="52"/>
  <c r="C26" i="52"/>
  <c r="D26" i="52"/>
  <c r="E26" i="52"/>
  <c r="F26" i="52"/>
  <c r="G26" i="52"/>
  <c r="H26" i="52"/>
  <c r="I26" i="52"/>
  <c r="J26" i="52"/>
  <c r="K26" i="52"/>
  <c r="L26" i="52"/>
  <c r="M26" i="52"/>
  <c r="N26" i="52"/>
  <c r="O26" i="52"/>
  <c r="P26" i="52"/>
  <c r="Q26" i="52"/>
  <c r="R26" i="52"/>
  <c r="S26" i="52"/>
  <c r="T26" i="52"/>
  <c r="U26" i="52"/>
  <c r="C8" i="51"/>
  <c r="C9" i="51"/>
  <c r="C10" i="51"/>
  <c r="C11" i="51"/>
  <c r="C33" i="51" s="1"/>
  <c r="C12" i="51"/>
  <c r="C13" i="51"/>
  <c r="C14" i="51"/>
  <c r="C15" i="51"/>
  <c r="C16" i="51"/>
  <c r="C17" i="51"/>
  <c r="C18" i="51"/>
  <c r="C19" i="51"/>
  <c r="C20" i="51"/>
  <c r="C21" i="51"/>
  <c r="C22" i="51"/>
  <c r="C23" i="51"/>
  <c r="C24" i="51"/>
  <c r="C25" i="51"/>
  <c r="C26" i="51"/>
  <c r="C27" i="51"/>
  <c r="D33" i="51"/>
  <c r="J33" i="51"/>
  <c r="K33" i="51"/>
  <c r="L33" i="51"/>
  <c r="M33" i="51"/>
  <c r="N33" i="51"/>
  <c r="O33" i="51"/>
  <c r="P33" i="51"/>
  <c r="Q33" i="51"/>
  <c r="R33" i="51"/>
  <c r="S33" i="51"/>
  <c r="T33" i="51"/>
  <c r="U33" i="51"/>
  <c r="D34" i="51"/>
  <c r="J34" i="51"/>
  <c r="K34" i="51"/>
  <c r="L34" i="51"/>
  <c r="M34" i="51"/>
  <c r="N34" i="51"/>
  <c r="O34" i="51"/>
  <c r="P34" i="51"/>
  <c r="Q34" i="51"/>
  <c r="R34" i="51"/>
  <c r="S34" i="51"/>
  <c r="T34" i="51"/>
  <c r="U34" i="51"/>
  <c r="D35" i="51"/>
  <c r="J35" i="51"/>
  <c r="K35" i="51"/>
  <c r="L35" i="51"/>
  <c r="M35" i="51"/>
  <c r="N35" i="51"/>
  <c r="O35" i="51"/>
  <c r="P35" i="51"/>
  <c r="Q35" i="51"/>
  <c r="R35" i="51"/>
  <c r="S35" i="51"/>
  <c r="T35" i="51"/>
  <c r="U35" i="51"/>
  <c r="A8" i="50"/>
  <c r="F8" i="50"/>
  <c r="A9" i="50"/>
  <c r="F9" i="50"/>
  <c r="A10" i="50"/>
  <c r="F10" i="50"/>
  <c r="A11" i="50"/>
  <c r="A12" i="50"/>
  <c r="F12" i="50"/>
  <c r="A13" i="50"/>
  <c r="F13" i="50"/>
  <c r="A14" i="50"/>
  <c r="F14" i="50"/>
  <c r="A15" i="50"/>
  <c r="F15" i="50"/>
  <c r="A16" i="50"/>
  <c r="A17" i="50"/>
  <c r="F17" i="50"/>
  <c r="A18" i="50"/>
  <c r="F18" i="50"/>
  <c r="A19" i="50"/>
  <c r="F19" i="50"/>
  <c r="A20" i="50"/>
  <c r="F20" i="50"/>
  <c r="A21" i="50"/>
  <c r="A22" i="50"/>
  <c r="A23" i="50"/>
  <c r="A24" i="50"/>
  <c r="A25" i="50"/>
  <c r="A26" i="50"/>
  <c r="A27" i="50"/>
  <c r="E12" i="50" s="1"/>
  <c r="A28" i="50"/>
  <c r="E13" i="50" s="1"/>
  <c r="A29" i="50"/>
  <c r="A30" i="50"/>
  <c r="A31" i="50"/>
  <c r="A32" i="50"/>
  <c r="A33" i="50"/>
  <c r="A34" i="50"/>
  <c r="A35" i="50"/>
  <c r="A36" i="50"/>
  <c r="A37" i="50"/>
  <c r="A38" i="50"/>
  <c r="A39" i="50"/>
  <c r="A40" i="50"/>
  <c r="A41" i="50"/>
  <c r="A42" i="50"/>
  <c r="A43" i="50"/>
  <c r="A44" i="50"/>
  <c r="A45" i="50"/>
  <c r="A46" i="50"/>
  <c r="A47" i="50"/>
  <c r="A48" i="50"/>
  <c r="A49" i="50"/>
  <c r="A50" i="50"/>
  <c r="A51" i="50"/>
  <c r="A52" i="50"/>
  <c r="A53" i="50"/>
  <c r="A54" i="50"/>
  <c r="E17" i="50" s="1"/>
  <c r="A55" i="50"/>
  <c r="A56" i="50"/>
  <c r="A57" i="50"/>
  <c r="A58" i="50"/>
  <c r="A59" i="50"/>
  <c r="A60" i="50"/>
  <c r="E19" i="50" s="1"/>
  <c r="A61" i="50"/>
  <c r="A62" i="50"/>
  <c r="A6" i="49"/>
  <c r="A7" i="49"/>
  <c r="A8" i="49"/>
  <c r="A9" i="49"/>
  <c r="A10" i="49"/>
  <c r="A11" i="49"/>
  <c r="A12" i="49"/>
  <c r="A13" i="49"/>
  <c r="A14" i="49"/>
  <c r="A15" i="49"/>
  <c r="A16" i="49"/>
  <c r="A17" i="49"/>
  <c r="A35" i="49" s="1"/>
  <c r="A18" i="49"/>
  <c r="A19" i="49"/>
  <c r="A36" i="49" s="1"/>
  <c r="A20" i="49"/>
  <c r="A21" i="49"/>
  <c r="A37" i="49" s="1"/>
  <c r="A22" i="49"/>
  <c r="A23" i="49"/>
  <c r="A24" i="49"/>
  <c r="A25" i="49"/>
  <c r="A26" i="49"/>
  <c r="A27" i="49"/>
  <c r="A39" i="49" s="1"/>
  <c r="A28" i="49"/>
  <c r="A29" i="49"/>
  <c r="A40" i="49" s="1"/>
  <c r="A32" i="49"/>
  <c r="B32" i="49"/>
  <c r="C32" i="49"/>
  <c r="D32" i="49"/>
  <c r="E32" i="49"/>
  <c r="F32" i="49"/>
  <c r="G32" i="49"/>
  <c r="H32" i="49"/>
  <c r="I32" i="49"/>
  <c r="J32" i="49"/>
  <c r="K32" i="49"/>
  <c r="L32" i="49"/>
  <c r="M32" i="49"/>
  <c r="A33" i="49"/>
  <c r="B33" i="49"/>
  <c r="C33" i="49"/>
  <c r="D33" i="49"/>
  <c r="E33" i="49"/>
  <c r="F33" i="49"/>
  <c r="G33" i="49"/>
  <c r="H33" i="49"/>
  <c r="I33" i="49"/>
  <c r="J33" i="49"/>
  <c r="K33" i="49"/>
  <c r="L33" i="49"/>
  <c r="M33" i="49"/>
  <c r="B34" i="49"/>
  <c r="C34" i="49"/>
  <c r="D34" i="49"/>
  <c r="E34" i="49"/>
  <c r="F34" i="49"/>
  <c r="G34" i="49"/>
  <c r="H34" i="49"/>
  <c r="I34" i="49"/>
  <c r="J34" i="49"/>
  <c r="K34" i="49"/>
  <c r="L34" i="49"/>
  <c r="M34" i="49"/>
  <c r="B35" i="49"/>
  <c r="C35" i="49"/>
  <c r="D35" i="49"/>
  <c r="E35" i="49"/>
  <c r="F35" i="49"/>
  <c r="G35" i="49"/>
  <c r="H35" i="49"/>
  <c r="I35" i="49"/>
  <c r="J35" i="49"/>
  <c r="K35" i="49"/>
  <c r="L35" i="49"/>
  <c r="M35" i="49"/>
  <c r="B36" i="49"/>
  <c r="C36" i="49"/>
  <c r="D36" i="49"/>
  <c r="E36" i="49"/>
  <c r="F36" i="49"/>
  <c r="G36" i="49"/>
  <c r="H36" i="49"/>
  <c r="I36" i="49"/>
  <c r="J36" i="49"/>
  <c r="K36" i="49"/>
  <c r="L36" i="49"/>
  <c r="M36" i="49"/>
  <c r="B37" i="49"/>
  <c r="C37" i="49"/>
  <c r="D37" i="49"/>
  <c r="E37" i="49"/>
  <c r="F37" i="49"/>
  <c r="G37" i="49"/>
  <c r="H37" i="49"/>
  <c r="I37" i="49"/>
  <c r="J37" i="49"/>
  <c r="K37" i="49"/>
  <c r="L37" i="49"/>
  <c r="M37" i="49"/>
  <c r="B38" i="49"/>
  <c r="C38" i="49"/>
  <c r="D38" i="49"/>
  <c r="E38" i="49"/>
  <c r="F38" i="49"/>
  <c r="G38" i="49"/>
  <c r="H38" i="49"/>
  <c r="I38" i="49"/>
  <c r="J38" i="49"/>
  <c r="K38" i="49"/>
  <c r="L38" i="49"/>
  <c r="M38" i="49"/>
  <c r="B39" i="49"/>
  <c r="C39" i="49"/>
  <c r="D39" i="49"/>
  <c r="E39" i="49"/>
  <c r="F39" i="49"/>
  <c r="G39" i="49"/>
  <c r="H39" i="49"/>
  <c r="I39" i="49"/>
  <c r="J39" i="49"/>
  <c r="K39" i="49"/>
  <c r="L39" i="49"/>
  <c r="M39" i="49"/>
  <c r="B40" i="49"/>
  <c r="C40" i="49"/>
  <c r="D40" i="49"/>
  <c r="E40" i="49"/>
  <c r="F40" i="49"/>
  <c r="G40" i="49"/>
  <c r="H40" i="49"/>
  <c r="I40" i="49"/>
  <c r="J40" i="49"/>
  <c r="K40" i="49"/>
  <c r="L40" i="49"/>
  <c r="M40" i="49"/>
  <c r="A69" i="49"/>
  <c r="B69" i="49"/>
  <c r="C69" i="49"/>
  <c r="D69" i="49"/>
  <c r="E69" i="49"/>
  <c r="F69" i="49"/>
  <c r="G69" i="49"/>
  <c r="H69" i="49"/>
  <c r="I69" i="49"/>
  <c r="J69" i="49"/>
  <c r="K69" i="49"/>
  <c r="L69" i="49"/>
  <c r="M69" i="49"/>
  <c r="B70" i="49"/>
  <c r="C70" i="49"/>
  <c r="D70" i="49"/>
  <c r="E70" i="49"/>
  <c r="F70" i="49"/>
  <c r="G70" i="49"/>
  <c r="H70" i="49"/>
  <c r="I70" i="49"/>
  <c r="J70" i="49"/>
  <c r="K70" i="49"/>
  <c r="L70" i="49"/>
  <c r="M70" i="49"/>
  <c r="B71" i="49"/>
  <c r="C71" i="49"/>
  <c r="D71" i="49"/>
  <c r="E71" i="49"/>
  <c r="F71" i="49"/>
  <c r="G71" i="49"/>
  <c r="H71" i="49"/>
  <c r="I71" i="49"/>
  <c r="J71" i="49"/>
  <c r="K71" i="49"/>
  <c r="L71" i="49"/>
  <c r="M71" i="49"/>
  <c r="B27" i="48"/>
  <c r="B28" i="48"/>
  <c r="B29" i="48"/>
  <c r="B30" i="48"/>
  <c r="B31" i="48"/>
  <c r="B45" i="48"/>
  <c r="C45" i="48"/>
  <c r="D45" i="48"/>
  <c r="E45" i="48"/>
  <c r="F45" i="48"/>
  <c r="G45" i="48"/>
  <c r="H45" i="48"/>
  <c r="I45" i="48"/>
  <c r="J45" i="48"/>
  <c r="K45" i="48"/>
  <c r="L45" i="48"/>
  <c r="M45" i="48"/>
  <c r="N45" i="48"/>
  <c r="O45" i="48"/>
  <c r="P45" i="48"/>
  <c r="Q45" i="48"/>
  <c r="R45" i="48"/>
  <c r="S45" i="48"/>
  <c r="T45" i="48"/>
  <c r="U45" i="48"/>
  <c r="V45" i="48"/>
  <c r="W45" i="48"/>
  <c r="X45" i="48"/>
  <c r="Y45" i="48"/>
  <c r="Z45" i="48"/>
  <c r="AA45" i="48"/>
  <c r="C46" i="48"/>
  <c r="D46" i="48"/>
  <c r="E46" i="48"/>
  <c r="F46" i="48"/>
  <c r="G46" i="48"/>
  <c r="H46" i="48"/>
  <c r="I46" i="48"/>
  <c r="J46" i="48"/>
  <c r="K46" i="48"/>
  <c r="L46" i="48"/>
  <c r="M46" i="48"/>
  <c r="N46" i="48"/>
  <c r="O46" i="48"/>
  <c r="P46" i="48"/>
  <c r="Q46" i="48"/>
  <c r="R46" i="48"/>
  <c r="S46" i="48"/>
  <c r="T46" i="48"/>
  <c r="U46" i="48"/>
  <c r="V46" i="48"/>
  <c r="W46" i="48"/>
  <c r="X46" i="48"/>
  <c r="Y46" i="48"/>
  <c r="Z46" i="48"/>
  <c r="AA46" i="48"/>
  <c r="C47" i="48"/>
  <c r="D47" i="48"/>
  <c r="E47" i="48"/>
  <c r="F47" i="48"/>
  <c r="G47" i="48"/>
  <c r="H47" i="48"/>
  <c r="I47" i="48"/>
  <c r="J47" i="48"/>
  <c r="K47" i="48"/>
  <c r="L47" i="48"/>
  <c r="M47" i="48"/>
  <c r="N47" i="48"/>
  <c r="O47" i="48"/>
  <c r="P47" i="48"/>
  <c r="Q47" i="48"/>
  <c r="R47" i="48"/>
  <c r="S47" i="48"/>
  <c r="T47" i="48"/>
  <c r="U47" i="48"/>
  <c r="V47" i="48"/>
  <c r="W47" i="48"/>
  <c r="X47" i="48"/>
  <c r="Y47" i="48"/>
  <c r="Z47" i="48"/>
  <c r="AA47" i="48"/>
  <c r="B10" i="47"/>
  <c r="B11" i="47"/>
  <c r="B12" i="47"/>
  <c r="B13" i="47"/>
  <c r="B14" i="47"/>
  <c r="B15" i="47"/>
  <c r="B16" i="47"/>
  <c r="B17" i="47"/>
  <c r="B18" i="47"/>
  <c r="B19" i="47"/>
  <c r="B25" i="47"/>
  <c r="E25" i="47"/>
  <c r="F25" i="47"/>
  <c r="G25" i="47"/>
  <c r="H25" i="47"/>
  <c r="I25" i="47"/>
  <c r="J25" i="47"/>
  <c r="K25" i="47"/>
  <c r="L25" i="47"/>
  <c r="M25" i="47"/>
  <c r="N25" i="47"/>
  <c r="O25" i="47"/>
  <c r="P25" i="47"/>
  <c r="E26" i="47"/>
  <c r="F26" i="47"/>
  <c r="G26" i="47"/>
  <c r="H26" i="47"/>
  <c r="I26" i="47"/>
  <c r="J26" i="47"/>
  <c r="K26" i="47"/>
  <c r="L26" i="47"/>
  <c r="M26" i="47"/>
  <c r="N26" i="47"/>
  <c r="O26" i="47"/>
  <c r="P26" i="47"/>
  <c r="E27" i="47"/>
  <c r="F27" i="47"/>
  <c r="G27" i="47"/>
  <c r="H27" i="47"/>
  <c r="I27" i="47"/>
  <c r="J27" i="47"/>
  <c r="K27" i="47"/>
  <c r="L27" i="47"/>
  <c r="M27" i="47"/>
  <c r="N27" i="47"/>
  <c r="O27" i="47"/>
  <c r="P27" i="47"/>
  <c r="C7" i="46"/>
  <c r="C8" i="46"/>
  <c r="C97" i="46" s="1"/>
  <c r="C9" i="46"/>
  <c r="C10" i="46"/>
  <c r="C11" i="46"/>
  <c r="C12" i="46"/>
  <c r="C13" i="46"/>
  <c r="C14" i="46"/>
  <c r="C15" i="46"/>
  <c r="C16" i="46"/>
  <c r="C17" i="46"/>
  <c r="C18" i="46"/>
  <c r="C19" i="46"/>
  <c r="C20" i="46"/>
  <c r="C21" i="46"/>
  <c r="C22" i="46"/>
  <c r="C23" i="46"/>
  <c r="C24" i="46"/>
  <c r="C25" i="46"/>
  <c r="C26" i="46"/>
  <c r="C27" i="46"/>
  <c r="C28" i="46"/>
  <c r="C29" i="46"/>
  <c r="C30" i="46"/>
  <c r="C31" i="46"/>
  <c r="C32" i="46"/>
  <c r="C33" i="46"/>
  <c r="C34" i="46"/>
  <c r="C35" i="46"/>
  <c r="C36" i="46"/>
  <c r="E97" i="46"/>
  <c r="F97" i="46"/>
  <c r="G97" i="46"/>
  <c r="H97" i="46"/>
  <c r="I97" i="46"/>
  <c r="J97" i="46"/>
  <c r="K97" i="46"/>
  <c r="L97" i="46"/>
  <c r="M97" i="46"/>
  <c r="N97" i="46"/>
  <c r="O97" i="46"/>
  <c r="P97" i="46"/>
  <c r="Q97" i="46"/>
  <c r="R97" i="46"/>
  <c r="S97" i="46"/>
  <c r="T97" i="46"/>
  <c r="U97" i="46"/>
  <c r="E98" i="46"/>
  <c r="F98" i="46"/>
  <c r="G98" i="46"/>
  <c r="H98" i="46"/>
  <c r="I98" i="46"/>
  <c r="J98" i="46"/>
  <c r="K98" i="46"/>
  <c r="L98" i="46"/>
  <c r="M98" i="46"/>
  <c r="N98" i="46"/>
  <c r="O98" i="46"/>
  <c r="P98" i="46"/>
  <c r="Q98" i="46"/>
  <c r="R98" i="46"/>
  <c r="S98" i="46"/>
  <c r="T98" i="46"/>
  <c r="U98" i="46"/>
  <c r="E99" i="46"/>
  <c r="F99" i="46"/>
  <c r="G99" i="46"/>
  <c r="H99" i="46"/>
  <c r="I99" i="46"/>
  <c r="J99" i="46"/>
  <c r="K99" i="46"/>
  <c r="L99" i="46"/>
  <c r="M99" i="46"/>
  <c r="N99" i="46"/>
  <c r="O99" i="46"/>
  <c r="P99" i="46"/>
  <c r="Q99" i="46"/>
  <c r="R99" i="46"/>
  <c r="S99" i="46"/>
  <c r="T99" i="46"/>
  <c r="U99" i="46"/>
  <c r="A7" i="45"/>
  <c r="A8" i="45"/>
  <c r="A9" i="45"/>
  <c r="A10" i="45"/>
  <c r="A11" i="45"/>
  <c r="A12" i="45"/>
  <c r="A13" i="45"/>
  <c r="A14" i="45"/>
  <c r="A15" i="45"/>
  <c r="A16" i="45"/>
  <c r="A17" i="45"/>
  <c r="A18" i="45"/>
  <c r="A19" i="45"/>
  <c r="A20" i="45"/>
  <c r="A21" i="45"/>
  <c r="A22" i="45"/>
  <c r="A23" i="45"/>
  <c r="A24" i="45"/>
  <c r="A25" i="45"/>
  <c r="A26" i="45"/>
  <c r="A27" i="45"/>
  <c r="A28" i="45"/>
  <c r="A29" i="45"/>
  <c r="A30" i="45"/>
  <c r="A31" i="45"/>
  <c r="A32" i="45"/>
  <c r="A33" i="45"/>
  <c r="A34" i="45"/>
  <c r="A35" i="45"/>
  <c r="A36" i="45"/>
  <c r="A37" i="45"/>
  <c r="A38" i="45"/>
  <c r="A39" i="45"/>
  <c r="A40" i="45"/>
  <c r="A41" i="45"/>
  <c r="A42" i="45"/>
  <c r="A43" i="45"/>
  <c r="A44" i="45"/>
  <c r="A45" i="45"/>
  <c r="A46" i="45"/>
  <c r="A47" i="45"/>
  <c r="A48" i="45"/>
  <c r="A49" i="45"/>
  <c r="B55" i="45"/>
  <c r="C55" i="45"/>
  <c r="D55" i="45"/>
  <c r="E55" i="45"/>
  <c r="F55" i="45"/>
  <c r="G55" i="45"/>
  <c r="H55" i="45"/>
  <c r="I55" i="45"/>
  <c r="J55" i="45"/>
  <c r="K55" i="45"/>
  <c r="L55" i="45"/>
  <c r="M55" i="45"/>
  <c r="N55" i="45"/>
  <c r="B56" i="45"/>
  <c r="C56" i="45"/>
  <c r="D56" i="45"/>
  <c r="E56" i="45"/>
  <c r="F56" i="45"/>
  <c r="G56" i="45"/>
  <c r="H56" i="45"/>
  <c r="I56" i="45"/>
  <c r="J56" i="45"/>
  <c r="K56" i="45"/>
  <c r="L56" i="45"/>
  <c r="M56" i="45"/>
  <c r="N56" i="45"/>
  <c r="B57" i="45"/>
  <c r="C57" i="45"/>
  <c r="D57" i="45"/>
  <c r="E57" i="45"/>
  <c r="F57" i="45"/>
  <c r="G57" i="45"/>
  <c r="H57" i="45"/>
  <c r="I57" i="45"/>
  <c r="J57" i="45"/>
  <c r="K57" i="45"/>
  <c r="L57" i="45"/>
  <c r="M57" i="45"/>
  <c r="N57" i="45"/>
  <c r="C9" i="44"/>
  <c r="C10" i="44"/>
  <c r="C11" i="44"/>
  <c r="C12" i="44"/>
  <c r="C13" i="44"/>
  <c r="C14" i="44"/>
  <c r="C15" i="44"/>
  <c r="C16" i="44"/>
  <c r="C17" i="44"/>
  <c r="C18" i="44"/>
  <c r="C19" i="44"/>
  <c r="C20" i="44"/>
  <c r="C21" i="44"/>
  <c r="C22" i="44"/>
  <c r="C23" i="44"/>
  <c r="C24" i="44"/>
  <c r="C25" i="44"/>
  <c r="C26" i="44"/>
  <c r="C27" i="44"/>
  <c r="C28" i="44"/>
  <c r="C29" i="44"/>
  <c r="C30" i="44"/>
  <c r="C31" i="44"/>
  <c r="C32" i="44"/>
  <c r="C33" i="44"/>
  <c r="C34" i="44"/>
  <c r="C35" i="44"/>
  <c r="C36" i="44"/>
  <c r="C37" i="44"/>
  <c r="C38" i="44"/>
  <c r="C39" i="44"/>
  <c r="C40" i="44"/>
  <c r="E45" i="44"/>
  <c r="F45" i="44"/>
  <c r="G45" i="44"/>
  <c r="H45" i="44"/>
  <c r="I45" i="44"/>
  <c r="J45" i="44"/>
  <c r="K45" i="44"/>
  <c r="L45" i="44"/>
  <c r="M45" i="44"/>
  <c r="N45" i="44"/>
  <c r="O45" i="44"/>
  <c r="P45" i="44"/>
  <c r="Q45" i="44"/>
  <c r="R45" i="44"/>
  <c r="S45" i="44"/>
  <c r="T45" i="44"/>
  <c r="U45" i="44"/>
  <c r="V45" i="44"/>
  <c r="W45" i="44"/>
  <c r="E46" i="44"/>
  <c r="F46" i="44"/>
  <c r="G46" i="44"/>
  <c r="H46" i="44"/>
  <c r="I46" i="44"/>
  <c r="J46" i="44"/>
  <c r="K46" i="44"/>
  <c r="L46" i="44"/>
  <c r="M46" i="44"/>
  <c r="N46" i="44"/>
  <c r="O46" i="44"/>
  <c r="P46" i="44"/>
  <c r="Q46" i="44"/>
  <c r="R46" i="44"/>
  <c r="S46" i="44"/>
  <c r="T46" i="44"/>
  <c r="U46" i="44"/>
  <c r="V46" i="44"/>
  <c r="W46" i="44"/>
  <c r="E47" i="44"/>
  <c r="F47" i="44"/>
  <c r="G47" i="44"/>
  <c r="H47" i="44"/>
  <c r="I47" i="44"/>
  <c r="J47" i="44"/>
  <c r="K47" i="44"/>
  <c r="L47" i="44"/>
  <c r="M47" i="44"/>
  <c r="N47" i="44"/>
  <c r="O47" i="44"/>
  <c r="P47" i="44"/>
  <c r="Q47" i="44"/>
  <c r="R47" i="44"/>
  <c r="S47" i="44"/>
  <c r="T47" i="44"/>
  <c r="U47" i="44"/>
  <c r="V47" i="44"/>
  <c r="W47" i="44"/>
  <c r="B6" i="43"/>
  <c r="B7" i="43"/>
  <c r="B8" i="43"/>
  <c r="B9" i="43"/>
  <c r="B10" i="43"/>
  <c r="B13" i="43"/>
  <c r="B14" i="43"/>
  <c r="B15" i="43"/>
  <c r="B16" i="43"/>
  <c r="B17" i="43"/>
  <c r="B18" i="43"/>
  <c r="B19" i="43"/>
  <c r="B20" i="43"/>
  <c r="B21" i="43"/>
  <c r="B22" i="43"/>
  <c r="B23" i="43"/>
  <c r="B24" i="43"/>
  <c r="B25" i="43"/>
  <c r="B26" i="43"/>
  <c r="B27" i="43"/>
  <c r="D31" i="43"/>
  <c r="E31" i="43"/>
  <c r="F31" i="43"/>
  <c r="G31" i="43"/>
  <c r="H31" i="43"/>
  <c r="I31" i="43"/>
  <c r="J31" i="43"/>
  <c r="K31" i="43"/>
  <c r="L31" i="43"/>
  <c r="M31" i="43"/>
  <c r="N31" i="43"/>
  <c r="O31" i="43"/>
  <c r="P31" i="43"/>
  <c r="Q31" i="43"/>
  <c r="D32" i="43"/>
  <c r="E32" i="43"/>
  <c r="F32" i="43"/>
  <c r="G32" i="43"/>
  <c r="H32" i="43"/>
  <c r="I32" i="43"/>
  <c r="J32" i="43"/>
  <c r="K32" i="43"/>
  <c r="L32" i="43"/>
  <c r="M32" i="43"/>
  <c r="N32" i="43"/>
  <c r="O32" i="43"/>
  <c r="P32" i="43"/>
  <c r="Q32" i="43"/>
  <c r="D33" i="43"/>
  <c r="E33" i="43"/>
  <c r="F33" i="43"/>
  <c r="G33" i="43"/>
  <c r="H33" i="43"/>
  <c r="I33" i="43"/>
  <c r="J33" i="43"/>
  <c r="K33" i="43"/>
  <c r="L33" i="43"/>
  <c r="M33" i="43"/>
  <c r="N33" i="43"/>
  <c r="O33" i="43"/>
  <c r="P33" i="43"/>
  <c r="Q33" i="43"/>
  <c r="B8" i="42"/>
  <c r="B14" i="42"/>
  <c r="B21" i="42"/>
  <c r="D21" i="42"/>
  <c r="E21" i="42"/>
  <c r="F21" i="42"/>
  <c r="G21" i="42"/>
  <c r="H21" i="42"/>
  <c r="I21" i="42"/>
  <c r="J21" i="42"/>
  <c r="K21" i="42"/>
  <c r="L21" i="42"/>
  <c r="M21" i="42"/>
  <c r="N21" i="42"/>
  <c r="D22" i="42"/>
  <c r="E22" i="42"/>
  <c r="F22" i="42"/>
  <c r="G22" i="42"/>
  <c r="H22" i="42"/>
  <c r="I22" i="42"/>
  <c r="J22" i="42"/>
  <c r="K22" i="42"/>
  <c r="L22" i="42"/>
  <c r="M22" i="42"/>
  <c r="N22" i="42"/>
  <c r="D23" i="42"/>
  <c r="E23" i="42"/>
  <c r="F23" i="42"/>
  <c r="G23" i="42"/>
  <c r="H23" i="42"/>
  <c r="I23" i="42"/>
  <c r="J23" i="42"/>
  <c r="K23" i="42"/>
  <c r="L23" i="42"/>
  <c r="M23" i="42"/>
  <c r="N23" i="42"/>
  <c r="B31" i="42"/>
  <c r="B32" i="42"/>
  <c r="B33" i="42"/>
  <c r="B34" i="42"/>
  <c r="B35" i="42"/>
  <c r="B36" i="42"/>
  <c r="B37" i="42"/>
  <c r="B38" i="42"/>
  <c r="B39" i="42"/>
  <c r="B40" i="42"/>
  <c r="B41" i="42"/>
  <c r="B42" i="42"/>
  <c r="B43" i="42"/>
  <c r="B44" i="42"/>
  <c r="B45" i="42"/>
  <c r="B46" i="42"/>
  <c r="B47" i="42"/>
  <c r="B48" i="42"/>
  <c r="B49" i="42"/>
  <c r="B50" i="42"/>
  <c r="B51" i="42"/>
  <c r="B52" i="42"/>
  <c r="B53" i="42"/>
  <c r="B54" i="42"/>
  <c r="B55" i="42"/>
  <c r="B56" i="42"/>
  <c r="B57" i="42"/>
  <c r="B58" i="42"/>
  <c r="B59" i="42"/>
  <c r="B60" i="42"/>
  <c r="B61" i="42"/>
  <c r="B62" i="42"/>
  <c r="B9" i="41"/>
  <c r="B10" i="41"/>
  <c r="B11" i="41"/>
  <c r="B12" i="41"/>
  <c r="B13" i="41"/>
  <c r="B14" i="41"/>
  <c r="B15" i="41"/>
  <c r="B16" i="41"/>
  <c r="B17" i="41"/>
  <c r="B18" i="41"/>
  <c r="B19" i="41"/>
  <c r="B20" i="41"/>
  <c r="B21" i="41"/>
  <c r="B22" i="41"/>
  <c r="B23" i="41"/>
  <c r="B24" i="41"/>
  <c r="B25" i="41"/>
  <c r="B26" i="41"/>
  <c r="B27" i="41"/>
  <c r="B28" i="41"/>
  <c r="B29" i="41"/>
  <c r="B30" i="41"/>
  <c r="B31" i="41"/>
  <c r="B32" i="41"/>
  <c r="B33" i="41"/>
  <c r="B34" i="41"/>
  <c r="B35" i="41"/>
  <c r="B36" i="41"/>
  <c r="B37" i="41"/>
  <c r="B38" i="41"/>
  <c r="B43" i="41"/>
  <c r="D43" i="41"/>
  <c r="E43" i="41"/>
  <c r="F43" i="41"/>
  <c r="G43" i="41"/>
  <c r="H43" i="41"/>
  <c r="I43" i="41"/>
  <c r="J43" i="41"/>
  <c r="K43" i="41"/>
  <c r="L43" i="41"/>
  <c r="D44" i="41"/>
  <c r="E44" i="41"/>
  <c r="F44" i="41"/>
  <c r="G44" i="41"/>
  <c r="H44" i="41"/>
  <c r="I44" i="41"/>
  <c r="J44" i="41"/>
  <c r="K44" i="41"/>
  <c r="L44" i="41"/>
  <c r="D45" i="41"/>
  <c r="E45" i="41"/>
  <c r="F45" i="41"/>
  <c r="G45" i="41"/>
  <c r="H45" i="41"/>
  <c r="I45" i="41"/>
  <c r="J45" i="41"/>
  <c r="K45" i="41"/>
  <c r="L45" i="41"/>
  <c r="A9" i="40"/>
  <c r="A10" i="40"/>
  <c r="A11" i="40"/>
  <c r="A12" i="40"/>
  <c r="A13" i="40"/>
  <c r="A14" i="40"/>
  <c r="A15" i="40"/>
  <c r="A16" i="40"/>
  <c r="A17" i="40"/>
  <c r="A18" i="40"/>
  <c r="A19" i="40"/>
  <c r="A20" i="40"/>
  <c r="A21" i="40"/>
  <c r="A22" i="40"/>
  <c r="A23" i="40"/>
  <c r="A24" i="40"/>
  <c r="A25" i="40"/>
  <c r="A26" i="40"/>
  <c r="A27" i="40"/>
  <c r="A28" i="40"/>
  <c r="A29" i="40"/>
  <c r="A30" i="40"/>
  <c r="A31" i="40"/>
  <c r="A32" i="40"/>
  <c r="A37" i="40"/>
  <c r="B37" i="40"/>
  <c r="C37" i="40"/>
  <c r="D37" i="40"/>
  <c r="E37" i="40"/>
  <c r="F37" i="40"/>
  <c r="G37" i="40"/>
  <c r="H37" i="40"/>
  <c r="I37" i="40"/>
  <c r="J37" i="40"/>
  <c r="K37" i="40"/>
  <c r="L37" i="40"/>
  <c r="M37" i="40"/>
  <c r="N37" i="40"/>
  <c r="O37" i="40"/>
  <c r="P37" i="40"/>
  <c r="Q37" i="40"/>
  <c r="R37" i="40"/>
  <c r="S37" i="40"/>
  <c r="T37" i="40"/>
  <c r="U37" i="40"/>
  <c r="B38" i="40"/>
  <c r="C38" i="40"/>
  <c r="D38" i="40"/>
  <c r="E38" i="40"/>
  <c r="F38" i="40"/>
  <c r="G38" i="40"/>
  <c r="H38" i="40"/>
  <c r="I38" i="40"/>
  <c r="J38" i="40"/>
  <c r="K38" i="40"/>
  <c r="L38" i="40"/>
  <c r="M38" i="40"/>
  <c r="N38" i="40"/>
  <c r="O38" i="40"/>
  <c r="P38" i="40"/>
  <c r="Q38" i="40"/>
  <c r="R38" i="40"/>
  <c r="S38" i="40"/>
  <c r="T38" i="40"/>
  <c r="U38" i="40"/>
  <c r="B39" i="40"/>
  <c r="C39" i="40"/>
  <c r="D39" i="40"/>
  <c r="E39" i="40"/>
  <c r="F39" i="40"/>
  <c r="G39" i="40"/>
  <c r="H39" i="40"/>
  <c r="I39" i="40"/>
  <c r="J39" i="40"/>
  <c r="K39" i="40"/>
  <c r="L39" i="40"/>
  <c r="M39" i="40"/>
  <c r="N39" i="40"/>
  <c r="O39" i="40"/>
  <c r="P39" i="40"/>
  <c r="Q39" i="40"/>
  <c r="R39" i="40"/>
  <c r="S39" i="40"/>
  <c r="T39" i="40"/>
  <c r="U39" i="40"/>
  <c r="C56" i="40"/>
  <c r="D56" i="40"/>
  <c r="E56" i="40"/>
  <c r="F56" i="40"/>
  <c r="G56" i="40"/>
  <c r="H56" i="40"/>
  <c r="I56" i="40"/>
  <c r="J56" i="40"/>
  <c r="K56" i="40"/>
  <c r="L56" i="40"/>
  <c r="M56" i="40"/>
  <c r="N56" i="40"/>
  <c r="O56" i="40"/>
  <c r="P56" i="40"/>
  <c r="Q56" i="40"/>
  <c r="R56" i="40"/>
  <c r="S56" i="40"/>
  <c r="T56" i="40"/>
  <c r="U56" i="40"/>
  <c r="C57" i="40"/>
  <c r="D57" i="40"/>
  <c r="E57" i="40"/>
  <c r="F57" i="40"/>
  <c r="G57" i="40"/>
  <c r="H57" i="40"/>
  <c r="I57" i="40"/>
  <c r="J57" i="40"/>
  <c r="K57" i="40"/>
  <c r="L57" i="40"/>
  <c r="M57" i="40"/>
  <c r="N57" i="40"/>
  <c r="O57" i="40"/>
  <c r="P57" i="40"/>
  <c r="Q57" i="40"/>
  <c r="R57" i="40"/>
  <c r="S57" i="40"/>
  <c r="T57" i="40"/>
  <c r="U57" i="40"/>
  <c r="C58" i="40"/>
  <c r="D58" i="40"/>
  <c r="E58" i="40"/>
  <c r="F58" i="40"/>
  <c r="G58" i="40"/>
  <c r="H58" i="40"/>
  <c r="I58" i="40"/>
  <c r="J58" i="40"/>
  <c r="K58" i="40"/>
  <c r="L58" i="40"/>
  <c r="M58" i="40"/>
  <c r="N58" i="40"/>
  <c r="O58" i="40"/>
  <c r="P58" i="40"/>
  <c r="Q58" i="40"/>
  <c r="R58" i="40"/>
  <c r="S58" i="40"/>
  <c r="T58" i="40"/>
  <c r="U58" i="40"/>
  <c r="A6" i="39"/>
  <c r="A30" i="39" s="1"/>
  <c r="A7" i="39"/>
  <c r="A8" i="39"/>
  <c r="A31" i="39" s="1"/>
  <c r="A9" i="39"/>
  <c r="A10" i="39"/>
  <c r="A11" i="39"/>
  <c r="A12" i="39"/>
  <c r="A13" i="39"/>
  <c r="A14" i="39"/>
  <c r="A15" i="39"/>
  <c r="A16" i="39"/>
  <c r="A17" i="39"/>
  <c r="A18" i="39"/>
  <c r="A19" i="39"/>
  <c r="A20" i="39"/>
  <c r="A32" i="39" s="1"/>
  <c r="A21" i="39"/>
  <c r="A22" i="39"/>
  <c r="A23" i="39"/>
  <c r="A24" i="39"/>
  <c r="C30" i="39"/>
  <c r="D30" i="39"/>
  <c r="E30" i="39"/>
  <c r="F30" i="39"/>
  <c r="G30" i="39"/>
  <c r="H30" i="39"/>
  <c r="I30" i="39"/>
  <c r="J30" i="39"/>
  <c r="K30" i="39"/>
  <c r="L30" i="39"/>
  <c r="M30" i="39"/>
  <c r="N30" i="39"/>
  <c r="O30" i="39"/>
  <c r="P30" i="39"/>
  <c r="Q30" i="39"/>
  <c r="R30" i="39"/>
  <c r="S30" i="39"/>
  <c r="T30" i="39"/>
  <c r="U30" i="39"/>
  <c r="V30" i="39"/>
  <c r="W30" i="39"/>
  <c r="C31" i="39"/>
  <c r="D31" i="39"/>
  <c r="E31" i="39"/>
  <c r="F31" i="39"/>
  <c r="G31" i="39"/>
  <c r="H31" i="39"/>
  <c r="I31" i="39"/>
  <c r="J31" i="39"/>
  <c r="K31" i="39"/>
  <c r="L31" i="39"/>
  <c r="M31" i="39"/>
  <c r="N31" i="39"/>
  <c r="O31" i="39"/>
  <c r="P31" i="39"/>
  <c r="Q31" i="39"/>
  <c r="R31" i="39"/>
  <c r="S31" i="39"/>
  <c r="T31" i="39"/>
  <c r="U31" i="39"/>
  <c r="V31" i="39"/>
  <c r="W31" i="39"/>
  <c r="C32" i="39"/>
  <c r="D32" i="39"/>
  <c r="E32" i="39"/>
  <c r="F32" i="39"/>
  <c r="G32" i="39"/>
  <c r="H32" i="39"/>
  <c r="I32" i="39"/>
  <c r="J32" i="39"/>
  <c r="K32" i="39"/>
  <c r="L32" i="39"/>
  <c r="M32" i="39"/>
  <c r="N32" i="39"/>
  <c r="O32" i="39"/>
  <c r="P32" i="39"/>
  <c r="Q32" i="39"/>
  <c r="R32" i="39"/>
  <c r="S32" i="39"/>
  <c r="T32" i="39"/>
  <c r="U32" i="39"/>
  <c r="V32" i="39"/>
  <c r="W32" i="39"/>
  <c r="C47" i="39"/>
  <c r="D47" i="39"/>
  <c r="E47" i="39"/>
  <c r="F47" i="39"/>
  <c r="G47" i="39"/>
  <c r="H47" i="39"/>
  <c r="I47" i="39"/>
  <c r="J47" i="39"/>
  <c r="K47" i="39"/>
  <c r="L47" i="39"/>
  <c r="M47" i="39"/>
  <c r="N47" i="39"/>
  <c r="O47" i="39"/>
  <c r="P47" i="39"/>
  <c r="Q47" i="39"/>
  <c r="R47" i="39"/>
  <c r="S47" i="39"/>
  <c r="T47" i="39"/>
  <c r="U47" i="39"/>
  <c r="V47" i="39"/>
  <c r="W47" i="39"/>
  <c r="C48" i="39"/>
  <c r="D48" i="39"/>
  <c r="E48" i="39"/>
  <c r="F48" i="39"/>
  <c r="G48" i="39"/>
  <c r="H48" i="39"/>
  <c r="I48" i="39"/>
  <c r="J48" i="39"/>
  <c r="K48" i="39"/>
  <c r="L48" i="39"/>
  <c r="M48" i="39"/>
  <c r="N48" i="39"/>
  <c r="O48" i="39"/>
  <c r="P48" i="39"/>
  <c r="Q48" i="39"/>
  <c r="R48" i="39"/>
  <c r="S48" i="39"/>
  <c r="T48" i="39"/>
  <c r="U48" i="39"/>
  <c r="V48" i="39"/>
  <c r="W48" i="39"/>
  <c r="C49" i="39"/>
  <c r="D49" i="39"/>
  <c r="E49" i="39"/>
  <c r="F49" i="39"/>
  <c r="G49" i="39"/>
  <c r="H49" i="39"/>
  <c r="I49" i="39"/>
  <c r="J49" i="39"/>
  <c r="K49" i="39"/>
  <c r="L49" i="39"/>
  <c r="M49" i="39"/>
  <c r="N49" i="39"/>
  <c r="O49" i="39"/>
  <c r="P49" i="39"/>
  <c r="Q49" i="39"/>
  <c r="R49" i="39"/>
  <c r="S49" i="39"/>
  <c r="T49" i="39"/>
  <c r="U49" i="39"/>
  <c r="V49" i="39"/>
  <c r="W49" i="39"/>
  <c r="A6" i="38"/>
  <c r="A7" i="38"/>
  <c r="A18" i="38" s="1"/>
  <c r="A8" i="38"/>
  <c r="A9" i="38"/>
  <c r="A10" i="38"/>
  <c r="A11" i="38"/>
  <c r="A12" i="38"/>
  <c r="A13" i="38"/>
  <c r="A14" i="38"/>
  <c r="A15" i="38"/>
  <c r="B19" i="38"/>
  <c r="C19" i="38"/>
  <c r="D19" i="38"/>
  <c r="E19" i="38"/>
  <c r="F19" i="38"/>
  <c r="G19" i="38"/>
  <c r="H19" i="38"/>
  <c r="I19" i="38"/>
  <c r="J19" i="38"/>
  <c r="K19" i="38"/>
  <c r="B20" i="38"/>
  <c r="C20" i="38"/>
  <c r="D20" i="38"/>
  <c r="E20" i="38"/>
  <c r="F20" i="38"/>
  <c r="G20" i="38"/>
  <c r="H20" i="38"/>
  <c r="I20" i="38"/>
  <c r="J20" i="38"/>
  <c r="K20" i="38"/>
  <c r="B21" i="38"/>
  <c r="C21" i="38"/>
  <c r="D21" i="38"/>
  <c r="E21" i="38"/>
  <c r="F21" i="38"/>
  <c r="G21" i="38"/>
  <c r="H21" i="38"/>
  <c r="I21" i="38"/>
  <c r="J21" i="38"/>
  <c r="K21" i="38"/>
  <c r="A7" i="37"/>
  <c r="A21" i="37" s="1"/>
  <c r="A8" i="37"/>
  <c r="A9" i="37"/>
  <c r="A10" i="37"/>
  <c r="A11" i="37"/>
  <c r="A12" i="37"/>
  <c r="A13" i="37"/>
  <c r="A14" i="37"/>
  <c r="A15" i="37"/>
  <c r="B21" i="37"/>
  <c r="C21" i="37"/>
  <c r="D21" i="37"/>
  <c r="E21" i="37"/>
  <c r="G21" i="37"/>
  <c r="H21" i="37"/>
  <c r="I21" i="37"/>
  <c r="J21" i="37"/>
  <c r="K21" i="37"/>
  <c r="L21" i="37"/>
  <c r="B22" i="37"/>
  <c r="C22" i="37"/>
  <c r="D22" i="37"/>
  <c r="E22" i="37"/>
  <c r="F22" i="37"/>
  <c r="G22" i="37"/>
  <c r="H22" i="37"/>
  <c r="I22" i="37"/>
  <c r="J22" i="37"/>
  <c r="K22" i="37"/>
  <c r="L22" i="37"/>
  <c r="B23" i="37"/>
  <c r="C23" i="37"/>
  <c r="D23" i="37"/>
  <c r="E23" i="37"/>
  <c r="F23" i="37"/>
  <c r="G23" i="37"/>
  <c r="H23" i="37"/>
  <c r="I23" i="37"/>
  <c r="J23" i="37"/>
  <c r="K23" i="37"/>
  <c r="L23" i="37"/>
  <c r="A24" i="37"/>
  <c r="B24" i="37"/>
  <c r="C24" i="37"/>
  <c r="D24" i="37"/>
  <c r="E24" i="37"/>
  <c r="F24" i="37"/>
  <c r="G24" i="37"/>
  <c r="H24" i="37"/>
  <c r="I24" i="37"/>
  <c r="J24" i="37"/>
  <c r="K24" i="37"/>
  <c r="L24" i="37"/>
  <c r="A41" i="37"/>
  <c r="B43" i="37"/>
  <c r="C43" i="37"/>
  <c r="D43" i="37"/>
  <c r="E43" i="37"/>
  <c r="F43" i="37"/>
  <c r="G43" i="37"/>
  <c r="H43" i="37"/>
  <c r="I43" i="37"/>
  <c r="J43" i="37"/>
  <c r="K43" i="37"/>
  <c r="L43" i="37"/>
  <c r="B44" i="37"/>
  <c r="C44" i="37"/>
  <c r="D44" i="37"/>
  <c r="E44" i="37"/>
  <c r="F44" i="37"/>
  <c r="G44" i="37"/>
  <c r="H44" i="37"/>
  <c r="I44" i="37"/>
  <c r="J44" i="37"/>
  <c r="K44" i="37"/>
  <c r="L44" i="37"/>
  <c r="B45" i="37"/>
  <c r="C45" i="37"/>
  <c r="D45" i="37"/>
  <c r="E45" i="37"/>
  <c r="F45" i="37"/>
  <c r="G45" i="37"/>
  <c r="H45" i="37"/>
  <c r="I45" i="37"/>
  <c r="J45" i="37"/>
  <c r="K45" i="37"/>
  <c r="L45" i="37"/>
  <c r="A6" i="36"/>
  <c r="A7" i="36"/>
  <c r="A8" i="36"/>
  <c r="A9" i="36"/>
  <c r="A10" i="36"/>
  <c r="A11" i="36"/>
  <c r="A12" i="36"/>
  <c r="A13" i="36"/>
  <c r="A14" i="36"/>
  <c r="A15" i="36"/>
  <c r="A16" i="36"/>
  <c r="A17" i="36"/>
  <c r="A18" i="36"/>
  <c r="A19" i="36"/>
  <c r="A20" i="36"/>
  <c r="A21" i="36"/>
  <c r="A22" i="36"/>
  <c r="A23" i="36"/>
  <c r="A24" i="36"/>
  <c r="A25" i="36"/>
  <c r="A26" i="36"/>
  <c r="A27" i="36"/>
  <c r="A28" i="36"/>
  <c r="A29" i="36"/>
  <c r="A30" i="36"/>
  <c r="A31" i="36"/>
  <c r="A32" i="36"/>
  <c r="A33" i="36"/>
  <c r="A34" i="36"/>
  <c r="A35" i="36"/>
  <c r="D41" i="36"/>
  <c r="E41" i="36"/>
  <c r="F41" i="36"/>
  <c r="G41" i="36"/>
  <c r="H41" i="36"/>
  <c r="I41" i="36"/>
  <c r="J41" i="36"/>
  <c r="K41" i="36"/>
  <c r="L41" i="36"/>
  <c r="M41" i="36"/>
  <c r="N41" i="36"/>
  <c r="O41" i="36"/>
  <c r="P41" i="36"/>
  <c r="Q41" i="36"/>
  <c r="R41" i="36"/>
  <c r="S41" i="36"/>
  <c r="T41" i="36"/>
  <c r="U41" i="36"/>
  <c r="V41" i="36"/>
  <c r="W41" i="36"/>
  <c r="X41" i="36"/>
  <c r="Y41" i="36"/>
  <c r="Z41" i="36"/>
  <c r="AA41" i="36"/>
  <c r="AB41" i="36"/>
  <c r="D42" i="36"/>
  <c r="E42" i="36"/>
  <c r="F42" i="36"/>
  <c r="G42" i="36"/>
  <c r="H42" i="36"/>
  <c r="I42" i="36"/>
  <c r="J42" i="36"/>
  <c r="K42" i="36"/>
  <c r="L42" i="36"/>
  <c r="M42" i="36"/>
  <c r="N42" i="36"/>
  <c r="O42" i="36"/>
  <c r="P42" i="36"/>
  <c r="Q42" i="36"/>
  <c r="R42" i="36"/>
  <c r="S42" i="36"/>
  <c r="T42" i="36"/>
  <c r="U42" i="36"/>
  <c r="V42" i="36"/>
  <c r="W42" i="36"/>
  <c r="X42" i="36"/>
  <c r="Y42" i="36"/>
  <c r="Z42" i="36"/>
  <c r="AA42" i="36"/>
  <c r="AB42" i="36"/>
  <c r="D43" i="36"/>
  <c r="E43" i="36"/>
  <c r="F43" i="36"/>
  <c r="G43" i="36"/>
  <c r="H43" i="36"/>
  <c r="I43" i="36"/>
  <c r="J43" i="36"/>
  <c r="K43" i="36"/>
  <c r="L43" i="36"/>
  <c r="M43" i="36"/>
  <c r="N43" i="36"/>
  <c r="O43" i="36"/>
  <c r="P43" i="36"/>
  <c r="Q43" i="36"/>
  <c r="R43" i="36"/>
  <c r="S43" i="36"/>
  <c r="T43" i="36"/>
  <c r="U43" i="36"/>
  <c r="V43" i="36"/>
  <c r="W43" i="36"/>
  <c r="X43" i="36"/>
  <c r="Y43" i="36"/>
  <c r="Z43" i="36"/>
  <c r="AA43" i="36"/>
  <c r="AB43" i="36"/>
  <c r="A7" i="35"/>
  <c r="A8" i="35"/>
  <c r="A20" i="35" s="1"/>
  <c r="A9" i="35"/>
  <c r="A10" i="35"/>
  <c r="A21" i="35" s="1"/>
  <c r="A30" i="35" s="1"/>
  <c r="A11" i="35"/>
  <c r="A12" i="35"/>
  <c r="A22" i="35" s="1"/>
  <c r="A13" i="35"/>
  <c r="A14" i="35"/>
  <c r="A15" i="35"/>
  <c r="A16" i="35"/>
  <c r="A19" i="35"/>
  <c r="B19" i="35"/>
  <c r="C19" i="35"/>
  <c r="D19" i="35"/>
  <c r="D31" i="35" s="1"/>
  <c r="E19" i="35"/>
  <c r="F19" i="35"/>
  <c r="G19" i="35"/>
  <c r="H19" i="35"/>
  <c r="H31" i="35" s="1"/>
  <c r="I19" i="35"/>
  <c r="J19" i="35"/>
  <c r="K19" i="35"/>
  <c r="L19" i="35"/>
  <c r="M19" i="35"/>
  <c r="N19" i="35"/>
  <c r="O19" i="35"/>
  <c r="P19" i="35"/>
  <c r="P31" i="35" s="1"/>
  <c r="Q19" i="35"/>
  <c r="R19" i="35"/>
  <c r="S19" i="35"/>
  <c r="T19" i="35"/>
  <c r="U19" i="35"/>
  <c r="V19" i="35"/>
  <c r="C20" i="35"/>
  <c r="D20" i="35"/>
  <c r="F20" i="35"/>
  <c r="G20" i="35"/>
  <c r="G32" i="35" s="1"/>
  <c r="H20" i="35"/>
  <c r="K20" i="35"/>
  <c r="K32" i="35" s="1"/>
  <c r="L20" i="35"/>
  <c r="M20" i="35"/>
  <c r="M30" i="35" s="1"/>
  <c r="N20" i="35"/>
  <c r="O20" i="35"/>
  <c r="O32" i="35" s="1"/>
  <c r="P20" i="35"/>
  <c r="Q20" i="35"/>
  <c r="Q30" i="35" s="1"/>
  <c r="R20" i="35"/>
  <c r="S20" i="35"/>
  <c r="S32" i="35" s="1"/>
  <c r="T20" i="35"/>
  <c r="U20" i="35"/>
  <c r="U30" i="35" s="1"/>
  <c r="B21" i="35"/>
  <c r="C21" i="35"/>
  <c r="D21" i="35"/>
  <c r="F21" i="35"/>
  <c r="G21" i="35"/>
  <c r="H21" i="35"/>
  <c r="I21" i="35"/>
  <c r="I30" i="35" s="1"/>
  <c r="J21" i="35"/>
  <c r="M21" i="35"/>
  <c r="N21" i="35"/>
  <c r="O21" i="35"/>
  <c r="P21" i="35"/>
  <c r="Q21" i="35"/>
  <c r="R21" i="35"/>
  <c r="S21" i="35"/>
  <c r="T21" i="35"/>
  <c r="U21" i="35"/>
  <c r="V21" i="35"/>
  <c r="B22" i="35"/>
  <c r="C22" i="35"/>
  <c r="D22" i="35"/>
  <c r="E22" i="35"/>
  <c r="F22" i="35"/>
  <c r="G22" i="35"/>
  <c r="H22" i="35"/>
  <c r="I22" i="35"/>
  <c r="J22" i="35"/>
  <c r="K22" i="35"/>
  <c r="L22" i="35"/>
  <c r="M22" i="35"/>
  <c r="N22" i="35"/>
  <c r="O22" i="35"/>
  <c r="A23" i="35"/>
  <c r="B23" i="35"/>
  <c r="C23" i="35"/>
  <c r="C32" i="35" s="1"/>
  <c r="D23" i="35"/>
  <c r="F23" i="35"/>
  <c r="G23" i="35"/>
  <c r="H23" i="35"/>
  <c r="I23" i="35"/>
  <c r="J23" i="35"/>
  <c r="L23" i="35"/>
  <c r="O23" i="35"/>
  <c r="P23" i="35"/>
  <c r="Q23" i="35"/>
  <c r="R23" i="35"/>
  <c r="S23" i="35"/>
  <c r="T23" i="35"/>
  <c r="U23" i="35"/>
  <c r="V23" i="35"/>
  <c r="A24" i="35"/>
  <c r="B24" i="35"/>
  <c r="C24" i="35"/>
  <c r="D24" i="35"/>
  <c r="E24" i="35"/>
  <c r="F24" i="35"/>
  <c r="G24" i="35"/>
  <c r="G31" i="35" s="1"/>
  <c r="H24" i="35"/>
  <c r="I24" i="35"/>
  <c r="I31" i="35" s="1"/>
  <c r="J24" i="35"/>
  <c r="K24" i="35"/>
  <c r="K31" i="35" s="1"/>
  <c r="L24" i="35"/>
  <c r="M24" i="35"/>
  <c r="M31" i="35" s="1"/>
  <c r="N24" i="35"/>
  <c r="O24" i="35"/>
  <c r="P24" i="35"/>
  <c r="Q24" i="35"/>
  <c r="R24" i="35"/>
  <c r="S24" i="35"/>
  <c r="T24" i="35"/>
  <c r="U24" i="35"/>
  <c r="V24" i="35"/>
  <c r="C30" i="35"/>
  <c r="E30" i="35"/>
  <c r="G30" i="35"/>
  <c r="K30" i="35"/>
  <c r="O30" i="35"/>
  <c r="S30" i="35"/>
  <c r="B31" i="35"/>
  <c r="E31" i="35"/>
  <c r="L31" i="35"/>
  <c r="T31" i="35"/>
  <c r="E32" i="35"/>
  <c r="I32" i="35"/>
  <c r="M32" i="35"/>
  <c r="Q32" i="35"/>
  <c r="U32" i="35"/>
  <c r="B12" i="34"/>
  <c r="B13" i="34"/>
  <c r="B15" i="34"/>
  <c r="B16" i="34"/>
  <c r="B17" i="34"/>
  <c r="B19" i="34"/>
  <c r="B20" i="34"/>
  <c r="B21" i="34"/>
  <c r="B22" i="34"/>
  <c r="B23" i="34"/>
  <c r="B25" i="34"/>
  <c r="B26" i="34"/>
  <c r="B27" i="34"/>
  <c r="B28" i="34"/>
  <c r="B29" i="34"/>
  <c r="B31" i="34"/>
  <c r="B32" i="34"/>
  <c r="B33" i="34"/>
  <c r="B34" i="34"/>
  <c r="B35" i="34"/>
  <c r="B36" i="34"/>
  <c r="B37" i="34"/>
  <c r="B38" i="34"/>
  <c r="B40" i="34"/>
  <c r="B41" i="34"/>
  <c r="B44" i="34"/>
  <c r="B45" i="34"/>
  <c r="B46" i="34"/>
  <c r="B47" i="34"/>
  <c r="B48" i="34"/>
  <c r="B49" i="34"/>
  <c r="B50" i="34"/>
  <c r="B51" i="34"/>
  <c r="B52" i="34"/>
  <c r="B53" i="34"/>
  <c r="B54" i="34"/>
  <c r="B56" i="34"/>
  <c r="B57" i="34"/>
  <c r="B58" i="34"/>
  <c r="B60" i="34"/>
  <c r="B61" i="34"/>
  <c r="B62" i="34"/>
  <c r="B63" i="34"/>
  <c r="B64" i="34"/>
  <c r="B65" i="34"/>
  <c r="B66" i="34"/>
  <c r="B67" i="34"/>
  <c r="B68" i="34"/>
  <c r="B69" i="34"/>
  <c r="B71" i="34"/>
  <c r="B72" i="34"/>
  <c r="B73" i="34"/>
  <c r="B74" i="34"/>
  <c r="B75" i="34"/>
  <c r="B76" i="34"/>
  <c r="B77" i="34"/>
  <c r="B79" i="34"/>
  <c r="B80" i="34"/>
  <c r="B81" i="34"/>
  <c r="B82" i="34"/>
  <c r="B83" i="34"/>
  <c r="B84" i="34"/>
  <c r="B85" i="34"/>
  <c r="B86" i="34"/>
  <c r="B87" i="34"/>
  <c r="B89" i="34"/>
  <c r="B90" i="34"/>
  <c r="B91" i="34"/>
  <c r="B92" i="34"/>
  <c r="B93" i="34"/>
  <c r="B94" i="34"/>
  <c r="B95" i="34"/>
  <c r="B96" i="34"/>
  <c r="C102" i="34"/>
  <c r="D102" i="34"/>
  <c r="E102" i="34"/>
  <c r="F102" i="34"/>
  <c r="G102" i="34"/>
  <c r="H102" i="34"/>
  <c r="I102" i="34"/>
  <c r="J102" i="34"/>
  <c r="K102" i="34"/>
  <c r="L102" i="34"/>
  <c r="M102" i="34"/>
  <c r="N102" i="34"/>
  <c r="O102" i="34"/>
  <c r="P102" i="34"/>
  <c r="Q102" i="34"/>
  <c r="C103" i="34"/>
  <c r="D103" i="34"/>
  <c r="E103" i="34"/>
  <c r="F103" i="34"/>
  <c r="G103" i="34"/>
  <c r="H103" i="34"/>
  <c r="I103" i="34"/>
  <c r="J103" i="34"/>
  <c r="K103" i="34"/>
  <c r="L103" i="34"/>
  <c r="M103" i="34"/>
  <c r="N103" i="34"/>
  <c r="O103" i="34"/>
  <c r="P103" i="34"/>
  <c r="Q103" i="34"/>
  <c r="C104" i="34"/>
  <c r="D104" i="34"/>
  <c r="E104" i="34"/>
  <c r="F104" i="34"/>
  <c r="G104" i="34"/>
  <c r="H104" i="34"/>
  <c r="I104" i="34"/>
  <c r="J104" i="34"/>
  <c r="K104" i="34"/>
  <c r="L104" i="34"/>
  <c r="M104" i="34"/>
  <c r="N104" i="34"/>
  <c r="O104" i="34"/>
  <c r="P104" i="34"/>
  <c r="Q104" i="34"/>
  <c r="B6" i="33"/>
  <c r="B7" i="33"/>
  <c r="B8" i="33"/>
  <c r="B9" i="33"/>
  <c r="B10" i="33"/>
  <c r="B11" i="33"/>
  <c r="E17" i="33"/>
  <c r="F17" i="33"/>
  <c r="G17" i="33"/>
  <c r="H17" i="33"/>
  <c r="I17" i="33"/>
  <c r="J17" i="33"/>
  <c r="K17" i="33"/>
  <c r="L17" i="33"/>
  <c r="M17" i="33"/>
  <c r="N17" i="33"/>
  <c r="O17" i="33"/>
  <c r="P17" i="33"/>
  <c r="E18" i="33"/>
  <c r="F18" i="33"/>
  <c r="G18" i="33"/>
  <c r="H18" i="33"/>
  <c r="I18" i="33"/>
  <c r="J18" i="33"/>
  <c r="K18" i="33"/>
  <c r="L18" i="33"/>
  <c r="M18" i="33"/>
  <c r="N18" i="33"/>
  <c r="O18" i="33"/>
  <c r="P18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A18" i="32"/>
  <c r="C18" i="32"/>
  <c r="D18" i="32"/>
  <c r="E18" i="32"/>
  <c r="F18" i="32"/>
  <c r="G18" i="32"/>
  <c r="H18" i="32"/>
  <c r="I18" i="32"/>
  <c r="J18" i="32"/>
  <c r="K18" i="32"/>
  <c r="L18" i="32"/>
  <c r="M18" i="32"/>
  <c r="N18" i="32"/>
  <c r="O18" i="32"/>
  <c r="P18" i="32"/>
  <c r="Q18" i="32"/>
  <c r="R18" i="32"/>
  <c r="C19" i="32"/>
  <c r="D19" i="32"/>
  <c r="E19" i="32"/>
  <c r="F19" i="32"/>
  <c r="G19" i="32"/>
  <c r="H19" i="32"/>
  <c r="I19" i="32"/>
  <c r="J19" i="32"/>
  <c r="K19" i="32"/>
  <c r="L19" i="32"/>
  <c r="M19" i="32"/>
  <c r="N19" i="32"/>
  <c r="O19" i="32"/>
  <c r="P19" i="32"/>
  <c r="Q19" i="32"/>
  <c r="R19" i="32"/>
  <c r="C20" i="32"/>
  <c r="D20" i="32"/>
  <c r="E20" i="32"/>
  <c r="F20" i="32"/>
  <c r="G20" i="32"/>
  <c r="H20" i="32"/>
  <c r="I20" i="32"/>
  <c r="J20" i="32"/>
  <c r="K20" i="32"/>
  <c r="L20" i="32"/>
  <c r="M20" i="32"/>
  <c r="N20" i="32"/>
  <c r="O20" i="32"/>
  <c r="P20" i="32"/>
  <c r="Q20" i="32"/>
  <c r="R20" i="32"/>
  <c r="A7" i="31"/>
  <c r="A8" i="31"/>
  <c r="A9" i="31"/>
  <c r="A10" i="31"/>
  <c r="A11" i="31"/>
  <c r="A12" i="31"/>
  <c r="A13" i="31"/>
  <c r="A14" i="31"/>
  <c r="A15" i="31"/>
  <c r="A29" i="31" s="1"/>
  <c r="A16" i="31"/>
  <c r="A17" i="31"/>
  <c r="A30" i="31" s="1"/>
  <c r="A18" i="31"/>
  <c r="A19" i="31"/>
  <c r="A20" i="31"/>
  <c r="A32" i="31" s="1"/>
  <c r="A21" i="31"/>
  <c r="A22" i="31"/>
  <c r="A26" i="31"/>
  <c r="D26" i="31"/>
  <c r="E26" i="31"/>
  <c r="F26" i="31"/>
  <c r="G26" i="31"/>
  <c r="H26" i="31"/>
  <c r="J26" i="31"/>
  <c r="K26" i="31"/>
  <c r="D27" i="31"/>
  <c r="E27" i="31"/>
  <c r="F27" i="31"/>
  <c r="F61" i="31" s="1"/>
  <c r="G27" i="31"/>
  <c r="H27" i="31"/>
  <c r="J27" i="31"/>
  <c r="K27" i="31"/>
  <c r="K62" i="31" s="1"/>
  <c r="B28" i="31"/>
  <c r="C28" i="31"/>
  <c r="C62" i="31" s="1"/>
  <c r="D28" i="31"/>
  <c r="E28" i="31"/>
  <c r="F28" i="31"/>
  <c r="G28" i="31"/>
  <c r="H28" i="31"/>
  <c r="I28" i="31"/>
  <c r="I60" i="31" s="1"/>
  <c r="J28" i="31"/>
  <c r="K28" i="31"/>
  <c r="B29" i="31"/>
  <c r="C29" i="31"/>
  <c r="D29" i="31"/>
  <c r="E29" i="31"/>
  <c r="F29" i="31"/>
  <c r="G29" i="31"/>
  <c r="I29" i="31"/>
  <c r="J29" i="31"/>
  <c r="K29" i="31"/>
  <c r="B30" i="31"/>
  <c r="C30" i="31"/>
  <c r="D30" i="31"/>
  <c r="E30" i="31"/>
  <c r="F30" i="31"/>
  <c r="G30" i="31"/>
  <c r="H30" i="31"/>
  <c r="I30" i="31"/>
  <c r="J30" i="31"/>
  <c r="K30" i="31"/>
  <c r="B31" i="31"/>
  <c r="C31" i="31"/>
  <c r="D31" i="31"/>
  <c r="E31" i="31"/>
  <c r="F31" i="31"/>
  <c r="G31" i="31"/>
  <c r="H31" i="31"/>
  <c r="I31" i="31"/>
  <c r="J31" i="31"/>
  <c r="K31" i="31"/>
  <c r="B32" i="31"/>
  <c r="C32" i="31"/>
  <c r="D32" i="31"/>
  <c r="E32" i="31"/>
  <c r="F32" i="31"/>
  <c r="G32" i="31"/>
  <c r="H32" i="31"/>
  <c r="I32" i="31"/>
  <c r="J32" i="31"/>
  <c r="K32" i="31"/>
  <c r="B33" i="31"/>
  <c r="C33" i="31"/>
  <c r="D33" i="31"/>
  <c r="E33" i="31"/>
  <c r="F33" i="31"/>
  <c r="G33" i="31"/>
  <c r="H33" i="31"/>
  <c r="I33" i="31"/>
  <c r="J33" i="31"/>
  <c r="K33" i="31"/>
  <c r="E60" i="31"/>
  <c r="B61" i="31"/>
  <c r="J61" i="31"/>
  <c r="G62" i="31"/>
  <c r="C7" i="30"/>
  <c r="C8" i="30"/>
  <c r="C9" i="30"/>
  <c r="C10" i="30"/>
  <c r="C11" i="30"/>
  <c r="C12" i="30"/>
  <c r="C13" i="30"/>
  <c r="C14" i="30"/>
  <c r="C15" i="30"/>
  <c r="C16" i="30"/>
  <c r="C17" i="30"/>
  <c r="C18" i="30"/>
  <c r="C19" i="30"/>
  <c r="C20" i="30"/>
  <c r="C21" i="30"/>
  <c r="C22" i="30"/>
  <c r="C23" i="30"/>
  <c r="C24" i="30"/>
  <c r="C25" i="30"/>
  <c r="C26" i="30"/>
  <c r="C27" i="30"/>
  <c r="C28" i="30"/>
  <c r="C29" i="30"/>
  <c r="C30" i="30"/>
  <c r="C31" i="30"/>
  <c r="C32" i="30"/>
  <c r="C33" i="30"/>
  <c r="C34" i="30"/>
  <c r="C35" i="30"/>
  <c r="C36" i="30"/>
  <c r="C37" i="30"/>
  <c r="C38" i="30"/>
  <c r="C39" i="30"/>
  <c r="C40" i="30"/>
  <c r="C41" i="30"/>
  <c r="C42" i="30"/>
  <c r="C43" i="30"/>
  <c r="C44" i="30"/>
  <c r="C45" i="30"/>
  <c r="C46" i="30"/>
  <c r="C47" i="30"/>
  <c r="C48" i="30"/>
  <c r="C49" i="30"/>
  <c r="C50" i="30"/>
  <c r="C51" i="30"/>
  <c r="C52" i="30"/>
  <c r="C53" i="30"/>
  <c r="C54" i="30"/>
  <c r="C55" i="30"/>
  <c r="C56" i="30"/>
  <c r="C57" i="30"/>
  <c r="C58" i="30"/>
  <c r="C59" i="30"/>
  <c r="C60" i="30"/>
  <c r="C61" i="30"/>
  <c r="C62" i="30"/>
  <c r="C63" i="30"/>
  <c r="C64" i="30"/>
  <c r="C65" i="30"/>
  <c r="C66" i="30"/>
  <c r="C67" i="30"/>
  <c r="C68" i="30"/>
  <c r="C69" i="30"/>
  <c r="C70" i="30"/>
  <c r="C71" i="30"/>
  <c r="C72" i="30"/>
  <c r="C73" i="30"/>
  <c r="C74" i="30"/>
  <c r="C75" i="30"/>
  <c r="C76" i="30"/>
  <c r="D82" i="30"/>
  <c r="E82" i="30"/>
  <c r="F82" i="30"/>
  <c r="G82" i="30"/>
  <c r="H82" i="30"/>
  <c r="I82" i="30"/>
  <c r="J82" i="30"/>
  <c r="K82" i="30"/>
  <c r="L82" i="30"/>
  <c r="M82" i="30"/>
  <c r="N82" i="30"/>
  <c r="O82" i="30"/>
  <c r="P82" i="30"/>
  <c r="Q82" i="30"/>
  <c r="R82" i="30"/>
  <c r="S82" i="30"/>
  <c r="T82" i="30"/>
  <c r="U82" i="30"/>
  <c r="V82" i="30"/>
  <c r="W82" i="30"/>
  <c r="D83" i="30"/>
  <c r="E83" i="30"/>
  <c r="F83" i="30"/>
  <c r="G83" i="30"/>
  <c r="H83" i="30"/>
  <c r="I83" i="30"/>
  <c r="J83" i="30"/>
  <c r="K83" i="30"/>
  <c r="L83" i="30"/>
  <c r="M83" i="30"/>
  <c r="N83" i="30"/>
  <c r="O83" i="30"/>
  <c r="P83" i="30"/>
  <c r="Q83" i="30"/>
  <c r="R83" i="30"/>
  <c r="S83" i="30"/>
  <c r="T83" i="30"/>
  <c r="U83" i="30"/>
  <c r="V83" i="30"/>
  <c r="W83" i="30"/>
  <c r="D84" i="30"/>
  <c r="E84" i="30"/>
  <c r="F84" i="30"/>
  <c r="G84" i="30"/>
  <c r="H84" i="30"/>
  <c r="I84" i="30"/>
  <c r="J84" i="30"/>
  <c r="K84" i="30"/>
  <c r="L84" i="30"/>
  <c r="M84" i="30"/>
  <c r="N84" i="30"/>
  <c r="O84" i="30"/>
  <c r="P84" i="30"/>
  <c r="Q84" i="30"/>
  <c r="R84" i="30"/>
  <c r="S84" i="30"/>
  <c r="T84" i="30"/>
  <c r="U84" i="30"/>
  <c r="V84" i="30"/>
  <c r="W84" i="30"/>
  <c r="A43" i="29"/>
  <c r="C43" i="29"/>
  <c r="D43" i="29"/>
  <c r="E43" i="29"/>
  <c r="F43" i="29"/>
  <c r="G43" i="29"/>
  <c r="H43" i="29"/>
  <c r="I43" i="29"/>
  <c r="J43" i="29"/>
  <c r="C44" i="29"/>
  <c r="D44" i="29"/>
  <c r="E44" i="29"/>
  <c r="F44" i="29"/>
  <c r="G44" i="29"/>
  <c r="H44" i="29"/>
  <c r="I44" i="29"/>
  <c r="J44" i="29"/>
  <c r="C45" i="29"/>
  <c r="D45" i="29"/>
  <c r="E45" i="29"/>
  <c r="F45" i="29"/>
  <c r="G45" i="29"/>
  <c r="H45" i="29"/>
  <c r="I45" i="29"/>
  <c r="J45" i="29"/>
  <c r="A44" i="28"/>
  <c r="C44" i="28"/>
  <c r="D44" i="28"/>
  <c r="E44" i="28"/>
  <c r="F44" i="28"/>
  <c r="G44" i="28"/>
  <c r="H44" i="28"/>
  <c r="I44" i="28"/>
  <c r="J44" i="28"/>
  <c r="K44" i="28"/>
  <c r="C45" i="28"/>
  <c r="D45" i="28"/>
  <c r="E45" i="28"/>
  <c r="F45" i="28"/>
  <c r="G45" i="28"/>
  <c r="H45" i="28"/>
  <c r="I45" i="28"/>
  <c r="J45" i="28"/>
  <c r="K45" i="28"/>
  <c r="C46" i="28"/>
  <c r="D46" i="28"/>
  <c r="E46" i="28"/>
  <c r="F46" i="28"/>
  <c r="G46" i="28"/>
  <c r="H46" i="28"/>
  <c r="I46" i="28"/>
  <c r="J46" i="28"/>
  <c r="K46" i="28"/>
  <c r="B17" i="27"/>
  <c r="E17" i="27"/>
  <c r="F17" i="27"/>
  <c r="G17" i="27"/>
  <c r="H17" i="27"/>
  <c r="I17" i="27"/>
  <c r="J17" i="27"/>
  <c r="K17" i="27"/>
  <c r="L17" i="27"/>
  <c r="M17" i="27"/>
  <c r="N17" i="27"/>
  <c r="O17" i="27"/>
  <c r="P17" i="27"/>
  <c r="Q17" i="27"/>
  <c r="R17" i="27"/>
  <c r="S17" i="27"/>
  <c r="T17" i="27"/>
  <c r="E18" i="27"/>
  <c r="F18" i="27"/>
  <c r="G18" i="27"/>
  <c r="H18" i="27"/>
  <c r="I18" i="27"/>
  <c r="J18" i="27"/>
  <c r="K18" i="27"/>
  <c r="L18" i="27"/>
  <c r="M18" i="27"/>
  <c r="N18" i="27"/>
  <c r="O18" i="27"/>
  <c r="P18" i="27"/>
  <c r="Q18" i="27"/>
  <c r="R18" i="27"/>
  <c r="S18" i="27"/>
  <c r="T18" i="27"/>
  <c r="E19" i="27"/>
  <c r="F19" i="27"/>
  <c r="G19" i="27"/>
  <c r="H19" i="27"/>
  <c r="I19" i="27"/>
  <c r="J19" i="27"/>
  <c r="K19" i="27"/>
  <c r="L19" i="27"/>
  <c r="M19" i="27"/>
  <c r="N19" i="27"/>
  <c r="O19" i="27"/>
  <c r="P19" i="27"/>
  <c r="Q19" i="27"/>
  <c r="R19" i="27"/>
  <c r="S19" i="27"/>
  <c r="T19" i="27"/>
  <c r="C6" i="26"/>
  <c r="C7" i="26"/>
  <c r="C8" i="26"/>
  <c r="C9" i="26"/>
  <c r="C10" i="26"/>
  <c r="C11" i="26"/>
  <c r="C12" i="26"/>
  <c r="C13" i="26"/>
  <c r="C14" i="26"/>
  <c r="C15" i="26"/>
  <c r="C16" i="26"/>
  <c r="C17" i="26"/>
  <c r="C18" i="26"/>
  <c r="C19" i="26"/>
  <c r="C20" i="26"/>
  <c r="C21" i="26"/>
  <c r="C22" i="26"/>
  <c r="C23" i="26"/>
  <c r="C24" i="26"/>
  <c r="C25" i="26"/>
  <c r="C26" i="26"/>
  <c r="C27" i="26"/>
  <c r="C28" i="26"/>
  <c r="C29" i="26"/>
  <c r="C30" i="26"/>
  <c r="C31" i="26"/>
  <c r="C32" i="26"/>
  <c r="C33" i="26"/>
  <c r="C34" i="26"/>
  <c r="C35" i="26"/>
  <c r="C36" i="26"/>
  <c r="C37" i="26"/>
  <c r="C38" i="26"/>
  <c r="C39" i="26"/>
  <c r="C40" i="26"/>
  <c r="C41" i="26"/>
  <c r="C42" i="26"/>
  <c r="C43" i="26"/>
  <c r="C44" i="26"/>
  <c r="C45" i="26"/>
  <c r="C46" i="26"/>
  <c r="C47" i="26"/>
  <c r="C48" i="26"/>
  <c r="C49" i="26"/>
  <c r="C50" i="26"/>
  <c r="C51" i="26"/>
  <c r="C52" i="26"/>
  <c r="C53" i="26"/>
  <c r="C54" i="26"/>
  <c r="C55" i="26"/>
  <c r="C56" i="26"/>
  <c r="C57" i="26"/>
  <c r="C58" i="26"/>
  <c r="C59" i="26"/>
  <c r="C60" i="26"/>
  <c r="C61" i="26"/>
  <c r="C62" i="26"/>
  <c r="C63" i="26"/>
  <c r="C64" i="26"/>
  <c r="C65" i="26"/>
  <c r="C66" i="26"/>
  <c r="C67" i="26"/>
  <c r="C68" i="26"/>
  <c r="C69" i="26"/>
  <c r="C70" i="26"/>
  <c r="C71" i="26"/>
  <c r="C72" i="26"/>
  <c r="C73" i="26"/>
  <c r="C74" i="26"/>
  <c r="C75" i="26"/>
  <c r="C76" i="26"/>
  <c r="C77" i="26"/>
  <c r="C78" i="26"/>
  <c r="C79" i="26"/>
  <c r="C80" i="26"/>
  <c r="C81" i="26"/>
  <c r="C82" i="26"/>
  <c r="C83" i="26"/>
  <c r="C84" i="26"/>
  <c r="D89" i="26"/>
  <c r="E89" i="26"/>
  <c r="F89" i="26"/>
  <c r="G89" i="26"/>
  <c r="H89" i="26"/>
  <c r="I89" i="26"/>
  <c r="J89" i="26"/>
  <c r="K89" i="26"/>
  <c r="L89" i="26"/>
  <c r="M89" i="26"/>
  <c r="N89" i="26"/>
  <c r="O89" i="26"/>
  <c r="P89" i="26"/>
  <c r="Q89" i="26"/>
  <c r="R89" i="26"/>
  <c r="S89" i="26"/>
  <c r="T89" i="26"/>
  <c r="U89" i="26"/>
  <c r="V89" i="26"/>
  <c r="W89" i="26"/>
  <c r="D90" i="26"/>
  <c r="E90" i="26"/>
  <c r="F90" i="26"/>
  <c r="G90" i="26"/>
  <c r="H90" i="26"/>
  <c r="I90" i="26"/>
  <c r="J90" i="26"/>
  <c r="K90" i="26"/>
  <c r="L90" i="26"/>
  <c r="M90" i="26"/>
  <c r="N90" i="26"/>
  <c r="O90" i="26"/>
  <c r="P90" i="26"/>
  <c r="Q90" i="26"/>
  <c r="R90" i="26"/>
  <c r="S90" i="26"/>
  <c r="T90" i="26"/>
  <c r="U90" i="26"/>
  <c r="V90" i="26"/>
  <c r="W90" i="26"/>
  <c r="D91" i="26"/>
  <c r="E91" i="26"/>
  <c r="F91" i="26"/>
  <c r="G91" i="26"/>
  <c r="H91" i="26"/>
  <c r="I91" i="26"/>
  <c r="J91" i="26"/>
  <c r="K91" i="26"/>
  <c r="L91" i="26"/>
  <c r="M91" i="26"/>
  <c r="N91" i="26"/>
  <c r="O91" i="26"/>
  <c r="P91" i="26"/>
  <c r="Q91" i="26"/>
  <c r="R91" i="26"/>
  <c r="S91" i="26"/>
  <c r="T91" i="26"/>
  <c r="U91" i="26"/>
  <c r="V91" i="26"/>
  <c r="W91" i="26"/>
  <c r="B6" i="25"/>
  <c r="B7" i="25"/>
  <c r="B8" i="25"/>
  <c r="B9" i="25"/>
  <c r="B10" i="25"/>
  <c r="B11" i="25"/>
  <c r="B12" i="25"/>
  <c r="B13" i="25"/>
  <c r="B14" i="25"/>
  <c r="G18" i="25"/>
  <c r="H18" i="25"/>
  <c r="I18" i="25"/>
  <c r="J18" i="25"/>
  <c r="K18" i="25"/>
  <c r="L18" i="25"/>
  <c r="M18" i="25"/>
  <c r="N18" i="25"/>
  <c r="O18" i="25"/>
  <c r="P18" i="25"/>
  <c r="Q18" i="25"/>
  <c r="R18" i="25"/>
  <c r="S18" i="25"/>
  <c r="T18" i="25"/>
  <c r="U18" i="25"/>
  <c r="G19" i="25"/>
  <c r="H19" i="25"/>
  <c r="I19" i="25"/>
  <c r="J19" i="25"/>
  <c r="K19" i="25"/>
  <c r="L19" i="25"/>
  <c r="M19" i="25"/>
  <c r="N19" i="25"/>
  <c r="O19" i="25"/>
  <c r="P19" i="25"/>
  <c r="Q19" i="25"/>
  <c r="R19" i="25"/>
  <c r="S19" i="25"/>
  <c r="T19" i="25"/>
  <c r="U19" i="25"/>
  <c r="G20" i="25"/>
  <c r="H20" i="25"/>
  <c r="I20" i="25"/>
  <c r="J20" i="25"/>
  <c r="K20" i="25"/>
  <c r="L20" i="25"/>
  <c r="M20" i="25"/>
  <c r="N20" i="25"/>
  <c r="O20" i="25"/>
  <c r="P20" i="25"/>
  <c r="Q20" i="25"/>
  <c r="R20" i="25"/>
  <c r="S20" i="25"/>
  <c r="T20" i="25"/>
  <c r="U20" i="25"/>
  <c r="B26" i="25"/>
  <c r="B27" i="25"/>
  <c r="B28" i="25"/>
  <c r="B29" i="25"/>
  <c r="B30" i="25"/>
  <c r="B31" i="25"/>
  <c r="B32" i="25"/>
  <c r="B33" i="25"/>
  <c r="B34" i="25"/>
  <c r="B35" i="25"/>
  <c r="B36" i="25"/>
  <c r="B37" i="25"/>
  <c r="B38" i="25"/>
  <c r="B39" i="25"/>
  <c r="B40" i="25"/>
  <c r="B41" i="25"/>
  <c r="B42" i="25"/>
  <c r="B43" i="25"/>
  <c r="B44" i="25"/>
  <c r="B45" i="25"/>
  <c r="G49" i="25"/>
  <c r="H49" i="25"/>
  <c r="I49" i="25"/>
  <c r="J49" i="25"/>
  <c r="K49" i="25"/>
  <c r="L49" i="25"/>
  <c r="M49" i="25"/>
  <c r="N49" i="25"/>
  <c r="O49" i="25"/>
  <c r="P49" i="25"/>
  <c r="Q49" i="25"/>
  <c r="R49" i="25"/>
  <c r="S49" i="25"/>
  <c r="T49" i="25"/>
  <c r="U49" i="25"/>
  <c r="G50" i="25"/>
  <c r="H50" i="25"/>
  <c r="I50" i="25"/>
  <c r="J50" i="25"/>
  <c r="K50" i="25"/>
  <c r="L50" i="25"/>
  <c r="M50" i="25"/>
  <c r="N50" i="25"/>
  <c r="O50" i="25"/>
  <c r="P50" i="25"/>
  <c r="Q50" i="25"/>
  <c r="R50" i="25"/>
  <c r="S50" i="25"/>
  <c r="T50" i="25"/>
  <c r="U50" i="25"/>
  <c r="G51" i="25"/>
  <c r="H51" i="25"/>
  <c r="I51" i="25"/>
  <c r="J51" i="25"/>
  <c r="K51" i="25"/>
  <c r="L51" i="25"/>
  <c r="M51" i="25"/>
  <c r="N51" i="25"/>
  <c r="O51" i="25"/>
  <c r="P51" i="25"/>
  <c r="Q51" i="25"/>
  <c r="R51" i="25"/>
  <c r="S51" i="25"/>
  <c r="T51" i="25"/>
  <c r="U51" i="25"/>
  <c r="A62" i="25"/>
  <c r="A106" i="25" s="1"/>
  <c r="A63" i="25"/>
  <c r="A64" i="25"/>
  <c r="A65" i="25"/>
  <c r="A66" i="25"/>
  <c r="A67" i="25"/>
  <c r="A68" i="25"/>
  <c r="A69" i="25"/>
  <c r="A70" i="25"/>
  <c r="A71" i="25"/>
  <c r="A72" i="25"/>
  <c r="A73" i="25"/>
  <c r="A74" i="25"/>
  <c r="A75" i="25"/>
  <c r="A76" i="25"/>
  <c r="A77" i="25"/>
  <c r="A78" i="25"/>
  <c r="A79" i="25"/>
  <c r="A80" i="25"/>
  <c r="A81" i="25"/>
  <c r="A82" i="25"/>
  <c r="A83" i="25"/>
  <c r="A84" i="25"/>
  <c r="A85" i="25"/>
  <c r="A86" i="25"/>
  <c r="A87" i="25"/>
  <c r="A88" i="25"/>
  <c r="A89" i="25"/>
  <c r="A90" i="25"/>
  <c r="A91" i="25"/>
  <c r="A92" i="25"/>
  <c r="A93" i="25"/>
  <c r="A94" i="25"/>
  <c r="A95" i="25"/>
  <c r="A96" i="25"/>
  <c r="A97" i="25"/>
  <c r="A98" i="25"/>
  <c r="A99" i="25"/>
  <c r="A100" i="25"/>
  <c r="G106" i="25"/>
  <c r="H106" i="25"/>
  <c r="I106" i="25"/>
  <c r="J106" i="25"/>
  <c r="K106" i="25"/>
  <c r="L106" i="25"/>
  <c r="M106" i="25"/>
  <c r="N106" i="25"/>
  <c r="O106" i="25"/>
  <c r="Q106" i="25"/>
  <c r="R106" i="25"/>
  <c r="S106" i="25"/>
  <c r="G107" i="25"/>
  <c r="H107" i="25"/>
  <c r="I107" i="25"/>
  <c r="J107" i="25"/>
  <c r="K107" i="25"/>
  <c r="L107" i="25"/>
  <c r="M107" i="25"/>
  <c r="N107" i="25"/>
  <c r="O107" i="25"/>
  <c r="Q107" i="25"/>
  <c r="R107" i="25"/>
  <c r="S107" i="25"/>
  <c r="G108" i="25"/>
  <c r="H108" i="25"/>
  <c r="I108" i="25"/>
  <c r="J108" i="25"/>
  <c r="K108" i="25"/>
  <c r="L108" i="25"/>
  <c r="M108" i="25"/>
  <c r="N108" i="25"/>
  <c r="O108" i="25"/>
  <c r="Q108" i="25"/>
  <c r="R108" i="25"/>
  <c r="S108" i="25"/>
  <c r="A10" i="24"/>
  <c r="A11" i="24"/>
  <c r="A12" i="24"/>
  <c r="A13" i="24"/>
  <c r="A14" i="24"/>
  <c r="A15" i="24"/>
  <c r="A16" i="24"/>
  <c r="A17" i="24"/>
  <c r="A18" i="24"/>
  <c r="A19" i="24"/>
  <c r="A20" i="24"/>
  <c r="A21" i="24"/>
  <c r="A22" i="24"/>
  <c r="A23" i="24"/>
  <c r="A24" i="24"/>
  <c r="A25" i="24"/>
  <c r="A26" i="24"/>
  <c r="A27" i="24"/>
  <c r="A28" i="24"/>
  <c r="A29" i="24"/>
  <c r="A30" i="24"/>
  <c r="A31" i="24"/>
  <c r="A32" i="24"/>
  <c r="A33" i="24"/>
  <c r="A34" i="24"/>
  <c r="A35" i="24"/>
  <c r="A36" i="24"/>
  <c r="A37" i="24"/>
  <c r="A38" i="24"/>
  <c r="A39" i="24"/>
  <c r="A40" i="24"/>
  <c r="A41" i="24"/>
  <c r="A42" i="24"/>
  <c r="A43" i="24"/>
  <c r="A44" i="24"/>
  <c r="A45" i="24"/>
  <c r="A46" i="24"/>
  <c r="A47" i="24"/>
  <c r="A48" i="24"/>
  <c r="A49" i="24"/>
  <c r="A50" i="24"/>
  <c r="A51" i="24"/>
  <c r="A52" i="24"/>
  <c r="A53" i="24"/>
  <c r="A54" i="24"/>
  <c r="A55" i="24"/>
  <c r="A56" i="24"/>
  <c r="A57" i="24"/>
  <c r="A63" i="24"/>
  <c r="E63" i="24"/>
  <c r="F63" i="24"/>
  <c r="G63" i="24"/>
  <c r="H63" i="24"/>
  <c r="I63" i="24"/>
  <c r="J63" i="24"/>
  <c r="K63" i="24"/>
  <c r="L63" i="24"/>
  <c r="M63" i="24"/>
  <c r="N63" i="24"/>
  <c r="O63" i="24"/>
  <c r="P63" i="24"/>
  <c r="E64" i="24"/>
  <c r="F64" i="24"/>
  <c r="G64" i="24"/>
  <c r="H64" i="24"/>
  <c r="I64" i="24"/>
  <c r="J64" i="24"/>
  <c r="K64" i="24"/>
  <c r="L64" i="24"/>
  <c r="M64" i="24"/>
  <c r="N64" i="24"/>
  <c r="O64" i="24"/>
  <c r="P64" i="24"/>
  <c r="E65" i="24"/>
  <c r="F65" i="24"/>
  <c r="G65" i="24"/>
  <c r="H65" i="24"/>
  <c r="I65" i="24"/>
  <c r="J65" i="24"/>
  <c r="K65" i="24"/>
  <c r="L65" i="24"/>
  <c r="M65" i="24"/>
  <c r="N65" i="24"/>
  <c r="O65" i="24"/>
  <c r="P65" i="24"/>
  <c r="A6" i="23"/>
  <c r="A7" i="23"/>
  <c r="A8" i="23"/>
  <c r="A9" i="23"/>
  <c r="A10" i="23"/>
  <c r="A11" i="23"/>
  <c r="A12" i="23"/>
  <c r="A13" i="23"/>
  <c r="A14" i="23"/>
  <c r="A15" i="23"/>
  <c r="A16" i="23"/>
  <c r="A17" i="23"/>
  <c r="A18" i="23"/>
  <c r="A19" i="23"/>
  <c r="A20" i="23"/>
  <c r="A21" i="23"/>
  <c r="A22" i="23"/>
  <c r="A23" i="23"/>
  <c r="A24" i="23"/>
  <c r="A25" i="23"/>
  <c r="A26" i="23"/>
  <c r="A27" i="23"/>
  <c r="A28" i="23"/>
  <c r="A29" i="23"/>
  <c r="A30" i="23"/>
  <c r="A31" i="23"/>
  <c r="A32" i="23"/>
  <c r="A33" i="23"/>
  <c r="A34" i="23"/>
  <c r="A35" i="23"/>
  <c r="A36" i="23"/>
  <c r="A37" i="23"/>
  <c r="A38" i="23"/>
  <c r="A39" i="23"/>
  <c r="A40" i="23"/>
  <c r="A41" i="23"/>
  <c r="A42" i="23"/>
  <c r="A43" i="23"/>
  <c r="A44" i="23"/>
  <c r="A45" i="23"/>
  <c r="A46" i="23"/>
  <c r="A47" i="23"/>
  <c r="A48" i="23"/>
  <c r="A49" i="23"/>
  <c r="A50" i="23"/>
  <c r="A51" i="23"/>
  <c r="D57" i="23"/>
  <c r="E57" i="23"/>
  <c r="F57" i="23"/>
  <c r="G57" i="23"/>
  <c r="H57" i="23"/>
  <c r="I57" i="23"/>
  <c r="J57" i="23"/>
  <c r="K57" i="23"/>
  <c r="M57" i="23"/>
  <c r="N57" i="23"/>
  <c r="O57" i="23"/>
  <c r="D58" i="23"/>
  <c r="E58" i="23"/>
  <c r="F58" i="23"/>
  <c r="G58" i="23"/>
  <c r="H58" i="23"/>
  <c r="I58" i="23"/>
  <c r="J58" i="23"/>
  <c r="K58" i="23"/>
  <c r="M58" i="23"/>
  <c r="N58" i="23"/>
  <c r="O58" i="23"/>
  <c r="D59" i="23"/>
  <c r="E59" i="23"/>
  <c r="F59" i="23"/>
  <c r="G59" i="23"/>
  <c r="H59" i="23"/>
  <c r="I59" i="23"/>
  <c r="J59" i="23"/>
  <c r="K59" i="23"/>
  <c r="M59" i="23"/>
  <c r="N59" i="23"/>
  <c r="O59" i="23"/>
  <c r="A69" i="23"/>
  <c r="A76" i="23"/>
  <c r="A77" i="23"/>
  <c r="A78" i="23"/>
  <c r="A79" i="23"/>
  <c r="A80" i="23"/>
  <c r="A81" i="23"/>
  <c r="A82" i="23"/>
  <c r="A83" i="23"/>
  <c r="A84" i="23"/>
  <c r="C7" i="22"/>
  <c r="C8" i="22"/>
  <c r="C9" i="22"/>
  <c r="C10" i="22"/>
  <c r="C11" i="22"/>
  <c r="C12" i="22"/>
  <c r="C13" i="22"/>
  <c r="C14" i="22"/>
  <c r="C15" i="22"/>
  <c r="C16" i="22"/>
  <c r="C17" i="22"/>
  <c r="C18" i="22"/>
  <c r="C19" i="22"/>
  <c r="C20" i="22"/>
  <c r="C21" i="22"/>
  <c r="C22" i="22"/>
  <c r="D29" i="22"/>
  <c r="E29" i="22"/>
  <c r="F29" i="22"/>
  <c r="G29" i="22"/>
  <c r="H29" i="22"/>
  <c r="I29" i="22"/>
  <c r="J29" i="22"/>
  <c r="K29" i="22"/>
  <c r="L29" i="22"/>
  <c r="M29" i="22"/>
  <c r="N29" i="22"/>
  <c r="O29" i="22"/>
  <c r="P29" i="22"/>
  <c r="Q29" i="22"/>
  <c r="R29" i="22"/>
  <c r="S29" i="22"/>
  <c r="T29" i="22"/>
  <c r="U29" i="22"/>
  <c r="V29" i="22"/>
  <c r="W29" i="22"/>
  <c r="D30" i="22"/>
  <c r="E30" i="22"/>
  <c r="F30" i="22"/>
  <c r="G30" i="22"/>
  <c r="H30" i="22"/>
  <c r="I30" i="22"/>
  <c r="J30" i="22"/>
  <c r="K30" i="22"/>
  <c r="L30" i="22"/>
  <c r="M30" i="22"/>
  <c r="N30" i="22"/>
  <c r="O30" i="22"/>
  <c r="P30" i="22"/>
  <c r="Q30" i="22"/>
  <c r="R30" i="22"/>
  <c r="S30" i="22"/>
  <c r="T30" i="22"/>
  <c r="U30" i="22"/>
  <c r="V30" i="22"/>
  <c r="W30" i="22"/>
  <c r="D31" i="22"/>
  <c r="E31" i="22"/>
  <c r="F31" i="22"/>
  <c r="G31" i="22"/>
  <c r="H31" i="22"/>
  <c r="I31" i="22"/>
  <c r="J31" i="22"/>
  <c r="K31" i="22"/>
  <c r="L31" i="22"/>
  <c r="M31" i="22"/>
  <c r="N31" i="22"/>
  <c r="O31" i="22"/>
  <c r="P31" i="22"/>
  <c r="Q31" i="22"/>
  <c r="R31" i="22"/>
  <c r="S31" i="22"/>
  <c r="T31" i="22"/>
  <c r="U31" i="22"/>
  <c r="V31" i="22"/>
  <c r="W31" i="22"/>
  <c r="A7" i="21"/>
  <c r="A8" i="21"/>
  <c r="A9" i="21"/>
  <c r="A10" i="21"/>
  <c r="A11" i="21"/>
  <c r="A12" i="21"/>
  <c r="A13" i="21"/>
  <c r="A14" i="21"/>
  <c r="A58" i="21"/>
  <c r="C58" i="21"/>
  <c r="D58" i="21"/>
  <c r="E58" i="21"/>
  <c r="F58" i="21"/>
  <c r="G58" i="21"/>
  <c r="H58" i="21"/>
  <c r="I58" i="21"/>
  <c r="J58" i="21"/>
  <c r="K58" i="21"/>
  <c r="L58" i="21"/>
  <c r="M58" i="21"/>
  <c r="N58" i="21"/>
  <c r="O58" i="21"/>
  <c r="P58" i="21"/>
  <c r="Q58" i="21"/>
  <c r="R58" i="21"/>
  <c r="S58" i="21"/>
  <c r="T58" i="21"/>
  <c r="U58" i="21"/>
  <c r="V58" i="21"/>
  <c r="C59" i="21"/>
  <c r="D59" i="21"/>
  <c r="E59" i="21"/>
  <c r="F59" i="21"/>
  <c r="G59" i="21"/>
  <c r="H59" i="21"/>
  <c r="I59" i="21"/>
  <c r="J59" i="21"/>
  <c r="K59" i="21"/>
  <c r="L59" i="21"/>
  <c r="M59" i="21"/>
  <c r="N59" i="21"/>
  <c r="O59" i="21"/>
  <c r="P59" i="21"/>
  <c r="Q59" i="21"/>
  <c r="R59" i="21"/>
  <c r="S59" i="21"/>
  <c r="T59" i="21"/>
  <c r="U59" i="21"/>
  <c r="V59" i="21"/>
  <c r="C60" i="21"/>
  <c r="D60" i="21"/>
  <c r="E60" i="21"/>
  <c r="F60" i="21"/>
  <c r="G60" i="21"/>
  <c r="H60" i="21"/>
  <c r="I60" i="21"/>
  <c r="J60" i="21"/>
  <c r="K60" i="21"/>
  <c r="L60" i="21"/>
  <c r="M60" i="21"/>
  <c r="N60" i="21"/>
  <c r="O60" i="21"/>
  <c r="P60" i="21"/>
  <c r="Q60" i="21"/>
  <c r="R60" i="21"/>
  <c r="S60" i="21"/>
  <c r="T60" i="21"/>
  <c r="U60" i="21"/>
  <c r="V60" i="21"/>
  <c r="W47" i="20"/>
  <c r="AD47" i="20"/>
  <c r="AE47" i="20"/>
  <c r="AF47" i="20"/>
  <c r="AG47" i="20"/>
  <c r="AH47" i="20"/>
  <c r="AI47" i="20"/>
  <c r="AJ47" i="20"/>
  <c r="AK47" i="20"/>
  <c r="AL47" i="20"/>
  <c r="AM47" i="20"/>
  <c r="AN47" i="20"/>
  <c r="AO47" i="20"/>
  <c r="AP47" i="20"/>
  <c r="AQ47" i="20"/>
  <c r="AR47" i="20"/>
  <c r="AD48" i="20"/>
  <c r="AE48" i="20"/>
  <c r="AF48" i="20"/>
  <c r="AG48" i="20"/>
  <c r="AH48" i="20"/>
  <c r="AI48" i="20"/>
  <c r="AJ48" i="20"/>
  <c r="AK48" i="20"/>
  <c r="AL48" i="20"/>
  <c r="AM48" i="20"/>
  <c r="AN48" i="20"/>
  <c r="AO48" i="20"/>
  <c r="AP48" i="20"/>
  <c r="AQ48" i="20"/>
  <c r="AR48" i="20"/>
  <c r="AD49" i="20"/>
  <c r="AE49" i="20"/>
  <c r="AF49" i="20"/>
  <c r="AG49" i="20"/>
  <c r="AH49" i="20"/>
  <c r="AI49" i="20"/>
  <c r="AJ49" i="20"/>
  <c r="AK49" i="20"/>
  <c r="AL49" i="20"/>
  <c r="AM49" i="20"/>
  <c r="AN49" i="20"/>
  <c r="AO49" i="20"/>
  <c r="AP49" i="20"/>
  <c r="AQ49" i="20"/>
  <c r="AR49" i="20"/>
  <c r="A64" i="20"/>
  <c r="C64" i="20"/>
  <c r="D64" i="20"/>
  <c r="E64" i="20"/>
  <c r="F64" i="20"/>
  <c r="G64" i="20"/>
  <c r="H64" i="20"/>
  <c r="I64" i="20"/>
  <c r="J64" i="20"/>
  <c r="K64" i="20"/>
  <c r="L64" i="20"/>
  <c r="M64" i="20"/>
  <c r="N64" i="20"/>
  <c r="O64" i="20"/>
  <c r="P64" i="20"/>
  <c r="Q64" i="20"/>
  <c r="R64" i="20"/>
  <c r="S64" i="20"/>
  <c r="T64" i="20"/>
  <c r="U64" i="20"/>
  <c r="W64" i="20"/>
  <c r="AA64" i="20"/>
  <c r="AB64" i="20"/>
  <c r="AC64" i="20"/>
  <c r="AE64" i="20"/>
  <c r="AF64" i="20"/>
  <c r="AG64" i="20"/>
  <c r="AH64" i="20"/>
  <c r="AI64" i="20"/>
  <c r="AJ64" i="20"/>
  <c r="AK64" i="20"/>
  <c r="AL64" i="20"/>
  <c r="AM64" i="20"/>
  <c r="AN64" i="20"/>
  <c r="AO64" i="20"/>
  <c r="AP64" i="20"/>
  <c r="AQ64" i="20"/>
  <c r="C65" i="20"/>
  <c r="D65" i="20"/>
  <c r="E65" i="20"/>
  <c r="F65" i="20"/>
  <c r="G65" i="20"/>
  <c r="H65" i="20"/>
  <c r="I65" i="20"/>
  <c r="J65" i="20"/>
  <c r="K65" i="20"/>
  <c r="L65" i="20"/>
  <c r="M65" i="20"/>
  <c r="N65" i="20"/>
  <c r="O65" i="20"/>
  <c r="P65" i="20"/>
  <c r="Q65" i="20"/>
  <c r="R65" i="20"/>
  <c r="S65" i="20"/>
  <c r="T65" i="20"/>
  <c r="U65" i="20"/>
  <c r="AA65" i="20"/>
  <c r="AB65" i="20"/>
  <c r="AC65" i="20"/>
  <c r="AD65" i="20"/>
  <c r="AE65" i="20"/>
  <c r="AF65" i="20"/>
  <c r="AG65" i="20"/>
  <c r="AH65" i="20"/>
  <c r="AI65" i="20"/>
  <c r="AJ65" i="20"/>
  <c r="AK65" i="20"/>
  <c r="AL65" i="20"/>
  <c r="AM65" i="20"/>
  <c r="AN65" i="20"/>
  <c r="AO65" i="20"/>
  <c r="AP65" i="20"/>
  <c r="AQ65" i="20"/>
  <c r="C66" i="20"/>
  <c r="D66" i="20"/>
  <c r="E66" i="20"/>
  <c r="F66" i="20"/>
  <c r="G66" i="20"/>
  <c r="H66" i="20"/>
  <c r="I66" i="20"/>
  <c r="J66" i="20"/>
  <c r="K66" i="20"/>
  <c r="L66" i="20"/>
  <c r="M66" i="20"/>
  <c r="N66" i="20"/>
  <c r="O66" i="20"/>
  <c r="P66" i="20"/>
  <c r="Q66" i="20"/>
  <c r="R66" i="20"/>
  <c r="S66" i="20"/>
  <c r="T66" i="20"/>
  <c r="U66" i="20"/>
  <c r="AA66" i="20"/>
  <c r="AB66" i="20"/>
  <c r="AC66" i="20"/>
  <c r="AD66" i="20"/>
  <c r="AE66" i="20"/>
  <c r="AF66" i="20"/>
  <c r="AG66" i="20"/>
  <c r="AH66" i="20"/>
  <c r="AI66" i="20"/>
  <c r="AJ66" i="20"/>
  <c r="AK66" i="20"/>
  <c r="AL66" i="20"/>
  <c r="AM66" i="20"/>
  <c r="AN66" i="20"/>
  <c r="AO66" i="20"/>
  <c r="AP66" i="20"/>
  <c r="AQ66" i="20"/>
  <c r="C30" i="19"/>
  <c r="D30" i="19"/>
  <c r="E30" i="19"/>
  <c r="F30" i="19"/>
  <c r="G30" i="19"/>
  <c r="H30" i="19"/>
  <c r="I30" i="19"/>
  <c r="J30" i="19"/>
  <c r="K30" i="19"/>
  <c r="L30" i="19"/>
  <c r="M30" i="19"/>
  <c r="N30" i="19"/>
  <c r="O30" i="19"/>
  <c r="P30" i="19"/>
  <c r="Q30" i="19"/>
  <c r="R30" i="19"/>
  <c r="S30" i="19"/>
  <c r="T30" i="19"/>
  <c r="U30" i="19"/>
  <c r="V30" i="19"/>
  <c r="W30" i="19"/>
  <c r="X30" i="19"/>
  <c r="D31" i="19"/>
  <c r="E31" i="19"/>
  <c r="F31" i="19"/>
  <c r="G31" i="19"/>
  <c r="H31" i="19"/>
  <c r="I31" i="19"/>
  <c r="J31" i="19"/>
  <c r="K31" i="19"/>
  <c r="L31" i="19"/>
  <c r="M31" i="19"/>
  <c r="N31" i="19"/>
  <c r="O31" i="19"/>
  <c r="P31" i="19"/>
  <c r="Q31" i="19"/>
  <c r="R31" i="19"/>
  <c r="S31" i="19"/>
  <c r="T31" i="19"/>
  <c r="U31" i="19"/>
  <c r="V31" i="19"/>
  <c r="W31" i="19"/>
  <c r="X31" i="19"/>
  <c r="D32" i="19"/>
  <c r="E32" i="19"/>
  <c r="F32" i="19"/>
  <c r="G32" i="19"/>
  <c r="H32" i="19"/>
  <c r="I32" i="19"/>
  <c r="J32" i="19"/>
  <c r="K32" i="19"/>
  <c r="L32" i="19"/>
  <c r="M32" i="19"/>
  <c r="N32" i="19"/>
  <c r="O32" i="19"/>
  <c r="P32" i="19"/>
  <c r="Q32" i="19"/>
  <c r="R32" i="19"/>
  <c r="S32" i="19"/>
  <c r="T32" i="19"/>
  <c r="U32" i="19"/>
  <c r="V32" i="19"/>
  <c r="W32" i="19"/>
  <c r="X32" i="19"/>
  <c r="C42" i="19"/>
  <c r="C44" i="19"/>
  <c r="C46" i="19"/>
  <c r="C6" i="18"/>
  <c r="C7" i="18"/>
  <c r="C8" i="18"/>
  <c r="C9" i="18"/>
  <c r="C10" i="18"/>
  <c r="C11" i="18"/>
  <c r="C12" i="18"/>
  <c r="C13" i="18"/>
  <c r="C14" i="18"/>
  <c r="C15" i="18"/>
  <c r="C16" i="18"/>
  <c r="C17" i="18"/>
  <c r="C18" i="18"/>
  <c r="C19" i="18"/>
  <c r="C20" i="18"/>
  <c r="C21" i="18"/>
  <c r="C22" i="18"/>
  <c r="C23" i="18"/>
  <c r="C24" i="18"/>
  <c r="C25" i="18"/>
  <c r="C26" i="18"/>
  <c r="C27" i="18"/>
  <c r="C28" i="18"/>
  <c r="C29" i="18"/>
  <c r="C30" i="18"/>
  <c r="C31" i="18"/>
  <c r="C32" i="18"/>
  <c r="C33" i="18"/>
  <c r="C34" i="18"/>
  <c r="C35" i="18"/>
  <c r="C36" i="18"/>
  <c r="C37" i="18"/>
  <c r="C38" i="18"/>
  <c r="C39" i="18"/>
  <c r="C40" i="18"/>
  <c r="C41" i="18"/>
  <c r="C42" i="18"/>
  <c r="C43" i="18"/>
  <c r="C44" i="18"/>
  <c r="C45" i="18"/>
  <c r="C46" i="18"/>
  <c r="C47" i="18"/>
  <c r="C48" i="18"/>
  <c r="C49" i="18"/>
  <c r="C50" i="18"/>
  <c r="C51" i="18"/>
  <c r="C52" i="18"/>
  <c r="C53" i="18"/>
  <c r="C54" i="18"/>
  <c r="C55" i="18"/>
  <c r="C56" i="18"/>
  <c r="C57" i="18"/>
  <c r="C58" i="18"/>
  <c r="C59" i="18"/>
  <c r="C60" i="18"/>
  <c r="C61" i="18"/>
  <c r="C62" i="18"/>
  <c r="C63" i="18"/>
  <c r="C64" i="18"/>
  <c r="C65" i="18"/>
  <c r="C70" i="18"/>
  <c r="F70" i="18"/>
  <c r="G70" i="18"/>
  <c r="H70" i="18"/>
  <c r="I70" i="18"/>
  <c r="J70" i="18"/>
  <c r="K70" i="18"/>
  <c r="L70" i="18"/>
  <c r="M70" i="18"/>
  <c r="N70" i="18"/>
  <c r="O70" i="18"/>
  <c r="P70" i="18"/>
  <c r="Q70" i="18"/>
  <c r="R70" i="18"/>
  <c r="S70" i="18"/>
  <c r="T70" i="18"/>
  <c r="U70" i="18"/>
  <c r="V70" i="18"/>
  <c r="W70" i="18"/>
  <c r="X70" i="18"/>
  <c r="Y70" i="18"/>
  <c r="F71" i="18"/>
  <c r="G71" i="18"/>
  <c r="H71" i="18"/>
  <c r="I71" i="18"/>
  <c r="J71" i="18"/>
  <c r="K71" i="18"/>
  <c r="L71" i="18"/>
  <c r="M71" i="18"/>
  <c r="N71" i="18"/>
  <c r="O71" i="18"/>
  <c r="P71" i="18"/>
  <c r="Q71" i="18"/>
  <c r="R71" i="18"/>
  <c r="S71" i="18"/>
  <c r="T71" i="18"/>
  <c r="U71" i="18"/>
  <c r="V71" i="18"/>
  <c r="W71" i="18"/>
  <c r="X71" i="18"/>
  <c r="Y71" i="18"/>
  <c r="F72" i="18"/>
  <c r="G72" i="18"/>
  <c r="H72" i="18"/>
  <c r="I72" i="18"/>
  <c r="J72" i="18"/>
  <c r="K72" i="18"/>
  <c r="L72" i="18"/>
  <c r="M72" i="18"/>
  <c r="N72" i="18"/>
  <c r="O72" i="18"/>
  <c r="P72" i="18"/>
  <c r="Q72" i="18"/>
  <c r="R72" i="18"/>
  <c r="S72" i="18"/>
  <c r="T72" i="18"/>
  <c r="U72" i="18"/>
  <c r="V72" i="18"/>
  <c r="W72" i="18"/>
  <c r="X72" i="18"/>
  <c r="Y72" i="18"/>
  <c r="C10" i="17"/>
  <c r="C11" i="17"/>
  <c r="C12" i="17"/>
  <c r="C13" i="17"/>
  <c r="C14" i="17"/>
  <c r="C15" i="17"/>
  <c r="C16" i="17"/>
  <c r="C17" i="17"/>
  <c r="C18" i="17"/>
  <c r="C19" i="17"/>
  <c r="C20" i="17"/>
  <c r="C21" i="17"/>
  <c r="C22" i="17"/>
  <c r="C23" i="17"/>
  <c r="C24" i="17"/>
  <c r="C25" i="17"/>
  <c r="C26" i="17"/>
  <c r="C27" i="17"/>
  <c r="C28" i="17"/>
  <c r="C29" i="17"/>
  <c r="C30" i="17"/>
  <c r="C31" i="17"/>
  <c r="C32" i="17"/>
  <c r="C33" i="17"/>
  <c r="C34" i="17"/>
  <c r="C35" i="17"/>
  <c r="C36" i="17"/>
  <c r="C37" i="17"/>
  <c r="C38" i="17"/>
  <c r="C39" i="17"/>
  <c r="C40" i="17"/>
  <c r="C41" i="17"/>
  <c r="C42" i="17"/>
  <c r="C43" i="17"/>
  <c r="C44" i="17"/>
  <c r="C45" i="17"/>
  <c r="C46" i="17"/>
  <c r="C47" i="17"/>
  <c r="C48" i="17"/>
  <c r="C49" i="17"/>
  <c r="C50" i="17"/>
  <c r="C51" i="17"/>
  <c r="C52" i="17"/>
  <c r="C53" i="17"/>
  <c r="C54" i="17"/>
  <c r="C55" i="17"/>
  <c r="C56" i="17"/>
  <c r="C57" i="17"/>
  <c r="C58" i="17"/>
  <c r="C59" i="17"/>
  <c r="C60" i="17"/>
  <c r="C61" i="17"/>
  <c r="C62" i="17"/>
  <c r="C63" i="17"/>
  <c r="C64" i="17"/>
  <c r="C65" i="17"/>
  <c r="C66" i="17"/>
  <c r="C67" i="17"/>
  <c r="C68" i="17"/>
  <c r="C85" i="17" s="1"/>
  <c r="C69" i="17"/>
  <c r="C70" i="17"/>
  <c r="C71" i="17"/>
  <c r="C72" i="17"/>
  <c r="C73" i="17"/>
  <c r="C74" i="17"/>
  <c r="C75" i="17"/>
  <c r="C76" i="17"/>
  <c r="C77" i="17"/>
  <c r="C78" i="17"/>
  <c r="C79" i="17"/>
  <c r="C80" i="17"/>
  <c r="F85" i="17"/>
  <c r="G85" i="17"/>
  <c r="H85" i="17"/>
  <c r="I85" i="17"/>
  <c r="J85" i="17"/>
  <c r="K85" i="17"/>
  <c r="L85" i="17"/>
  <c r="M85" i="17"/>
  <c r="N85" i="17"/>
  <c r="O85" i="17"/>
  <c r="P85" i="17"/>
  <c r="Q85" i="17"/>
  <c r="R85" i="17"/>
  <c r="S85" i="17"/>
  <c r="F86" i="17"/>
  <c r="G86" i="17"/>
  <c r="H86" i="17"/>
  <c r="I86" i="17"/>
  <c r="J86" i="17"/>
  <c r="K86" i="17"/>
  <c r="L86" i="17"/>
  <c r="M86" i="17"/>
  <c r="N86" i="17"/>
  <c r="O86" i="17"/>
  <c r="P86" i="17"/>
  <c r="Q86" i="17"/>
  <c r="R86" i="17"/>
  <c r="S86" i="17"/>
  <c r="F87" i="17"/>
  <c r="G87" i="17"/>
  <c r="H87" i="17"/>
  <c r="I87" i="17"/>
  <c r="J87" i="17"/>
  <c r="K87" i="17"/>
  <c r="L87" i="17"/>
  <c r="M87" i="17"/>
  <c r="N87" i="17"/>
  <c r="O87" i="17"/>
  <c r="P87" i="17"/>
  <c r="Q87" i="17"/>
  <c r="R87" i="17"/>
  <c r="S87" i="17"/>
  <c r="C8" i="16"/>
  <c r="C9" i="16"/>
  <c r="C10" i="16"/>
  <c r="M10" i="16"/>
  <c r="C11" i="16"/>
  <c r="M11" i="16"/>
  <c r="AF11" i="16"/>
  <c r="C12" i="16"/>
  <c r="M12" i="16"/>
  <c r="AF12" i="16"/>
  <c r="C13" i="16"/>
  <c r="M13" i="16"/>
  <c r="AF13" i="16"/>
  <c r="C14" i="16"/>
  <c r="M14" i="16"/>
  <c r="AF14" i="16"/>
  <c r="C15" i="16"/>
  <c r="M15" i="16"/>
  <c r="AF15" i="16"/>
  <c r="C16" i="16"/>
  <c r="M16" i="16"/>
  <c r="AF16" i="16"/>
  <c r="C17" i="16"/>
  <c r="M17" i="16"/>
  <c r="AF17" i="16"/>
  <c r="C18" i="16"/>
  <c r="M18" i="16"/>
  <c r="AF18" i="16"/>
  <c r="C19" i="16"/>
  <c r="M19" i="16"/>
  <c r="AF19" i="16"/>
  <c r="C20" i="16"/>
  <c r="M20" i="16"/>
  <c r="AF20" i="16"/>
  <c r="C21" i="16"/>
  <c r="M21" i="16"/>
  <c r="AF21" i="16"/>
  <c r="C22" i="16"/>
  <c r="M22" i="16"/>
  <c r="AF22" i="16"/>
  <c r="C23" i="16"/>
  <c r="M23" i="16"/>
  <c r="AF23" i="16"/>
  <c r="C24" i="16"/>
  <c r="M24" i="16"/>
  <c r="AF24" i="16"/>
  <c r="C25" i="16"/>
  <c r="M25" i="16"/>
  <c r="AF25" i="16"/>
  <c r="C26" i="16"/>
  <c r="M26" i="16"/>
  <c r="AF26" i="16"/>
  <c r="C27" i="16"/>
  <c r="M27" i="16"/>
  <c r="AF27" i="16"/>
  <c r="C28" i="16"/>
  <c r="M28" i="16"/>
  <c r="AF28" i="16"/>
  <c r="C29" i="16"/>
  <c r="M29" i="16"/>
  <c r="AF29" i="16"/>
  <c r="C30" i="16"/>
  <c r="M30" i="16"/>
  <c r="AF30" i="16"/>
  <c r="C31" i="16"/>
  <c r="M31" i="16"/>
  <c r="AF31" i="16"/>
  <c r="C32" i="16"/>
  <c r="M32" i="16"/>
  <c r="AF32" i="16"/>
  <c r="C33" i="16"/>
  <c r="M33" i="16"/>
  <c r="AF33" i="16"/>
  <c r="C34" i="16"/>
  <c r="M34" i="16"/>
  <c r="AF34" i="16"/>
  <c r="C35" i="16"/>
  <c r="M35" i="16"/>
  <c r="AF35" i="16"/>
  <c r="C36" i="16"/>
  <c r="M36" i="16"/>
  <c r="AF36" i="16"/>
  <c r="C37" i="16"/>
  <c r="M37" i="16"/>
  <c r="AF37" i="16"/>
  <c r="C38" i="16"/>
  <c r="M38" i="16"/>
  <c r="AF38" i="16"/>
  <c r="C39" i="16"/>
  <c r="M39" i="16"/>
  <c r="AF39" i="16"/>
  <c r="C40" i="16"/>
  <c r="M40" i="16"/>
  <c r="AF40" i="16"/>
  <c r="C41" i="16"/>
  <c r="M41" i="16"/>
  <c r="AF41" i="16"/>
  <c r="M42" i="16"/>
  <c r="AF42" i="16"/>
  <c r="M43" i="16"/>
  <c r="M44" i="16"/>
  <c r="M45" i="16"/>
  <c r="AF45" i="16"/>
  <c r="M46" i="16"/>
  <c r="AF46" i="16"/>
  <c r="M47" i="16"/>
  <c r="M48" i="16"/>
  <c r="AF48" i="16"/>
  <c r="M49" i="16"/>
  <c r="M50" i="16"/>
  <c r="M51" i="16"/>
  <c r="C52" i="16"/>
  <c r="D52" i="16"/>
  <c r="E52" i="16"/>
  <c r="F52" i="16"/>
  <c r="G52" i="16"/>
  <c r="H52" i="16"/>
  <c r="M52" i="16"/>
  <c r="D53" i="16"/>
  <c r="E53" i="16"/>
  <c r="F53" i="16"/>
  <c r="G53" i="16"/>
  <c r="H53" i="16"/>
  <c r="M53" i="16"/>
  <c r="D54" i="16"/>
  <c r="E54" i="16"/>
  <c r="F54" i="16"/>
  <c r="G54" i="16"/>
  <c r="H54" i="16"/>
  <c r="M54" i="16"/>
  <c r="AJ54" i="16"/>
  <c r="AK54" i="16"/>
  <c r="AL54" i="16"/>
  <c r="AM54" i="16"/>
  <c r="AN54" i="16"/>
  <c r="AO54" i="16"/>
  <c r="AP54" i="16"/>
  <c r="AQ54" i="16"/>
  <c r="AR54" i="16"/>
  <c r="AS54" i="16"/>
  <c r="AT54" i="16"/>
  <c r="AU54" i="16"/>
  <c r="AV54" i="16"/>
  <c r="M55" i="16"/>
  <c r="AF55" i="16"/>
  <c r="AJ55" i="16"/>
  <c r="AK55" i="16"/>
  <c r="AL55" i="16"/>
  <c r="AM55" i="16"/>
  <c r="AN55" i="16"/>
  <c r="AO55" i="16"/>
  <c r="AP55" i="16"/>
  <c r="AQ55" i="16"/>
  <c r="AR55" i="16"/>
  <c r="AS55" i="16"/>
  <c r="AT55" i="16"/>
  <c r="AU55" i="16"/>
  <c r="AV55" i="16"/>
  <c r="M56" i="16"/>
  <c r="AJ56" i="16"/>
  <c r="AK56" i="16"/>
  <c r="AL56" i="16"/>
  <c r="AM56" i="16"/>
  <c r="AN56" i="16"/>
  <c r="AO56" i="16"/>
  <c r="AP56" i="16"/>
  <c r="AQ56" i="16"/>
  <c r="AR56" i="16"/>
  <c r="AS56" i="16"/>
  <c r="AT56" i="16"/>
  <c r="AU56" i="16"/>
  <c r="AV56" i="16"/>
  <c r="M57" i="16"/>
  <c r="M58" i="16"/>
  <c r="N63" i="16"/>
  <c r="R63" i="16"/>
  <c r="S63" i="16"/>
  <c r="T63" i="16"/>
  <c r="U63" i="16"/>
  <c r="V63" i="16"/>
  <c r="W63" i="16"/>
  <c r="X63" i="16"/>
  <c r="Y63" i="16"/>
  <c r="Z63" i="16"/>
  <c r="AA63" i="16"/>
  <c r="AB63" i="16"/>
  <c r="N64" i="16"/>
  <c r="R64" i="16"/>
  <c r="S64" i="16"/>
  <c r="T64" i="16"/>
  <c r="U64" i="16"/>
  <c r="V64" i="16"/>
  <c r="W64" i="16"/>
  <c r="X64" i="16"/>
  <c r="Y64" i="16"/>
  <c r="Z64" i="16"/>
  <c r="AA64" i="16"/>
  <c r="AB64" i="16"/>
  <c r="N65" i="16"/>
  <c r="R65" i="16"/>
  <c r="S65" i="16"/>
  <c r="T65" i="16"/>
  <c r="U65" i="16"/>
  <c r="V65" i="16"/>
  <c r="W65" i="16"/>
  <c r="X65" i="16"/>
  <c r="Y65" i="16"/>
  <c r="Z65" i="16"/>
  <c r="AA65" i="16"/>
  <c r="AB65" i="16"/>
  <c r="M72" i="16"/>
  <c r="M73" i="16"/>
  <c r="M74" i="16"/>
  <c r="M75" i="16"/>
  <c r="M76" i="16"/>
  <c r="M82" i="16"/>
  <c r="M83" i="16"/>
  <c r="M84" i="16"/>
  <c r="M85" i="16"/>
  <c r="M86" i="16"/>
  <c r="M87" i="16"/>
  <c r="M88" i="16"/>
  <c r="M89" i="16"/>
  <c r="M90" i="16"/>
  <c r="C7" i="15"/>
  <c r="C8" i="15"/>
  <c r="C9" i="15"/>
  <c r="C10" i="15"/>
  <c r="C11" i="15"/>
  <c r="C12" i="15"/>
  <c r="C13" i="15"/>
  <c r="C14" i="15"/>
  <c r="C17" i="15"/>
  <c r="D17" i="15"/>
  <c r="G17" i="15"/>
  <c r="H17" i="15"/>
  <c r="I17" i="15"/>
  <c r="J17" i="15"/>
  <c r="K17" i="15"/>
  <c r="L17" i="15"/>
  <c r="M17" i="15"/>
  <c r="N17" i="15"/>
  <c r="O17" i="15"/>
  <c r="P17" i="15"/>
  <c r="Q17" i="15"/>
  <c r="R17" i="15"/>
  <c r="S17" i="15"/>
  <c r="T17" i="15"/>
  <c r="U17" i="15"/>
  <c r="V17" i="15"/>
  <c r="W17" i="15"/>
  <c r="X17" i="15"/>
  <c r="Y17" i="15"/>
  <c r="Z17" i="15"/>
  <c r="AA17" i="15"/>
  <c r="D18" i="15"/>
  <c r="G18" i="15"/>
  <c r="H18" i="15"/>
  <c r="I18" i="15"/>
  <c r="J18" i="15"/>
  <c r="K18" i="15"/>
  <c r="L18" i="15"/>
  <c r="M18" i="15"/>
  <c r="N18" i="15"/>
  <c r="O18" i="15"/>
  <c r="P18" i="15"/>
  <c r="Q18" i="15"/>
  <c r="R18" i="15"/>
  <c r="S18" i="15"/>
  <c r="T18" i="15"/>
  <c r="U18" i="15"/>
  <c r="V18" i="15"/>
  <c r="W18" i="15"/>
  <c r="X18" i="15"/>
  <c r="Y18" i="15"/>
  <c r="Z18" i="15"/>
  <c r="AA18" i="15"/>
  <c r="D19" i="15"/>
  <c r="G19" i="15"/>
  <c r="H19" i="15"/>
  <c r="I19" i="15"/>
  <c r="J19" i="15"/>
  <c r="K19" i="15"/>
  <c r="L19" i="15"/>
  <c r="M19" i="15"/>
  <c r="N19" i="15"/>
  <c r="O19" i="15"/>
  <c r="P19" i="15"/>
  <c r="Q19" i="15"/>
  <c r="R19" i="15"/>
  <c r="S19" i="15"/>
  <c r="T19" i="15"/>
  <c r="U19" i="15"/>
  <c r="V19" i="15"/>
  <c r="W19" i="15"/>
  <c r="X19" i="15"/>
  <c r="Y19" i="15"/>
  <c r="Z19" i="15"/>
  <c r="AA19" i="15"/>
  <c r="C25" i="15"/>
  <c r="C26" i="15"/>
  <c r="C27" i="15"/>
  <c r="C28" i="15"/>
  <c r="C29" i="15"/>
  <c r="C30" i="15"/>
  <c r="C31" i="15"/>
  <c r="C32" i="15"/>
  <c r="C33" i="15"/>
  <c r="C34" i="15"/>
  <c r="C35" i="15"/>
  <c r="C36" i="15"/>
  <c r="C37" i="15"/>
  <c r="C38" i="15"/>
  <c r="C39" i="15"/>
  <c r="C44" i="15"/>
  <c r="G44" i="15"/>
  <c r="H44" i="15"/>
  <c r="I44" i="15"/>
  <c r="K44" i="15"/>
  <c r="L44" i="15"/>
  <c r="M44" i="15"/>
  <c r="N44" i="15"/>
  <c r="O44" i="15"/>
  <c r="P44" i="15"/>
  <c r="R44" i="15"/>
  <c r="S44" i="15"/>
  <c r="T44" i="15"/>
  <c r="G45" i="15"/>
  <c r="H45" i="15"/>
  <c r="I45" i="15"/>
  <c r="K45" i="15"/>
  <c r="L45" i="15"/>
  <c r="M45" i="15"/>
  <c r="N45" i="15"/>
  <c r="O45" i="15"/>
  <c r="P45" i="15"/>
  <c r="R45" i="15"/>
  <c r="S45" i="15"/>
  <c r="T45" i="15"/>
  <c r="G46" i="15"/>
  <c r="H46" i="15"/>
  <c r="I46" i="15"/>
  <c r="K46" i="15"/>
  <c r="L46" i="15"/>
  <c r="M46" i="15"/>
  <c r="N46" i="15"/>
  <c r="O46" i="15"/>
  <c r="P46" i="15"/>
  <c r="R46" i="15"/>
  <c r="S46" i="15"/>
  <c r="T46" i="15"/>
  <c r="C50" i="15"/>
  <c r="C51" i="15"/>
  <c r="C52" i="15"/>
  <c r="C53" i="15"/>
  <c r="C54" i="15"/>
  <c r="C55" i="15"/>
  <c r="C56" i="15"/>
  <c r="C57" i="15"/>
  <c r="D62" i="15"/>
  <c r="G62" i="15"/>
  <c r="H62" i="15"/>
  <c r="I62" i="15"/>
  <c r="K62" i="15"/>
  <c r="L62" i="15"/>
  <c r="M62" i="15"/>
  <c r="N62" i="15"/>
  <c r="O62" i="15"/>
  <c r="P62" i="15"/>
  <c r="R62" i="15"/>
  <c r="S62" i="15"/>
  <c r="T62" i="15"/>
  <c r="D63" i="15"/>
  <c r="G63" i="15"/>
  <c r="H63" i="15"/>
  <c r="I63" i="15"/>
  <c r="K63" i="15"/>
  <c r="L63" i="15"/>
  <c r="M63" i="15"/>
  <c r="N63" i="15"/>
  <c r="O63" i="15"/>
  <c r="P63" i="15"/>
  <c r="R63" i="15"/>
  <c r="S63" i="15"/>
  <c r="T63" i="15"/>
  <c r="D64" i="15"/>
  <c r="G64" i="15"/>
  <c r="H64" i="15"/>
  <c r="I64" i="15"/>
  <c r="K64" i="15"/>
  <c r="L64" i="15"/>
  <c r="M64" i="15"/>
  <c r="N64" i="15"/>
  <c r="O64" i="15"/>
  <c r="P64" i="15"/>
  <c r="R64" i="15"/>
  <c r="S64" i="15"/>
  <c r="T64" i="15"/>
  <c r="C72" i="15"/>
  <c r="C73" i="15"/>
  <c r="C74" i="15"/>
  <c r="C75" i="15"/>
  <c r="C76" i="15"/>
  <c r="C77" i="15"/>
  <c r="C78" i="15"/>
  <c r="C79" i="15"/>
  <c r="C80" i="15"/>
  <c r="C81" i="15"/>
  <c r="C82" i="15"/>
  <c r="C83" i="15"/>
  <c r="C84" i="15"/>
  <c r="C85" i="15"/>
  <c r="D90" i="15"/>
  <c r="G90" i="15"/>
  <c r="H90" i="15"/>
  <c r="I90" i="15"/>
  <c r="J90" i="15"/>
  <c r="K90" i="15"/>
  <c r="L90" i="15"/>
  <c r="M90" i="15"/>
  <c r="N90" i="15"/>
  <c r="O90" i="15"/>
  <c r="P90" i="15"/>
  <c r="Q90" i="15"/>
  <c r="R90" i="15"/>
  <c r="S90" i="15"/>
  <c r="T90" i="15"/>
  <c r="D91" i="15"/>
  <c r="G91" i="15"/>
  <c r="H91" i="15"/>
  <c r="I91" i="15"/>
  <c r="J91" i="15"/>
  <c r="K91" i="15"/>
  <c r="L91" i="15"/>
  <c r="M91" i="15"/>
  <c r="N91" i="15"/>
  <c r="O91" i="15"/>
  <c r="P91" i="15"/>
  <c r="Q91" i="15"/>
  <c r="R91" i="15"/>
  <c r="S91" i="15"/>
  <c r="T91" i="15"/>
  <c r="D92" i="15"/>
  <c r="G92" i="15"/>
  <c r="H92" i="15"/>
  <c r="I92" i="15"/>
  <c r="J92" i="15"/>
  <c r="K92" i="15"/>
  <c r="L92" i="15"/>
  <c r="M92" i="15"/>
  <c r="N92" i="15"/>
  <c r="O92" i="15"/>
  <c r="P92" i="15"/>
  <c r="Q92" i="15"/>
  <c r="R92" i="15"/>
  <c r="S92" i="15"/>
  <c r="T92" i="15"/>
  <c r="C100" i="15"/>
  <c r="C101" i="15"/>
  <c r="C102" i="15"/>
  <c r="C103" i="15"/>
  <c r="C104" i="15"/>
  <c r="C105" i="15"/>
  <c r="C106" i="15"/>
  <c r="C107" i="15"/>
  <c r="C108" i="15"/>
  <c r="C109" i="15"/>
  <c r="C110" i="15"/>
  <c r="C111" i="15"/>
  <c r="C112" i="15"/>
  <c r="C113" i="15"/>
  <c r="C114" i="15"/>
  <c r="C115" i="15"/>
  <c r="C116" i="15"/>
  <c r="C117" i="15"/>
  <c r="D121" i="15"/>
  <c r="I121" i="15"/>
  <c r="K121" i="15"/>
  <c r="M121" i="15"/>
  <c r="N121" i="15"/>
  <c r="O121" i="15"/>
  <c r="R121" i="15"/>
  <c r="S121" i="15"/>
  <c r="T121" i="15"/>
  <c r="U121" i="15"/>
  <c r="V121" i="15"/>
  <c r="W121" i="15"/>
  <c r="X121" i="15"/>
  <c r="Y121" i="15"/>
  <c r="Z121" i="15"/>
  <c r="AA121" i="15"/>
  <c r="AB121" i="15"/>
  <c r="AC121" i="15"/>
  <c r="D122" i="15"/>
  <c r="I122" i="15"/>
  <c r="K122" i="15"/>
  <c r="M122" i="15"/>
  <c r="N122" i="15"/>
  <c r="O122" i="15"/>
  <c r="R122" i="15"/>
  <c r="S122" i="15"/>
  <c r="T122" i="15"/>
  <c r="U122" i="15"/>
  <c r="V122" i="15"/>
  <c r="W122" i="15"/>
  <c r="X122" i="15"/>
  <c r="Y122" i="15"/>
  <c r="Z122" i="15"/>
  <c r="AA122" i="15"/>
  <c r="AB122" i="15"/>
  <c r="AC122" i="15"/>
  <c r="D123" i="15"/>
  <c r="I123" i="15"/>
  <c r="K123" i="15"/>
  <c r="M123" i="15"/>
  <c r="N123" i="15"/>
  <c r="O123" i="15"/>
  <c r="R123" i="15"/>
  <c r="S123" i="15"/>
  <c r="T123" i="15"/>
  <c r="U123" i="15"/>
  <c r="V123" i="15"/>
  <c r="W123" i="15"/>
  <c r="X123" i="15"/>
  <c r="Y123" i="15"/>
  <c r="Z123" i="15"/>
  <c r="AA123" i="15"/>
  <c r="AB123" i="15"/>
  <c r="AC123" i="15"/>
  <c r="C129" i="15"/>
  <c r="C130" i="15"/>
  <c r="C131" i="15"/>
  <c r="C132" i="15"/>
  <c r="C133" i="15"/>
  <c r="C134" i="15"/>
  <c r="C135" i="15"/>
  <c r="C136" i="15"/>
  <c r="C137" i="15"/>
  <c r="C138" i="15"/>
  <c r="C139" i="15"/>
  <c r="C140" i="15"/>
  <c r="C141" i="15"/>
  <c r="C142" i="15"/>
  <c r="C143" i="15"/>
  <c r="C144" i="15"/>
  <c r="C145" i="15"/>
  <c r="D149" i="15"/>
  <c r="J149" i="15"/>
  <c r="K149" i="15"/>
  <c r="L149" i="15"/>
  <c r="D150" i="15"/>
  <c r="J150" i="15"/>
  <c r="K150" i="15"/>
  <c r="L150" i="15"/>
  <c r="D151" i="15"/>
  <c r="J151" i="15"/>
  <c r="K151" i="15"/>
  <c r="L151" i="15"/>
  <c r="C159" i="15"/>
  <c r="C160" i="15"/>
  <c r="C161" i="15"/>
  <c r="C162" i="15"/>
  <c r="C163" i="15"/>
  <c r="C164" i="15"/>
  <c r="C165" i="15"/>
  <c r="C166" i="15"/>
  <c r="C167" i="15"/>
  <c r="C168" i="15"/>
  <c r="C169" i="15"/>
  <c r="C170" i="15"/>
  <c r="C171" i="15"/>
  <c r="C172" i="15"/>
  <c r="C173" i="15"/>
  <c r="C174" i="15"/>
  <c r="C175" i="15"/>
  <c r="C176" i="15"/>
  <c r="C177" i="15"/>
  <c r="C178" i="15"/>
  <c r="C179" i="15"/>
  <c r="C180" i="15"/>
  <c r="C181" i="15"/>
  <c r="C182" i="15"/>
  <c r="C183" i="15"/>
  <c r="C184" i="15"/>
  <c r="C185" i="15"/>
  <c r="C186" i="15"/>
  <c r="C187" i="15"/>
  <c r="C188" i="15"/>
  <c r="C189" i="15"/>
  <c r="C190" i="15"/>
  <c r="C191" i="15"/>
  <c r="C192" i="15"/>
  <c r="C193" i="15"/>
  <c r="D199" i="15"/>
  <c r="J199" i="15"/>
  <c r="K199" i="15"/>
  <c r="L199" i="15"/>
  <c r="AB199" i="15"/>
  <c r="D200" i="15"/>
  <c r="J200" i="15"/>
  <c r="K200" i="15"/>
  <c r="L200" i="15"/>
  <c r="AB200" i="15"/>
  <c r="D201" i="15"/>
  <c r="J201" i="15"/>
  <c r="K201" i="15"/>
  <c r="L201" i="15"/>
  <c r="AB201" i="15"/>
  <c r="C213" i="15"/>
  <c r="C214" i="15"/>
  <c r="C215" i="15"/>
  <c r="C216" i="15"/>
  <c r="C217" i="15"/>
  <c r="C218" i="15"/>
  <c r="C219" i="15"/>
  <c r="C220" i="15"/>
  <c r="C221" i="15"/>
  <c r="C222" i="15"/>
  <c r="C223" i="15"/>
  <c r="C224" i="15"/>
  <c r="C225" i="15"/>
  <c r="C226" i="15"/>
  <c r="C227" i="15"/>
  <c r="C228" i="15"/>
  <c r="C229" i="15"/>
  <c r="C230" i="15"/>
  <c r="C231" i="15"/>
  <c r="C232" i="15"/>
  <c r="C233" i="15"/>
  <c r="C234" i="15"/>
  <c r="C235" i="15"/>
  <c r="C236" i="15"/>
  <c r="C237" i="15"/>
  <c r="C238" i="15"/>
  <c r="C239" i="15"/>
  <c r="C240" i="15"/>
  <c r="C241" i="15"/>
  <c r="C242" i="15"/>
  <c r="C243" i="15"/>
  <c r="C244" i="15"/>
  <c r="H250" i="15"/>
  <c r="I250" i="15"/>
  <c r="J250" i="15"/>
  <c r="K250" i="15"/>
  <c r="L250" i="15"/>
  <c r="M250" i="15"/>
  <c r="N250" i="15"/>
  <c r="O250" i="15"/>
  <c r="P250" i="15"/>
  <c r="Q250" i="15"/>
  <c r="R250" i="15"/>
  <c r="S250" i="15"/>
  <c r="T250" i="15"/>
  <c r="H251" i="15"/>
  <c r="I251" i="15"/>
  <c r="J251" i="15"/>
  <c r="K251" i="15"/>
  <c r="L251" i="15"/>
  <c r="M251" i="15"/>
  <c r="N251" i="15"/>
  <c r="O251" i="15"/>
  <c r="P251" i="15"/>
  <c r="Q251" i="15"/>
  <c r="R251" i="15"/>
  <c r="S251" i="15"/>
  <c r="T251" i="15"/>
  <c r="H252" i="15"/>
  <c r="I252" i="15"/>
  <c r="J252" i="15"/>
  <c r="K252" i="15"/>
  <c r="L252" i="15"/>
  <c r="M252" i="15"/>
  <c r="N252" i="15"/>
  <c r="O252" i="15"/>
  <c r="P252" i="15"/>
  <c r="Q252" i="15"/>
  <c r="R252" i="15"/>
  <c r="S252" i="15"/>
  <c r="T252" i="15"/>
  <c r="B22" i="14"/>
  <c r="E22" i="14"/>
  <c r="F22" i="14"/>
  <c r="G22" i="14"/>
  <c r="H22" i="14"/>
  <c r="I22" i="14"/>
  <c r="J22" i="14"/>
  <c r="E23" i="14"/>
  <c r="F23" i="14"/>
  <c r="G23" i="14"/>
  <c r="H23" i="14"/>
  <c r="I23" i="14"/>
  <c r="J23" i="14"/>
  <c r="E24" i="14"/>
  <c r="F24" i="14"/>
  <c r="G24" i="14"/>
  <c r="H24" i="14"/>
  <c r="I24" i="14"/>
  <c r="J24" i="14"/>
  <c r="A57" i="13"/>
  <c r="C57" i="13"/>
  <c r="D57" i="13"/>
  <c r="E57" i="13"/>
  <c r="F57" i="13"/>
  <c r="G57" i="13"/>
  <c r="H57" i="13"/>
  <c r="I57" i="13"/>
  <c r="J57" i="13"/>
  <c r="K57" i="13"/>
  <c r="L57" i="13"/>
  <c r="C58" i="13"/>
  <c r="D58" i="13"/>
  <c r="E58" i="13"/>
  <c r="F58" i="13"/>
  <c r="G58" i="13"/>
  <c r="H58" i="13"/>
  <c r="I58" i="13"/>
  <c r="J58" i="13"/>
  <c r="K58" i="13"/>
  <c r="L58" i="13"/>
  <c r="C59" i="13"/>
  <c r="D59" i="13"/>
  <c r="E59" i="13"/>
  <c r="F59" i="13"/>
  <c r="G59" i="13"/>
  <c r="H59" i="13"/>
  <c r="I59" i="13"/>
  <c r="J59" i="13"/>
  <c r="K59" i="13"/>
  <c r="L59" i="13"/>
  <c r="A6" i="12"/>
  <c r="A7" i="12"/>
  <c r="A8" i="12"/>
  <c r="A9" i="12"/>
  <c r="A10" i="12"/>
  <c r="A11" i="12"/>
  <c r="A12" i="12"/>
  <c r="A13" i="12"/>
  <c r="A14" i="12"/>
  <c r="A15" i="12"/>
  <c r="A16" i="12"/>
  <c r="A17" i="12"/>
  <c r="A18" i="12"/>
  <c r="A19" i="12"/>
  <c r="A20" i="12"/>
  <c r="A21" i="12"/>
  <c r="A22" i="12"/>
  <c r="A23" i="12"/>
  <c r="A24" i="12"/>
  <c r="A25" i="12"/>
  <c r="A26" i="12"/>
  <c r="A27" i="12"/>
  <c r="A28" i="12"/>
  <c r="A29" i="12"/>
  <c r="A30" i="12"/>
  <c r="A31" i="12"/>
  <c r="A32" i="12"/>
  <c r="A38" i="12"/>
  <c r="C38" i="12"/>
  <c r="D38" i="12"/>
  <c r="E38" i="12"/>
  <c r="F38" i="12"/>
  <c r="G38" i="12"/>
  <c r="H38" i="12"/>
  <c r="I38" i="12"/>
  <c r="J38" i="12"/>
  <c r="K38" i="12"/>
  <c r="L38" i="12"/>
  <c r="C39" i="12"/>
  <c r="D39" i="12"/>
  <c r="E39" i="12"/>
  <c r="F39" i="12"/>
  <c r="G39" i="12"/>
  <c r="H39" i="12"/>
  <c r="I39" i="12"/>
  <c r="J39" i="12"/>
  <c r="K39" i="12"/>
  <c r="L39" i="12"/>
  <c r="C40" i="12"/>
  <c r="D40" i="12"/>
  <c r="E40" i="12"/>
  <c r="F40" i="12"/>
  <c r="G40" i="12"/>
  <c r="H40" i="12"/>
  <c r="I40" i="12"/>
  <c r="J40" i="12"/>
  <c r="K40" i="12"/>
  <c r="L40" i="12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AD63" i="11"/>
  <c r="AE63" i="11"/>
  <c r="AF63" i="11"/>
  <c r="AG63" i="11"/>
  <c r="AH63" i="11"/>
  <c r="AI63" i="11"/>
  <c r="AJ63" i="11"/>
  <c r="AK63" i="11"/>
  <c r="AL63" i="11"/>
  <c r="AM63" i="11"/>
  <c r="AN63" i="11"/>
  <c r="AO63" i="11"/>
  <c r="AP63" i="11"/>
  <c r="AQ63" i="11"/>
  <c r="AR63" i="11"/>
  <c r="AS63" i="11"/>
  <c r="AT63" i="11"/>
  <c r="AU63" i="11"/>
  <c r="AV63" i="11"/>
  <c r="AW63" i="11"/>
  <c r="AX63" i="11"/>
  <c r="AY63" i="11"/>
  <c r="AZ63" i="11"/>
  <c r="AD64" i="11"/>
  <c r="AE64" i="11"/>
  <c r="AF64" i="11"/>
  <c r="AG64" i="11"/>
  <c r="AH64" i="11"/>
  <c r="AI64" i="11"/>
  <c r="AJ64" i="11"/>
  <c r="AK64" i="11"/>
  <c r="AL64" i="11"/>
  <c r="AM64" i="11"/>
  <c r="AN64" i="11"/>
  <c r="AO64" i="11"/>
  <c r="AP64" i="11"/>
  <c r="AQ64" i="11"/>
  <c r="AR64" i="11"/>
  <c r="AS64" i="11"/>
  <c r="AT64" i="11"/>
  <c r="AU64" i="11"/>
  <c r="AV64" i="11"/>
  <c r="AW64" i="11"/>
  <c r="AX64" i="11"/>
  <c r="AY64" i="11"/>
  <c r="AZ64" i="11"/>
  <c r="AD65" i="11"/>
  <c r="AE65" i="11"/>
  <c r="AF65" i="11"/>
  <c r="AG65" i="11"/>
  <c r="AH65" i="11"/>
  <c r="AI65" i="11"/>
  <c r="AJ65" i="11"/>
  <c r="AK65" i="11"/>
  <c r="AL65" i="11"/>
  <c r="AM65" i="11"/>
  <c r="AN65" i="11"/>
  <c r="AO65" i="11"/>
  <c r="AP65" i="11"/>
  <c r="AQ65" i="11"/>
  <c r="AR65" i="11"/>
  <c r="AS65" i="11"/>
  <c r="AT65" i="11"/>
  <c r="AU65" i="11"/>
  <c r="AV65" i="11"/>
  <c r="AW65" i="11"/>
  <c r="AX65" i="11"/>
  <c r="AY65" i="11"/>
  <c r="AZ65" i="11"/>
  <c r="AD66" i="11"/>
  <c r="AE66" i="11"/>
  <c r="AF66" i="11"/>
  <c r="AG66" i="11"/>
  <c r="AH66" i="11"/>
  <c r="AI66" i="11"/>
  <c r="AJ66" i="11"/>
  <c r="AK66" i="11"/>
  <c r="AL66" i="11"/>
  <c r="AM66" i="11"/>
  <c r="AN66" i="11"/>
  <c r="AO66" i="11"/>
  <c r="AP66" i="11"/>
  <c r="AQ66" i="11"/>
  <c r="AR66" i="11"/>
  <c r="AS66" i="11"/>
  <c r="AT66" i="11"/>
  <c r="AU66" i="11"/>
  <c r="AV66" i="11"/>
  <c r="AW66" i="11"/>
  <c r="AX66" i="11"/>
  <c r="AY66" i="11"/>
  <c r="AZ66" i="11"/>
  <c r="AD67" i="11"/>
  <c r="AE67" i="11"/>
  <c r="AF67" i="11"/>
  <c r="AG67" i="11"/>
  <c r="AH67" i="11"/>
  <c r="AI67" i="11"/>
  <c r="AJ67" i="11"/>
  <c r="AK67" i="11"/>
  <c r="AL67" i="11"/>
  <c r="AM67" i="11"/>
  <c r="AN67" i="11"/>
  <c r="AO67" i="11"/>
  <c r="AP67" i="11"/>
  <c r="AQ67" i="11"/>
  <c r="AR67" i="11"/>
  <c r="AS67" i="11"/>
  <c r="AT67" i="11"/>
  <c r="AU67" i="11"/>
  <c r="AV67" i="11"/>
  <c r="AW67" i="11"/>
  <c r="AX67" i="11"/>
  <c r="AY67" i="11"/>
  <c r="AZ67" i="11"/>
  <c r="AD68" i="11"/>
  <c r="AE68" i="11"/>
  <c r="AF68" i="11"/>
  <c r="AG68" i="11"/>
  <c r="AH68" i="11"/>
  <c r="AI68" i="11"/>
  <c r="AJ68" i="11"/>
  <c r="AK68" i="11"/>
  <c r="AL68" i="11"/>
  <c r="AM68" i="11"/>
  <c r="AN68" i="11"/>
  <c r="AO68" i="11"/>
  <c r="AP68" i="11"/>
  <c r="AQ68" i="11"/>
  <c r="AR68" i="11"/>
  <c r="AS68" i="11"/>
  <c r="AT68" i="11"/>
  <c r="AU68" i="11"/>
  <c r="AV68" i="11"/>
  <c r="AW68" i="11"/>
  <c r="AX68" i="11"/>
  <c r="AY68" i="11"/>
  <c r="AZ68" i="11"/>
  <c r="AD69" i="11"/>
  <c r="AE69" i="11"/>
  <c r="AF69" i="11"/>
  <c r="AG69" i="11"/>
  <c r="AH69" i="11"/>
  <c r="AI69" i="11"/>
  <c r="AJ69" i="11"/>
  <c r="AK69" i="11"/>
  <c r="AL69" i="11"/>
  <c r="AM69" i="11"/>
  <c r="AN69" i="11"/>
  <c r="AO69" i="11"/>
  <c r="AP69" i="11"/>
  <c r="AQ69" i="11"/>
  <c r="AR69" i="11"/>
  <c r="AS69" i="11"/>
  <c r="AT69" i="11"/>
  <c r="AU69" i="11"/>
  <c r="AV69" i="11"/>
  <c r="AW69" i="11"/>
  <c r="AX69" i="11"/>
  <c r="AY69" i="11"/>
  <c r="AZ69" i="11"/>
  <c r="AD70" i="11"/>
  <c r="AE70" i="11"/>
  <c r="AF70" i="11"/>
  <c r="AG70" i="11"/>
  <c r="AH70" i="11"/>
  <c r="AI70" i="11"/>
  <c r="AJ70" i="11"/>
  <c r="AK70" i="11"/>
  <c r="AL70" i="11"/>
  <c r="AM70" i="11"/>
  <c r="AN70" i="11"/>
  <c r="AO70" i="11"/>
  <c r="AP70" i="11"/>
  <c r="AQ70" i="11"/>
  <c r="AR70" i="11"/>
  <c r="AS70" i="11"/>
  <c r="AT70" i="11"/>
  <c r="AU70" i="11"/>
  <c r="AV70" i="11"/>
  <c r="AW70" i="11"/>
  <c r="AX70" i="11"/>
  <c r="AY70" i="11"/>
  <c r="AZ70" i="11"/>
  <c r="AD71" i="11"/>
  <c r="AE71" i="11"/>
  <c r="AF71" i="11"/>
  <c r="AG71" i="11"/>
  <c r="AH71" i="11"/>
  <c r="AI71" i="11"/>
  <c r="AJ71" i="11"/>
  <c r="AK71" i="11"/>
  <c r="AL71" i="11"/>
  <c r="AM71" i="11"/>
  <c r="AN71" i="11"/>
  <c r="AO71" i="11"/>
  <c r="AP71" i="11"/>
  <c r="AQ71" i="11"/>
  <c r="AR71" i="11"/>
  <c r="AS71" i="11"/>
  <c r="AT71" i="11"/>
  <c r="AU71" i="11"/>
  <c r="AV71" i="11"/>
  <c r="AW71" i="11"/>
  <c r="AX71" i="11"/>
  <c r="AY71" i="11"/>
  <c r="AZ71" i="11"/>
  <c r="B6" i="10"/>
  <c r="B7" i="10"/>
  <c r="B8" i="10"/>
  <c r="B9" i="10"/>
  <c r="B10" i="10"/>
  <c r="B11" i="10"/>
  <c r="B17" i="10"/>
  <c r="D17" i="10"/>
  <c r="E17" i="10"/>
  <c r="F17" i="10"/>
  <c r="G17" i="10"/>
  <c r="H17" i="10"/>
  <c r="I17" i="10"/>
  <c r="J17" i="10"/>
  <c r="K17" i="10"/>
  <c r="L17" i="10"/>
  <c r="M17" i="10"/>
  <c r="N17" i="10"/>
  <c r="D18" i="10"/>
  <c r="E18" i="10"/>
  <c r="F18" i="10"/>
  <c r="G18" i="10"/>
  <c r="H18" i="10"/>
  <c r="I18" i="10"/>
  <c r="J18" i="10"/>
  <c r="K18" i="10"/>
  <c r="L18" i="10"/>
  <c r="M18" i="10"/>
  <c r="N18" i="10"/>
  <c r="D19" i="10"/>
  <c r="E19" i="10"/>
  <c r="F19" i="10"/>
  <c r="G19" i="10"/>
  <c r="H19" i="10"/>
  <c r="I19" i="10"/>
  <c r="J19" i="10"/>
  <c r="K19" i="10"/>
  <c r="L19" i="10"/>
  <c r="M19" i="10"/>
  <c r="N19" i="10"/>
  <c r="A11" i="9"/>
  <c r="A33" i="9"/>
  <c r="A60" i="9"/>
  <c r="D60" i="9"/>
  <c r="E60" i="9"/>
  <c r="F60" i="9"/>
  <c r="G60" i="9"/>
  <c r="H60" i="9"/>
  <c r="I60" i="9"/>
  <c r="J60" i="9"/>
  <c r="K60" i="9"/>
  <c r="L60" i="9"/>
  <c r="M60" i="9"/>
  <c r="N60" i="9"/>
  <c r="D61" i="9"/>
  <c r="E61" i="9"/>
  <c r="F61" i="9"/>
  <c r="G61" i="9"/>
  <c r="H61" i="9"/>
  <c r="I61" i="9"/>
  <c r="J61" i="9"/>
  <c r="K61" i="9"/>
  <c r="L61" i="9"/>
  <c r="M61" i="9"/>
  <c r="N61" i="9"/>
  <c r="D62" i="9"/>
  <c r="E62" i="9"/>
  <c r="F62" i="9"/>
  <c r="G62" i="9"/>
  <c r="H62" i="9"/>
  <c r="I62" i="9"/>
  <c r="J62" i="9"/>
  <c r="K62" i="9"/>
  <c r="L62" i="9"/>
  <c r="M62" i="9"/>
  <c r="N62" i="9"/>
  <c r="A10" i="8"/>
  <c r="I10" i="8"/>
  <c r="K10" i="8"/>
  <c r="L10" i="8"/>
  <c r="M10" i="8"/>
  <c r="O10" i="8"/>
  <c r="P10" i="8"/>
  <c r="A11" i="8"/>
  <c r="J11" i="8"/>
  <c r="K11" i="8"/>
  <c r="L11" i="8"/>
  <c r="M11" i="8"/>
  <c r="N11" i="8"/>
  <c r="O11" i="8"/>
  <c r="P11" i="8"/>
  <c r="A12" i="8"/>
  <c r="J12" i="8"/>
  <c r="K12" i="8"/>
  <c r="L12" i="8"/>
  <c r="M12" i="8"/>
  <c r="O12" i="8"/>
  <c r="P12" i="8"/>
  <c r="A13" i="8"/>
  <c r="J13" i="8"/>
  <c r="K13" i="8"/>
  <c r="L13" i="8"/>
  <c r="M13" i="8"/>
  <c r="O13" i="8"/>
  <c r="P13" i="8"/>
  <c r="A14" i="8"/>
  <c r="J14" i="8"/>
  <c r="K14" i="8"/>
  <c r="L14" i="8"/>
  <c r="M14" i="8"/>
  <c r="O14" i="8"/>
  <c r="P14" i="8"/>
  <c r="A15" i="8"/>
  <c r="J15" i="8"/>
  <c r="K15" i="8"/>
  <c r="L15" i="8"/>
  <c r="M15" i="8"/>
  <c r="N15" i="8"/>
  <c r="O15" i="8"/>
  <c r="P15" i="8"/>
  <c r="A16" i="8"/>
  <c r="J16" i="8"/>
  <c r="K16" i="8"/>
  <c r="L16" i="8"/>
  <c r="M16" i="8"/>
  <c r="O16" i="8"/>
  <c r="P16" i="8"/>
  <c r="A17" i="8"/>
  <c r="J17" i="8"/>
  <c r="K17" i="8"/>
  <c r="L17" i="8"/>
  <c r="M17" i="8"/>
  <c r="O17" i="8"/>
  <c r="P17" i="8"/>
  <c r="A18" i="8"/>
  <c r="J18" i="8"/>
  <c r="K18" i="8"/>
  <c r="L18" i="8"/>
  <c r="M18" i="8"/>
  <c r="N18" i="8"/>
  <c r="O18" i="8"/>
  <c r="P18" i="8"/>
  <c r="A19" i="8"/>
  <c r="I13" i="8" s="1"/>
  <c r="J19" i="8"/>
  <c r="K19" i="8"/>
  <c r="L19" i="8"/>
  <c r="M19" i="8"/>
  <c r="N19" i="8"/>
  <c r="O19" i="8"/>
  <c r="P19" i="8"/>
  <c r="A20" i="8"/>
  <c r="J20" i="8"/>
  <c r="K20" i="8"/>
  <c r="L20" i="8"/>
  <c r="M20" i="8"/>
  <c r="N20" i="8"/>
  <c r="O20" i="8"/>
  <c r="P20" i="8"/>
  <c r="A21" i="8"/>
  <c r="J21" i="8"/>
  <c r="K21" i="8"/>
  <c r="L21" i="8"/>
  <c r="M21" i="8"/>
  <c r="N21" i="8"/>
  <c r="O21" i="8"/>
  <c r="P21" i="8"/>
  <c r="A22" i="8"/>
  <c r="J22" i="8"/>
  <c r="K22" i="8"/>
  <c r="L22" i="8"/>
  <c r="M22" i="8"/>
  <c r="O22" i="8"/>
  <c r="P22" i="8"/>
  <c r="A23" i="8"/>
  <c r="J23" i="8"/>
  <c r="K23" i="8"/>
  <c r="L23" i="8"/>
  <c r="M23" i="8"/>
  <c r="N23" i="8"/>
  <c r="O23" i="8"/>
  <c r="P23" i="8"/>
  <c r="A24" i="8"/>
  <c r="J24" i="8"/>
  <c r="K24" i="8"/>
  <c r="L24" i="8"/>
  <c r="M24" i="8"/>
  <c r="N24" i="8"/>
  <c r="O24" i="8"/>
  <c r="P24" i="8"/>
  <c r="A25" i="8"/>
  <c r="J25" i="8"/>
  <c r="K25" i="8"/>
  <c r="L25" i="8"/>
  <c r="M25" i="8"/>
  <c r="N25" i="8"/>
  <c r="O25" i="8"/>
  <c r="P25" i="8"/>
  <c r="A26" i="8"/>
  <c r="J26" i="8"/>
  <c r="K26" i="8"/>
  <c r="L26" i="8"/>
  <c r="M26" i="8"/>
  <c r="N26" i="8"/>
  <c r="O26" i="8"/>
  <c r="P26" i="8"/>
  <c r="A27" i="8"/>
  <c r="J27" i="8"/>
  <c r="K27" i="8"/>
  <c r="L27" i="8"/>
  <c r="M27" i="8"/>
  <c r="N27" i="8"/>
  <c r="O27" i="8"/>
  <c r="P27" i="8"/>
  <c r="A28" i="8"/>
  <c r="J28" i="8"/>
  <c r="K28" i="8"/>
  <c r="L28" i="8"/>
  <c r="M28" i="8"/>
  <c r="N28" i="8"/>
  <c r="O28" i="8"/>
  <c r="P28" i="8"/>
  <c r="A29" i="8"/>
  <c r="J29" i="8"/>
  <c r="K29" i="8"/>
  <c r="L29" i="8"/>
  <c r="M29" i="8"/>
  <c r="N29" i="8"/>
  <c r="O29" i="8"/>
  <c r="P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I27" i="8" s="1"/>
  <c r="A113" i="8"/>
  <c r="A114" i="8"/>
  <c r="A115" i="8"/>
  <c r="A116" i="8"/>
  <c r="A117" i="8"/>
  <c r="A118" i="8"/>
  <c r="A119" i="8"/>
  <c r="A120" i="8"/>
  <c r="A121" i="8"/>
  <c r="A122" i="8"/>
  <c r="A125" i="8"/>
  <c r="B125" i="8"/>
  <c r="C125" i="8"/>
  <c r="D125" i="8"/>
  <c r="E125" i="8"/>
  <c r="F125" i="8"/>
  <c r="G125" i="8"/>
  <c r="H125" i="8"/>
  <c r="B126" i="8"/>
  <c r="C126" i="8"/>
  <c r="D126" i="8"/>
  <c r="E126" i="8"/>
  <c r="F126" i="8"/>
  <c r="G126" i="8"/>
  <c r="H126" i="8"/>
  <c r="B127" i="8"/>
  <c r="C127" i="8"/>
  <c r="D127" i="8"/>
  <c r="E127" i="8"/>
  <c r="F127" i="8"/>
  <c r="G127" i="8"/>
  <c r="H127" i="8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G50" i="7"/>
  <c r="H50" i="7"/>
  <c r="J50" i="7"/>
  <c r="K50" i="7"/>
  <c r="L50" i="7"/>
  <c r="M50" i="7"/>
  <c r="N50" i="7"/>
  <c r="O50" i="7"/>
  <c r="P50" i="7"/>
  <c r="Q50" i="7"/>
  <c r="R50" i="7"/>
  <c r="S50" i="7"/>
  <c r="T50" i="7"/>
  <c r="U50" i="7"/>
  <c r="V50" i="7"/>
  <c r="J51" i="7"/>
  <c r="K51" i="7"/>
  <c r="L51" i="7"/>
  <c r="M51" i="7"/>
  <c r="N51" i="7"/>
  <c r="O51" i="7"/>
  <c r="P51" i="7"/>
  <c r="Q51" i="7"/>
  <c r="R51" i="7"/>
  <c r="S51" i="7"/>
  <c r="T51" i="7"/>
  <c r="U51" i="7"/>
  <c r="V51" i="7"/>
  <c r="J52" i="7"/>
  <c r="K52" i="7"/>
  <c r="L52" i="7"/>
  <c r="M52" i="7"/>
  <c r="N52" i="7"/>
  <c r="O52" i="7"/>
  <c r="P52" i="7"/>
  <c r="Q52" i="7"/>
  <c r="R52" i="7"/>
  <c r="S52" i="7"/>
  <c r="T52" i="7"/>
  <c r="U52" i="7"/>
  <c r="V52" i="7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9" i="6"/>
  <c r="D39" i="6"/>
  <c r="E39" i="6"/>
  <c r="F39" i="6"/>
  <c r="G39" i="6"/>
  <c r="H39" i="6"/>
  <c r="I39" i="6"/>
  <c r="J39" i="6"/>
  <c r="K39" i="6"/>
  <c r="L39" i="6"/>
  <c r="M39" i="6"/>
  <c r="N39" i="6"/>
  <c r="O39" i="6"/>
  <c r="P39" i="6"/>
  <c r="Q39" i="6"/>
  <c r="R39" i="6"/>
  <c r="S39" i="6"/>
  <c r="T39" i="6"/>
  <c r="U39" i="6"/>
  <c r="V39" i="6"/>
  <c r="W39" i="6"/>
  <c r="X39" i="6"/>
  <c r="Y39" i="6"/>
  <c r="Z39" i="6"/>
  <c r="AA39" i="6"/>
  <c r="AB39" i="6"/>
  <c r="AC39" i="6"/>
  <c r="AD39" i="6"/>
  <c r="AE39" i="6"/>
  <c r="D40" i="6"/>
  <c r="E40" i="6"/>
  <c r="F40" i="6"/>
  <c r="G40" i="6"/>
  <c r="H40" i="6"/>
  <c r="I40" i="6"/>
  <c r="J40" i="6"/>
  <c r="K40" i="6"/>
  <c r="L40" i="6"/>
  <c r="M40" i="6"/>
  <c r="N40" i="6"/>
  <c r="O40" i="6"/>
  <c r="P40" i="6"/>
  <c r="Q40" i="6"/>
  <c r="R40" i="6"/>
  <c r="S40" i="6"/>
  <c r="T40" i="6"/>
  <c r="U40" i="6"/>
  <c r="V40" i="6"/>
  <c r="W40" i="6"/>
  <c r="X40" i="6"/>
  <c r="Y40" i="6"/>
  <c r="Z40" i="6"/>
  <c r="AA40" i="6"/>
  <c r="AB40" i="6"/>
  <c r="AC40" i="6"/>
  <c r="AD40" i="6"/>
  <c r="AE40" i="6"/>
  <c r="D41" i="6"/>
  <c r="E41" i="6"/>
  <c r="F41" i="6"/>
  <c r="G41" i="6"/>
  <c r="H41" i="6"/>
  <c r="I41" i="6"/>
  <c r="J41" i="6"/>
  <c r="K41" i="6"/>
  <c r="L41" i="6"/>
  <c r="M41" i="6"/>
  <c r="N41" i="6"/>
  <c r="O41" i="6"/>
  <c r="P41" i="6"/>
  <c r="Q41" i="6"/>
  <c r="R41" i="6"/>
  <c r="S41" i="6"/>
  <c r="T41" i="6"/>
  <c r="U41" i="6"/>
  <c r="V41" i="6"/>
  <c r="W41" i="6"/>
  <c r="X41" i="6"/>
  <c r="Y41" i="6"/>
  <c r="Z41" i="6"/>
  <c r="AA41" i="6"/>
  <c r="AB41" i="6"/>
  <c r="AC41" i="6"/>
  <c r="AD41" i="6"/>
  <c r="AE41" i="6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D33" i="5"/>
  <c r="E33" i="5"/>
  <c r="F33" i="5"/>
  <c r="G33" i="5"/>
  <c r="H33" i="5"/>
  <c r="I33" i="5"/>
  <c r="J33" i="5"/>
  <c r="K33" i="5"/>
  <c r="L33" i="5"/>
  <c r="M33" i="5"/>
  <c r="N33" i="5"/>
  <c r="O33" i="5"/>
  <c r="D34" i="5"/>
  <c r="E34" i="5"/>
  <c r="F34" i="5"/>
  <c r="G34" i="5"/>
  <c r="H34" i="5"/>
  <c r="I34" i="5"/>
  <c r="J34" i="5"/>
  <c r="K34" i="5"/>
  <c r="L34" i="5"/>
  <c r="M34" i="5"/>
  <c r="N34" i="5"/>
  <c r="O34" i="5"/>
  <c r="D35" i="5"/>
  <c r="E35" i="5"/>
  <c r="F35" i="5"/>
  <c r="G35" i="5"/>
  <c r="H35" i="5"/>
  <c r="I35" i="5"/>
  <c r="J35" i="5"/>
  <c r="K35" i="5"/>
  <c r="L35" i="5"/>
  <c r="M35" i="5"/>
  <c r="N35" i="5"/>
  <c r="O35" i="5"/>
  <c r="H9" i="4"/>
  <c r="I9" i="4"/>
  <c r="H28" i="4"/>
  <c r="I28" i="4"/>
  <c r="H29" i="4"/>
  <c r="I29" i="4"/>
  <c r="H30" i="4"/>
  <c r="I30" i="4"/>
  <c r="H31" i="4"/>
  <c r="I31" i="4"/>
  <c r="H44" i="4"/>
  <c r="H45" i="4"/>
  <c r="H46" i="4"/>
  <c r="H47" i="4"/>
  <c r="H48" i="4"/>
  <c r="I48" i="4"/>
  <c r="H49" i="4"/>
  <c r="I49" i="4"/>
  <c r="H50" i="4"/>
  <c r="I50" i="4"/>
  <c r="H51" i="4"/>
  <c r="I51" i="4"/>
  <c r="H52" i="4"/>
  <c r="I52" i="4"/>
  <c r="H53" i="4"/>
  <c r="I53" i="4"/>
  <c r="H54" i="4"/>
  <c r="I54" i="4"/>
  <c r="H55" i="4"/>
  <c r="I55" i="4"/>
  <c r="C62" i="4"/>
  <c r="H62" i="4"/>
  <c r="I62" i="4"/>
  <c r="J62" i="4"/>
  <c r="K62" i="4"/>
  <c r="L62" i="4"/>
  <c r="M62" i="4"/>
  <c r="N62" i="4"/>
  <c r="O62" i="4"/>
  <c r="P62" i="4"/>
  <c r="Q62" i="4"/>
  <c r="R62" i="4"/>
  <c r="S62" i="4"/>
  <c r="T62" i="4"/>
  <c r="U62" i="4"/>
  <c r="V62" i="4"/>
  <c r="W62" i="4"/>
  <c r="X62" i="4"/>
  <c r="Y62" i="4"/>
  <c r="Z62" i="4"/>
  <c r="AA62" i="4"/>
  <c r="AB62" i="4"/>
  <c r="AC62" i="4"/>
  <c r="H63" i="4"/>
  <c r="I63" i="4"/>
  <c r="J63" i="4"/>
  <c r="K63" i="4"/>
  <c r="L63" i="4"/>
  <c r="M63" i="4"/>
  <c r="N63" i="4"/>
  <c r="O63" i="4"/>
  <c r="P63" i="4"/>
  <c r="Q63" i="4"/>
  <c r="R63" i="4"/>
  <c r="S63" i="4"/>
  <c r="T63" i="4"/>
  <c r="U63" i="4"/>
  <c r="V63" i="4"/>
  <c r="W63" i="4"/>
  <c r="X63" i="4"/>
  <c r="Y63" i="4"/>
  <c r="Z63" i="4"/>
  <c r="AA63" i="4"/>
  <c r="AB63" i="4"/>
  <c r="AC63" i="4"/>
  <c r="H64" i="4"/>
  <c r="I64" i="4"/>
  <c r="J64" i="4"/>
  <c r="K64" i="4"/>
  <c r="L64" i="4"/>
  <c r="M64" i="4"/>
  <c r="N64" i="4"/>
  <c r="O64" i="4"/>
  <c r="P64" i="4"/>
  <c r="Q64" i="4"/>
  <c r="R64" i="4"/>
  <c r="S64" i="4"/>
  <c r="T64" i="4"/>
  <c r="U64" i="4"/>
  <c r="V64" i="4"/>
  <c r="W64" i="4"/>
  <c r="X64" i="4"/>
  <c r="Y64" i="4"/>
  <c r="Z64" i="4"/>
  <c r="AA64" i="4"/>
  <c r="AB64" i="4"/>
  <c r="AC64" i="4"/>
  <c r="H66" i="4"/>
  <c r="I66" i="4"/>
  <c r="J66" i="4"/>
  <c r="K66" i="4"/>
  <c r="L66" i="4"/>
  <c r="M66" i="4"/>
  <c r="N66" i="4"/>
  <c r="O66" i="4"/>
  <c r="P66" i="4"/>
  <c r="Q66" i="4"/>
  <c r="R66" i="4"/>
  <c r="S66" i="4"/>
  <c r="T66" i="4"/>
  <c r="U66" i="4"/>
  <c r="V66" i="4"/>
  <c r="W66" i="4"/>
  <c r="X66" i="4"/>
  <c r="Y66" i="4"/>
  <c r="Z66" i="4"/>
  <c r="AA66" i="4"/>
  <c r="AB66" i="4"/>
  <c r="AC66" i="4"/>
  <c r="H67" i="4"/>
  <c r="I67" i="4"/>
  <c r="J67" i="4"/>
  <c r="K67" i="4"/>
  <c r="L67" i="4"/>
  <c r="M67" i="4"/>
  <c r="N67" i="4"/>
  <c r="O67" i="4"/>
  <c r="P67" i="4"/>
  <c r="Q67" i="4"/>
  <c r="R67" i="4"/>
  <c r="S67" i="4"/>
  <c r="T67" i="4"/>
  <c r="U67" i="4"/>
  <c r="V67" i="4"/>
  <c r="W67" i="4"/>
  <c r="X67" i="4"/>
  <c r="Y67" i="4"/>
  <c r="Z67" i="4"/>
  <c r="AA67" i="4"/>
  <c r="AB67" i="4"/>
  <c r="AC67" i="4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9" i="3"/>
  <c r="G79" i="3"/>
  <c r="H79" i="3"/>
  <c r="I79" i="3"/>
  <c r="J79" i="3"/>
  <c r="K79" i="3"/>
  <c r="L79" i="3"/>
  <c r="M79" i="3"/>
  <c r="N79" i="3"/>
  <c r="O79" i="3"/>
  <c r="P79" i="3"/>
  <c r="Q79" i="3"/>
  <c r="R79" i="3"/>
  <c r="S79" i="3"/>
  <c r="T79" i="3"/>
  <c r="U79" i="3"/>
  <c r="V79" i="3"/>
  <c r="W79" i="3"/>
  <c r="X79" i="3"/>
  <c r="Y79" i="3"/>
  <c r="Z79" i="3"/>
  <c r="G80" i="3"/>
  <c r="H80" i="3"/>
  <c r="I80" i="3"/>
  <c r="J80" i="3"/>
  <c r="K80" i="3"/>
  <c r="L80" i="3"/>
  <c r="M80" i="3"/>
  <c r="N80" i="3"/>
  <c r="O80" i="3"/>
  <c r="P80" i="3"/>
  <c r="Q80" i="3"/>
  <c r="R80" i="3"/>
  <c r="S80" i="3"/>
  <c r="T80" i="3"/>
  <c r="U80" i="3"/>
  <c r="V80" i="3"/>
  <c r="W80" i="3"/>
  <c r="X80" i="3"/>
  <c r="Y80" i="3"/>
  <c r="Z80" i="3"/>
  <c r="G81" i="3"/>
  <c r="H81" i="3"/>
  <c r="I81" i="3"/>
  <c r="J81" i="3"/>
  <c r="K81" i="3"/>
  <c r="L81" i="3"/>
  <c r="M81" i="3"/>
  <c r="N81" i="3"/>
  <c r="O81" i="3"/>
  <c r="P81" i="3"/>
  <c r="Q81" i="3"/>
  <c r="R81" i="3"/>
  <c r="S81" i="3"/>
  <c r="T81" i="3"/>
  <c r="U81" i="3"/>
  <c r="V81" i="3"/>
  <c r="W81" i="3"/>
  <c r="X81" i="3"/>
  <c r="Y81" i="3"/>
  <c r="Z81" i="3"/>
  <c r="H6" i="2"/>
  <c r="AN6" i="2"/>
  <c r="AN7" i="2"/>
  <c r="AN8" i="2"/>
  <c r="AN9" i="2"/>
  <c r="AN10" i="2"/>
  <c r="AN11" i="2"/>
  <c r="AN12" i="2"/>
  <c r="AN13" i="2"/>
  <c r="Y14" i="2"/>
  <c r="AN14" i="2"/>
  <c r="Y15" i="2"/>
  <c r="AN15" i="2"/>
  <c r="Y16" i="2"/>
  <c r="AN16" i="2"/>
  <c r="Y17" i="2"/>
  <c r="AN17" i="2"/>
  <c r="Y18" i="2"/>
  <c r="AN18" i="2"/>
  <c r="Y19" i="2"/>
  <c r="AN19" i="2"/>
  <c r="Y20" i="2"/>
  <c r="AN20" i="2"/>
  <c r="Y21" i="2"/>
  <c r="Y22" i="2"/>
  <c r="Y23" i="2"/>
  <c r="Y24" i="2"/>
  <c r="C172" i="2"/>
  <c r="D172" i="2"/>
  <c r="E172" i="2"/>
  <c r="F172" i="2"/>
  <c r="H172" i="2"/>
  <c r="I172" i="2"/>
  <c r="J172" i="2"/>
  <c r="K172" i="2"/>
  <c r="B173" i="2"/>
  <c r="C173" i="2"/>
  <c r="D173" i="2"/>
  <c r="E173" i="2"/>
  <c r="F173" i="2"/>
  <c r="G173" i="2"/>
  <c r="H173" i="2"/>
  <c r="I173" i="2"/>
  <c r="J173" i="2"/>
  <c r="K173" i="2"/>
  <c r="B174" i="2"/>
  <c r="C174" i="2"/>
  <c r="D174" i="2"/>
  <c r="E174" i="2"/>
  <c r="F174" i="2"/>
  <c r="G174" i="2"/>
  <c r="H174" i="2"/>
  <c r="I174" i="2"/>
  <c r="J174" i="2"/>
  <c r="C175" i="2"/>
  <c r="D175" i="2"/>
  <c r="E175" i="2"/>
  <c r="F175" i="2"/>
  <c r="G175" i="2"/>
  <c r="H175" i="2"/>
  <c r="I175" i="2"/>
  <c r="J175" i="2"/>
  <c r="K175" i="2"/>
  <c r="D176" i="2"/>
  <c r="E176" i="2"/>
  <c r="F176" i="2"/>
  <c r="G176" i="2"/>
  <c r="H176" i="2"/>
  <c r="J176" i="2"/>
  <c r="K176" i="2"/>
  <c r="D177" i="2"/>
  <c r="E177" i="2"/>
  <c r="F177" i="2"/>
  <c r="G177" i="2"/>
  <c r="H177" i="2"/>
  <c r="J177" i="2"/>
  <c r="K177" i="2"/>
  <c r="B178" i="2"/>
  <c r="C178" i="2"/>
  <c r="D178" i="2"/>
  <c r="E178" i="2"/>
  <c r="F178" i="2"/>
  <c r="G178" i="2"/>
  <c r="H178" i="2"/>
  <c r="I178" i="2"/>
  <c r="J178" i="2"/>
  <c r="K178" i="2"/>
  <c r="D179" i="2"/>
  <c r="E179" i="2"/>
  <c r="F179" i="2"/>
  <c r="G179" i="2"/>
  <c r="H179" i="2"/>
  <c r="J179" i="2"/>
  <c r="K179" i="2"/>
  <c r="D180" i="2"/>
  <c r="E180" i="2"/>
  <c r="F180" i="2"/>
  <c r="H180" i="2"/>
  <c r="J180" i="2"/>
  <c r="K180" i="2"/>
  <c r="D181" i="2"/>
  <c r="E181" i="2"/>
  <c r="F181" i="2"/>
  <c r="H181" i="2"/>
  <c r="J181" i="2"/>
  <c r="K181" i="2"/>
  <c r="C182" i="2"/>
  <c r="D182" i="2"/>
  <c r="E182" i="2"/>
  <c r="F182" i="2"/>
  <c r="G182" i="2"/>
  <c r="H182" i="2"/>
  <c r="I182" i="2"/>
  <c r="J182" i="2"/>
  <c r="K182" i="2"/>
  <c r="C183" i="2"/>
  <c r="D183" i="2"/>
  <c r="E183" i="2"/>
  <c r="F183" i="2"/>
  <c r="G183" i="2"/>
  <c r="H183" i="2"/>
  <c r="I183" i="2"/>
  <c r="J183" i="2"/>
  <c r="K183" i="2"/>
  <c r="B184" i="2"/>
  <c r="C184" i="2"/>
  <c r="D184" i="2"/>
  <c r="E184" i="2"/>
  <c r="F184" i="2"/>
  <c r="G184" i="2"/>
  <c r="H184" i="2"/>
  <c r="I184" i="2"/>
  <c r="J184" i="2"/>
  <c r="K184" i="2"/>
  <c r="D185" i="2"/>
  <c r="E185" i="2"/>
  <c r="F185" i="2"/>
  <c r="G185" i="2"/>
  <c r="H185" i="2"/>
  <c r="J185" i="2"/>
  <c r="K185" i="2"/>
  <c r="E186" i="2"/>
  <c r="K186" i="2"/>
  <c r="B187" i="2"/>
  <c r="C187" i="2"/>
  <c r="D187" i="2"/>
  <c r="E187" i="2"/>
  <c r="F187" i="2"/>
  <c r="G187" i="2"/>
  <c r="H187" i="2"/>
  <c r="I187" i="2"/>
  <c r="J187" i="2"/>
  <c r="K187" i="2"/>
  <c r="B188" i="2"/>
  <c r="C188" i="2"/>
  <c r="D188" i="2"/>
  <c r="E188" i="2"/>
  <c r="F188" i="2"/>
  <c r="G188" i="2"/>
  <c r="H188" i="2"/>
  <c r="J188" i="2"/>
  <c r="K188" i="2"/>
  <c r="B189" i="2"/>
  <c r="C189" i="2"/>
  <c r="D189" i="2"/>
  <c r="E189" i="2"/>
  <c r="F189" i="2"/>
  <c r="G189" i="2"/>
  <c r="H189" i="2"/>
  <c r="I189" i="2"/>
  <c r="J189" i="2"/>
  <c r="K189" i="2"/>
  <c r="D190" i="2"/>
  <c r="E190" i="2"/>
  <c r="F190" i="2"/>
  <c r="G190" i="2"/>
  <c r="H190" i="2"/>
  <c r="J190" i="2"/>
  <c r="K190" i="2"/>
  <c r="B191" i="2"/>
  <c r="C191" i="2"/>
  <c r="D191" i="2"/>
  <c r="E191" i="2"/>
  <c r="F191" i="2"/>
  <c r="G191" i="2"/>
  <c r="H191" i="2"/>
  <c r="I191" i="2"/>
  <c r="J191" i="2"/>
  <c r="K191" i="2"/>
  <c r="B192" i="2"/>
  <c r="C192" i="2"/>
  <c r="D192" i="2"/>
  <c r="E192" i="2"/>
  <c r="F192" i="2"/>
  <c r="G192" i="2"/>
  <c r="H192" i="2"/>
  <c r="I192" i="2"/>
  <c r="J192" i="2"/>
  <c r="K192" i="2"/>
  <c r="B193" i="2"/>
  <c r="C193" i="2"/>
  <c r="D193" i="2"/>
  <c r="E193" i="2"/>
  <c r="F193" i="2"/>
  <c r="G193" i="2"/>
  <c r="H193" i="2"/>
  <c r="I193" i="2"/>
  <c r="J193" i="2"/>
  <c r="K193" i="2"/>
  <c r="D194" i="2"/>
  <c r="E194" i="2"/>
  <c r="F194" i="2"/>
  <c r="G194" i="2"/>
  <c r="H194" i="2"/>
  <c r="J194" i="2"/>
  <c r="K194" i="2"/>
  <c r="D195" i="2"/>
  <c r="E195" i="2"/>
  <c r="F195" i="2"/>
  <c r="G195" i="2"/>
  <c r="H195" i="2"/>
  <c r="J195" i="2"/>
  <c r="K195" i="2"/>
  <c r="D196" i="2"/>
  <c r="E196" i="2"/>
  <c r="F196" i="2"/>
  <c r="G196" i="2"/>
  <c r="H196" i="2"/>
  <c r="J196" i="2"/>
  <c r="K196" i="2"/>
  <c r="D197" i="2"/>
  <c r="E197" i="2"/>
  <c r="F197" i="2"/>
  <c r="G197" i="2"/>
  <c r="H197" i="2"/>
  <c r="J197" i="2"/>
  <c r="K197" i="2"/>
  <c r="D198" i="2"/>
  <c r="E198" i="2"/>
  <c r="F198" i="2"/>
  <c r="G198" i="2"/>
  <c r="H198" i="2"/>
  <c r="J198" i="2"/>
  <c r="K198" i="2"/>
  <c r="P198" i="2"/>
  <c r="Q198" i="2"/>
  <c r="R198" i="2"/>
  <c r="S198" i="2"/>
  <c r="T198" i="2"/>
  <c r="V198" i="2"/>
  <c r="W198" i="2"/>
  <c r="D199" i="2"/>
  <c r="E199" i="2"/>
  <c r="F199" i="2"/>
  <c r="G199" i="2"/>
  <c r="H199" i="2"/>
  <c r="J199" i="2"/>
  <c r="K199" i="2"/>
  <c r="P199" i="2"/>
  <c r="Q199" i="2"/>
  <c r="R199" i="2"/>
  <c r="S199" i="2"/>
  <c r="T199" i="2"/>
  <c r="V199" i="2"/>
  <c r="W199" i="2"/>
  <c r="C200" i="2"/>
  <c r="D200" i="2"/>
  <c r="E200" i="2"/>
  <c r="F200" i="2"/>
  <c r="G200" i="2"/>
  <c r="H200" i="2"/>
  <c r="I200" i="2"/>
  <c r="J200" i="2"/>
  <c r="K200" i="2"/>
  <c r="P200" i="2"/>
  <c r="Q200" i="2"/>
  <c r="R200" i="2"/>
  <c r="S200" i="2"/>
  <c r="T200" i="2"/>
  <c r="V200" i="2"/>
  <c r="W200" i="2"/>
  <c r="B201" i="2"/>
  <c r="C201" i="2"/>
  <c r="D201" i="2"/>
  <c r="E201" i="2"/>
  <c r="F201" i="2"/>
  <c r="G201" i="2"/>
  <c r="H201" i="2"/>
  <c r="I201" i="2"/>
  <c r="J201" i="2"/>
  <c r="K201" i="2"/>
  <c r="P201" i="2"/>
  <c r="Q201" i="2"/>
  <c r="R201" i="2"/>
  <c r="S201" i="2"/>
  <c r="T201" i="2"/>
  <c r="V201" i="2"/>
  <c r="W201" i="2"/>
  <c r="B202" i="2"/>
  <c r="C202" i="2"/>
  <c r="D202" i="2"/>
  <c r="E202" i="2"/>
  <c r="F202" i="2"/>
  <c r="G202" i="2"/>
  <c r="H202" i="2"/>
  <c r="I202" i="2"/>
  <c r="J202" i="2"/>
  <c r="K202" i="2"/>
  <c r="P202" i="2"/>
  <c r="Q202" i="2"/>
  <c r="R202" i="2"/>
  <c r="S202" i="2"/>
  <c r="T202" i="2"/>
  <c r="V202" i="2"/>
  <c r="W202" i="2"/>
  <c r="B203" i="2"/>
  <c r="C203" i="2"/>
  <c r="D203" i="2"/>
  <c r="E203" i="2"/>
  <c r="F203" i="2"/>
  <c r="G203" i="2"/>
  <c r="H203" i="2"/>
  <c r="I203" i="2"/>
  <c r="J203" i="2"/>
  <c r="K203" i="2"/>
  <c r="N203" i="2"/>
  <c r="O203" i="2"/>
  <c r="P203" i="2"/>
  <c r="Q203" i="2"/>
  <c r="R203" i="2"/>
  <c r="S203" i="2"/>
  <c r="T203" i="2"/>
  <c r="U203" i="2"/>
  <c r="V203" i="2"/>
  <c r="W203" i="2"/>
  <c r="B204" i="2"/>
  <c r="C204" i="2"/>
  <c r="D204" i="2"/>
  <c r="E204" i="2"/>
  <c r="F204" i="2"/>
  <c r="G204" i="2"/>
  <c r="H204" i="2"/>
  <c r="I204" i="2"/>
  <c r="J204" i="2"/>
  <c r="K204" i="2"/>
  <c r="N204" i="2"/>
  <c r="O204" i="2"/>
  <c r="P204" i="2"/>
  <c r="Q204" i="2"/>
  <c r="R204" i="2"/>
  <c r="S204" i="2"/>
  <c r="T204" i="2"/>
  <c r="U204" i="2"/>
  <c r="V204" i="2"/>
  <c r="W204" i="2"/>
  <c r="B205" i="2"/>
  <c r="C205" i="2"/>
  <c r="D205" i="2"/>
  <c r="E205" i="2"/>
  <c r="F205" i="2"/>
  <c r="G205" i="2"/>
  <c r="H205" i="2"/>
  <c r="I205" i="2"/>
  <c r="J205" i="2"/>
  <c r="K205" i="2"/>
  <c r="N205" i="2"/>
  <c r="O205" i="2"/>
  <c r="P205" i="2"/>
  <c r="Q205" i="2"/>
  <c r="R205" i="2"/>
  <c r="S205" i="2"/>
  <c r="T205" i="2"/>
  <c r="U205" i="2"/>
  <c r="V205" i="2"/>
  <c r="W205" i="2"/>
  <c r="B206" i="2"/>
  <c r="C206" i="2"/>
  <c r="D206" i="2"/>
  <c r="E206" i="2"/>
  <c r="F206" i="2"/>
  <c r="G206" i="2"/>
  <c r="H206" i="2"/>
  <c r="I206" i="2"/>
  <c r="J206" i="2"/>
  <c r="K206" i="2"/>
  <c r="B207" i="2"/>
  <c r="C207" i="2"/>
  <c r="D207" i="2"/>
  <c r="E207" i="2"/>
  <c r="F207" i="2"/>
  <c r="G207" i="2"/>
  <c r="I207" i="2"/>
  <c r="J207" i="2"/>
  <c r="K207" i="2"/>
  <c r="B208" i="2"/>
  <c r="C208" i="2"/>
  <c r="D208" i="2"/>
  <c r="E208" i="2"/>
  <c r="F208" i="2"/>
  <c r="G208" i="2"/>
  <c r="H208" i="2"/>
  <c r="I208" i="2"/>
  <c r="J208" i="2"/>
  <c r="K208" i="2"/>
  <c r="N208" i="2"/>
  <c r="O208" i="2"/>
  <c r="P208" i="2"/>
  <c r="Q208" i="2"/>
  <c r="R208" i="2"/>
  <c r="S208" i="2"/>
  <c r="T208" i="2"/>
  <c r="U208" i="2"/>
  <c r="V208" i="2"/>
  <c r="W208" i="2"/>
  <c r="B209" i="2"/>
  <c r="C209" i="2"/>
  <c r="D209" i="2"/>
  <c r="E209" i="2"/>
  <c r="F209" i="2"/>
  <c r="G209" i="2"/>
  <c r="H209" i="2"/>
  <c r="I209" i="2"/>
  <c r="J209" i="2"/>
  <c r="K209" i="2"/>
  <c r="N209" i="2"/>
  <c r="O209" i="2"/>
  <c r="P209" i="2"/>
  <c r="Q209" i="2"/>
  <c r="R209" i="2"/>
  <c r="S209" i="2"/>
  <c r="T209" i="2"/>
  <c r="U209" i="2"/>
  <c r="V209" i="2"/>
  <c r="W209" i="2"/>
  <c r="B210" i="2"/>
  <c r="C210" i="2"/>
  <c r="D210" i="2"/>
  <c r="E210" i="2"/>
  <c r="F210" i="2"/>
  <c r="G210" i="2"/>
  <c r="H210" i="2"/>
  <c r="I210" i="2"/>
  <c r="J210" i="2"/>
  <c r="K210" i="2"/>
  <c r="N210" i="2"/>
  <c r="O210" i="2"/>
  <c r="P210" i="2"/>
  <c r="Q210" i="2"/>
  <c r="R210" i="2"/>
  <c r="S210" i="2"/>
  <c r="T210" i="2"/>
  <c r="U210" i="2"/>
  <c r="V210" i="2"/>
  <c r="W210" i="2"/>
  <c r="B211" i="2"/>
  <c r="C211" i="2"/>
  <c r="D211" i="2"/>
  <c r="E211" i="2"/>
  <c r="F211" i="2"/>
  <c r="G211" i="2"/>
  <c r="H211" i="2"/>
  <c r="I211" i="2"/>
  <c r="J211" i="2"/>
  <c r="K211" i="2"/>
  <c r="N211" i="2"/>
  <c r="O211" i="2"/>
  <c r="P211" i="2"/>
  <c r="Q211" i="2"/>
  <c r="R211" i="2"/>
  <c r="S211" i="2"/>
  <c r="T211" i="2"/>
  <c r="U211" i="2"/>
  <c r="V211" i="2"/>
  <c r="W211" i="2"/>
  <c r="B212" i="2"/>
  <c r="C212" i="2"/>
  <c r="D212" i="2"/>
  <c r="E212" i="2"/>
  <c r="F212" i="2"/>
  <c r="G212" i="2"/>
  <c r="H212" i="2"/>
  <c r="I212" i="2"/>
  <c r="J212" i="2"/>
  <c r="K212" i="2"/>
  <c r="N212" i="2"/>
  <c r="O212" i="2"/>
  <c r="P212" i="2"/>
  <c r="Q212" i="2"/>
  <c r="R212" i="2"/>
  <c r="S212" i="2"/>
  <c r="T212" i="2"/>
  <c r="U212" i="2"/>
  <c r="V212" i="2"/>
  <c r="W212" i="2"/>
  <c r="B213" i="2"/>
  <c r="C213" i="2"/>
  <c r="D213" i="2"/>
  <c r="E213" i="2"/>
  <c r="F213" i="2"/>
  <c r="G213" i="2"/>
  <c r="H213" i="2"/>
  <c r="I213" i="2"/>
  <c r="J213" i="2"/>
  <c r="K213" i="2"/>
  <c r="N213" i="2"/>
  <c r="O213" i="2"/>
  <c r="P213" i="2"/>
  <c r="Q213" i="2"/>
  <c r="R213" i="2"/>
  <c r="S213" i="2"/>
  <c r="T213" i="2"/>
  <c r="U213" i="2"/>
  <c r="V213" i="2"/>
  <c r="W213" i="2"/>
  <c r="Z213" i="2"/>
  <c r="AA213" i="2"/>
  <c r="AB213" i="2"/>
  <c r="AC213" i="2"/>
  <c r="AD213" i="2"/>
  <c r="AE213" i="2"/>
  <c r="AF213" i="2"/>
  <c r="AG213" i="2"/>
  <c r="AH213" i="2"/>
  <c r="AI213" i="2"/>
  <c r="AJ213" i="2"/>
  <c r="B214" i="2"/>
  <c r="C214" i="2"/>
  <c r="D214" i="2"/>
  <c r="E214" i="2"/>
  <c r="F214" i="2"/>
  <c r="G214" i="2"/>
  <c r="H214" i="2"/>
  <c r="I214" i="2"/>
  <c r="J214" i="2"/>
  <c r="K214" i="2"/>
  <c r="Z214" i="2"/>
  <c r="AA214" i="2"/>
  <c r="AB214" i="2"/>
  <c r="AC214" i="2"/>
  <c r="AD214" i="2"/>
  <c r="AE214" i="2"/>
  <c r="AF214" i="2"/>
  <c r="AG214" i="2"/>
  <c r="AH214" i="2"/>
  <c r="AI214" i="2"/>
  <c r="AJ214" i="2"/>
  <c r="Z215" i="2"/>
  <c r="AA215" i="2"/>
  <c r="AB215" i="2"/>
  <c r="AC215" i="2"/>
  <c r="AD215" i="2"/>
  <c r="AE215" i="2"/>
  <c r="AF215" i="2"/>
  <c r="AG215" i="2"/>
  <c r="AH215" i="2"/>
  <c r="AI215" i="2"/>
  <c r="AJ215" i="2"/>
  <c r="Z216" i="2"/>
  <c r="AA216" i="2"/>
  <c r="AB216" i="2"/>
  <c r="AC216" i="2"/>
  <c r="AD216" i="2"/>
  <c r="AE216" i="2"/>
  <c r="AF216" i="2"/>
  <c r="AG216" i="2"/>
  <c r="AH216" i="2"/>
  <c r="AI216" i="2"/>
  <c r="AJ216" i="2"/>
  <c r="B270" i="2"/>
  <c r="C34" i="1"/>
  <c r="D34" i="1"/>
  <c r="F34" i="1"/>
  <c r="H34" i="1"/>
  <c r="I34" i="1"/>
  <c r="K34" i="1"/>
  <c r="L34" i="1"/>
  <c r="M34" i="1"/>
  <c r="N34" i="1"/>
  <c r="O34" i="1"/>
  <c r="R34" i="1"/>
  <c r="S34" i="1"/>
  <c r="U34" i="1"/>
  <c r="V34" i="1"/>
  <c r="W34" i="1"/>
  <c r="X34" i="1"/>
  <c r="Y34" i="1"/>
  <c r="Z34" i="1"/>
  <c r="AA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AZ34" i="1"/>
  <c r="BA34" i="1"/>
  <c r="BB34" i="1"/>
  <c r="BC34" i="1"/>
  <c r="BE34" i="1"/>
  <c r="BF34" i="1"/>
  <c r="BG34" i="1"/>
  <c r="C35" i="1"/>
  <c r="D35" i="1"/>
  <c r="F35" i="1"/>
  <c r="H35" i="1"/>
  <c r="I35" i="1"/>
  <c r="K35" i="1"/>
  <c r="L35" i="1"/>
  <c r="M35" i="1"/>
  <c r="N35" i="1"/>
  <c r="O35" i="1"/>
  <c r="R35" i="1"/>
  <c r="S35" i="1"/>
  <c r="U35" i="1"/>
  <c r="V35" i="1"/>
  <c r="W35" i="1"/>
  <c r="X35" i="1"/>
  <c r="Y35" i="1"/>
  <c r="Z35" i="1"/>
  <c r="AA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A35" i="1"/>
  <c r="BB35" i="1"/>
  <c r="BE35" i="1"/>
  <c r="BF35" i="1"/>
  <c r="BG35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BA36" i="1"/>
  <c r="BB36" i="1"/>
  <c r="BC36" i="1"/>
  <c r="BD36" i="1"/>
  <c r="BE36" i="1"/>
  <c r="BF36" i="1"/>
  <c r="BG36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BB37" i="1"/>
  <c r="BC37" i="1"/>
  <c r="BD37" i="1"/>
  <c r="BE37" i="1"/>
  <c r="BF37" i="1"/>
  <c r="BG37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R38" i="1"/>
  <c r="S38" i="1"/>
  <c r="T38" i="1"/>
  <c r="U38" i="1"/>
  <c r="V38" i="1"/>
  <c r="W38" i="1"/>
  <c r="X38" i="1"/>
  <c r="Y38" i="1"/>
  <c r="Z38" i="1"/>
  <c r="AA38" i="1"/>
  <c r="AC38" i="1"/>
  <c r="AD38" i="1"/>
  <c r="AE38" i="1"/>
  <c r="AI38" i="1"/>
  <c r="AK38" i="1"/>
  <c r="AN38" i="1"/>
  <c r="AO38" i="1"/>
  <c r="AP38" i="1"/>
  <c r="AQ38" i="1"/>
  <c r="AS38" i="1"/>
  <c r="AT38" i="1"/>
  <c r="AU38" i="1"/>
  <c r="AV38" i="1"/>
  <c r="AW38" i="1"/>
  <c r="AX38" i="1"/>
  <c r="AY38" i="1"/>
  <c r="AZ38" i="1"/>
  <c r="BB38" i="1"/>
  <c r="BD38" i="1"/>
  <c r="BE38" i="1"/>
  <c r="BF38" i="1"/>
  <c r="BG38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BB39" i="1"/>
  <c r="BC39" i="1"/>
  <c r="BD39" i="1"/>
  <c r="BE39" i="1"/>
  <c r="BF39" i="1"/>
  <c r="BG39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X40" i="1"/>
  <c r="AY40" i="1"/>
  <c r="AZ40" i="1"/>
  <c r="BA40" i="1"/>
  <c r="BB40" i="1"/>
  <c r="BC40" i="1"/>
  <c r="BD40" i="1"/>
  <c r="BE40" i="1"/>
  <c r="BF40" i="1"/>
  <c r="BG40" i="1"/>
  <c r="B102" i="1"/>
  <c r="C102" i="1"/>
  <c r="D102" i="1"/>
  <c r="E102" i="1"/>
  <c r="F102" i="1"/>
  <c r="G102" i="1"/>
  <c r="H102" i="1"/>
  <c r="I102" i="1"/>
  <c r="J102" i="1"/>
  <c r="K102" i="1"/>
  <c r="L102" i="1"/>
  <c r="M102" i="1"/>
  <c r="N102" i="1"/>
  <c r="P102" i="1"/>
  <c r="C157" i="1"/>
  <c r="D157" i="1"/>
  <c r="I29" i="8" l="1"/>
  <c r="I28" i="8"/>
  <c r="I25" i="8"/>
  <c r="I21" i="8"/>
  <c r="I18" i="8"/>
  <c r="I16" i="8"/>
  <c r="I15" i="8"/>
  <c r="I12" i="8"/>
  <c r="I11" i="8"/>
  <c r="C199" i="15"/>
  <c r="C121" i="15"/>
  <c r="C62" i="15"/>
  <c r="A39" i="40"/>
  <c r="E15" i="50"/>
  <c r="B47" i="58"/>
  <c r="C50" i="7"/>
  <c r="I26" i="8"/>
  <c r="I24" i="8"/>
  <c r="I23" i="8"/>
  <c r="I22" i="8"/>
  <c r="I20" i="8"/>
  <c r="I19" i="8"/>
  <c r="I17" i="8"/>
  <c r="I14" i="8"/>
  <c r="C250" i="15"/>
  <c r="C149" i="15"/>
  <c r="C90" i="15"/>
  <c r="AF54" i="16"/>
  <c r="M63" i="16"/>
  <c r="I61" i="31"/>
  <c r="G60" i="31"/>
  <c r="E62" i="31"/>
  <c r="C60" i="31"/>
  <c r="K60" i="31"/>
  <c r="H61" i="31"/>
  <c r="D61" i="31"/>
  <c r="A33" i="31"/>
  <c r="A31" i="31"/>
  <c r="V31" i="35"/>
  <c r="J31" i="35"/>
  <c r="R31" i="35"/>
  <c r="N31" i="35"/>
  <c r="F31" i="35"/>
  <c r="A23" i="37"/>
  <c r="A45" i="39"/>
  <c r="E9" i="50"/>
  <c r="P34" i="1"/>
  <c r="P38" i="1"/>
  <c r="P40" i="1" s="1"/>
  <c r="P35" i="1"/>
  <c r="P36" i="1" s="1"/>
  <c r="P37" i="1" s="1"/>
  <c r="Q35" i="1"/>
  <c r="Q34" i="1"/>
  <c r="B21" i="1" s="1"/>
  <c r="Q38" i="1"/>
  <c r="Q40" i="1" s="1"/>
  <c r="B24" i="1" s="1"/>
  <c r="B25" i="1"/>
  <c r="AF56" i="16"/>
  <c r="AD64" i="20"/>
  <c r="A57" i="23"/>
  <c r="B49" i="25"/>
  <c r="C89" i="26"/>
  <c r="I62" i="31"/>
  <c r="B17" i="33"/>
  <c r="U31" i="35"/>
  <c r="S31" i="35"/>
  <c r="Q31" i="35"/>
  <c r="O31" i="35"/>
  <c r="V30" i="35"/>
  <c r="V32" i="35"/>
  <c r="T30" i="35"/>
  <c r="T32" i="35"/>
  <c r="R30" i="35"/>
  <c r="R32" i="35"/>
  <c r="P30" i="35"/>
  <c r="P32" i="35"/>
  <c r="N30" i="35"/>
  <c r="N32" i="35"/>
  <c r="L30" i="35"/>
  <c r="L32" i="35"/>
  <c r="J30" i="35"/>
  <c r="J32" i="35"/>
  <c r="H30" i="35"/>
  <c r="H32" i="35"/>
  <c r="F30" i="35"/>
  <c r="F32" i="35"/>
  <c r="D30" i="35"/>
  <c r="D32" i="35"/>
  <c r="B30" i="35"/>
  <c r="B32" i="35"/>
  <c r="B31" i="43"/>
  <c r="A53" i="45"/>
  <c r="E20" i="50"/>
  <c r="E18" i="50"/>
  <c r="E14" i="50"/>
  <c r="E10" i="50"/>
  <c r="A24" i="52"/>
  <c r="C29" i="22"/>
  <c r="A108" i="25"/>
  <c r="B18" i="25"/>
  <c r="C82" i="30"/>
  <c r="G61" i="31"/>
  <c r="E61" i="31"/>
  <c r="C61" i="31"/>
  <c r="J60" i="31"/>
  <c r="J62" i="31"/>
  <c r="B60" i="31"/>
  <c r="B62" i="31"/>
  <c r="K61" i="31"/>
  <c r="H60" i="31"/>
  <c r="H62" i="31"/>
  <c r="F60" i="31"/>
  <c r="F62" i="31"/>
  <c r="D60" i="31"/>
  <c r="D62" i="31"/>
  <c r="A28" i="31"/>
  <c r="A27" i="31"/>
  <c r="B102" i="34"/>
  <c r="C31" i="35"/>
  <c r="A41" i="36"/>
  <c r="A22" i="37"/>
  <c r="A38" i="40"/>
  <c r="A55" i="40"/>
  <c r="C45" i="44"/>
  <c r="E28" i="47"/>
  <c r="A38" i="49"/>
  <c r="A34" i="49"/>
  <c r="E8" i="50"/>
  <c r="A104" i="54"/>
  <c r="A61" i="31" l="1"/>
  <c r="A60" i="31"/>
  <c r="A62" i="31"/>
  <c r="Q36" i="1"/>
  <c r="Q37" i="1" s="1"/>
  <c r="B22" i="1"/>
</calcChain>
</file>

<file path=xl/sharedStrings.xml><?xml version="1.0" encoding="utf-8"?>
<sst xmlns="http://schemas.openxmlformats.org/spreadsheetml/2006/main" count="11458" uniqueCount="2199">
  <si>
    <t>Small Data Sets</t>
  </si>
  <si>
    <t>end</t>
  </si>
  <si>
    <t>Compiled 6/2003</t>
  </si>
  <si>
    <t>M.A.K.Khalil, Professor</t>
  </si>
  <si>
    <t>Department of Physics</t>
  </si>
  <si>
    <t>Portland State University</t>
  </si>
  <si>
    <t>P.O. Box 751</t>
  </si>
  <si>
    <t>Portland, Oregon 97207, USA</t>
  </si>
  <si>
    <t>Phone: (503) 725-8316</t>
  </si>
  <si>
    <t>e-mail: aslam@global.phy.pdx.edu</t>
  </si>
  <si>
    <t>R.A.Rasmussen, Professor</t>
  </si>
  <si>
    <t>Department of Environmental Science and Engineering</t>
  </si>
  <si>
    <t>Oregon Graduate Institute</t>
  </si>
  <si>
    <t>20000 N.W.Walker Rd</t>
  </si>
  <si>
    <t>Beaverton, Oregon, 97006 USA</t>
  </si>
  <si>
    <t>Span of Data</t>
  </si>
  <si>
    <t>yrs</t>
  </si>
  <si>
    <t># of Samples</t>
  </si>
  <si>
    <t># of Gases</t>
  </si>
  <si>
    <t># of Data</t>
  </si>
  <si>
    <t># of Data Sets</t>
  </si>
  <si>
    <t>Brief Descriptions and the Nature of the Data</t>
  </si>
  <si>
    <t>Latitudes and Longitudes are given below</t>
  </si>
  <si>
    <t>x</t>
  </si>
  <si>
    <t>ALE Tanks</t>
  </si>
  <si>
    <t>ACADIA</t>
  </si>
  <si>
    <t>ALLEGHENY</t>
  </si>
  <si>
    <t>ARGUELLO</t>
  </si>
  <si>
    <t>BARROW FLT</t>
  </si>
  <si>
    <t>BEAVERTON</t>
  </si>
  <si>
    <t>BEIJING RURAL</t>
  </si>
  <si>
    <t>BRAZIL FLIGHTS 1</t>
  </si>
  <si>
    <t>CAJUN PASS</t>
  </si>
  <si>
    <t>CHENDU - RURAL</t>
  </si>
  <si>
    <t>DISCOVERY BAY</t>
  </si>
  <si>
    <t>DYE 3</t>
  </si>
  <si>
    <t>GREENLAND</t>
  </si>
  <si>
    <t>GUANGZHOU -RURAL</t>
  </si>
  <si>
    <t>HOPI PT</t>
  </si>
  <si>
    <t>JUNGFRAUJAUCH</t>
  </si>
  <si>
    <t>KUWAIT</t>
  </si>
  <si>
    <t>LAUREL HILL</t>
  </si>
  <si>
    <t>NIWOT RIDGE</t>
  </si>
  <si>
    <t>SAN NICHOLS ISL</t>
  </si>
  <si>
    <t>NY ALESUND</t>
  </si>
  <si>
    <t>SONDRESTROM</t>
  </si>
  <si>
    <t>SPIRIT MOUNTAIN</t>
  </si>
  <si>
    <t>TOOLIK LAKE</t>
  </si>
  <si>
    <t>AMAZON RIVER</t>
  </si>
  <si>
    <t>CRUISE 87</t>
  </si>
  <si>
    <t>CRUISE 92</t>
  </si>
  <si>
    <t>TUZU</t>
  </si>
  <si>
    <t>YOSEMITE</t>
  </si>
  <si>
    <t>Name</t>
  </si>
  <si>
    <t>ALERT</t>
  </si>
  <si>
    <t>AFRICA</t>
  </si>
  <si>
    <t>ARCTIC</t>
  </si>
  <si>
    <t>BAHAMAS</t>
  </si>
  <si>
    <t>BELEM</t>
  </si>
  <si>
    <t>BLACK SADDLE</t>
  </si>
  <si>
    <t>BRAZIL MANY</t>
  </si>
  <si>
    <t>BRAZIL FLTS 2</t>
  </si>
  <si>
    <t>COZUMEL</t>
  </si>
  <si>
    <t>DEADHORSE</t>
  </si>
  <si>
    <t>DUCKE</t>
  </si>
  <si>
    <t>GLEN CANYON</t>
  </si>
  <si>
    <t>GUAM</t>
  </si>
  <si>
    <t>HAWAII</t>
  </si>
  <si>
    <t>ICELAND</t>
  </si>
  <si>
    <t>KEAHOLE</t>
  </si>
  <si>
    <t>LANDSDOWN</t>
  </si>
  <si>
    <t>MARSHALL ISL.</t>
  </si>
  <si>
    <t>PACHECO PASS</t>
  </si>
  <si>
    <t>SHIP M</t>
  </si>
  <si>
    <t>PT.REYES</t>
  </si>
  <si>
    <t>SHENENDOAH</t>
  </si>
  <si>
    <t>CP. ST.JAMES</t>
  </si>
  <si>
    <t>WHITE FACE MT</t>
  </si>
  <si>
    <t>CRUISE 83</t>
  </si>
  <si>
    <t>CRUISE 91</t>
  </si>
  <si>
    <t>TILLAMOOK</t>
  </si>
  <si>
    <t>YANGTZE</t>
  </si>
  <si>
    <t>Location</t>
  </si>
  <si>
    <t>Brw, Ha, Sam</t>
  </si>
  <si>
    <t>NWT</t>
  </si>
  <si>
    <t>Acadia National Park</t>
  </si>
  <si>
    <t>Canada</t>
  </si>
  <si>
    <t>Various</t>
  </si>
  <si>
    <t>Alaska</t>
  </si>
  <si>
    <t>Brazil</t>
  </si>
  <si>
    <t>OGC</t>
  </si>
  <si>
    <t>Oregon</t>
  </si>
  <si>
    <t>China</t>
  </si>
  <si>
    <t>Mexico</t>
  </si>
  <si>
    <t>70.1N 148.3W</t>
  </si>
  <si>
    <t>Met site. Brazil</t>
  </si>
  <si>
    <t>Greenland</t>
  </si>
  <si>
    <t>Arizona</t>
  </si>
  <si>
    <t>Irefoss</t>
  </si>
  <si>
    <t>Hawaii</t>
  </si>
  <si>
    <t>Pennsylvania</t>
  </si>
  <si>
    <t>California</t>
  </si>
  <si>
    <t>Norway</t>
  </si>
  <si>
    <t>Duration</t>
  </si>
  <si>
    <t>Beginning</t>
  </si>
  <si>
    <t>End</t>
  </si>
  <si>
    <t># of days</t>
  </si>
  <si>
    <t># yrs</t>
  </si>
  <si>
    <t># of samples</t>
  </si>
  <si>
    <t># gases</t>
  </si>
  <si>
    <t># total of data</t>
  </si>
  <si>
    <t>Gases (Alphabetical)</t>
  </si>
  <si>
    <t>CCl4</t>
  </si>
  <si>
    <t>C2H2</t>
  </si>
  <si>
    <t>C2Cl4</t>
  </si>
  <si>
    <t>CH3Cl</t>
  </si>
  <si>
    <t>C5H8</t>
  </si>
  <si>
    <t>H2</t>
  </si>
  <si>
    <t>CO</t>
  </si>
  <si>
    <t>1,2-DCP</t>
  </si>
  <si>
    <t>Benzene</t>
  </si>
  <si>
    <t>CH3CCl3</t>
  </si>
  <si>
    <t>C2H4</t>
  </si>
  <si>
    <t>CH4</t>
  </si>
  <si>
    <t>C2HCl3</t>
  </si>
  <si>
    <t>CH3I</t>
  </si>
  <si>
    <t>C2H6</t>
  </si>
  <si>
    <t>CHCl3</t>
  </si>
  <si>
    <t>CH2Cl2</t>
  </si>
  <si>
    <t>C3H6</t>
  </si>
  <si>
    <t>F-11</t>
  </si>
  <si>
    <t>C3H8</t>
  </si>
  <si>
    <t>C6H6</t>
  </si>
  <si>
    <t>F-113</t>
  </si>
  <si>
    <t>CO2</t>
  </si>
  <si>
    <t>C7H8</t>
  </si>
  <si>
    <t>F-12</t>
  </si>
  <si>
    <t>CCL4</t>
  </si>
  <si>
    <t>N2O</t>
  </si>
  <si>
    <t>CH3CCL3</t>
  </si>
  <si>
    <t>PCE</t>
  </si>
  <si>
    <t>N20</t>
  </si>
  <si>
    <t>TCE</t>
  </si>
  <si>
    <t>CO*</t>
  </si>
  <si>
    <t>pptv</t>
  </si>
  <si>
    <t>CHBr3</t>
  </si>
  <si>
    <t>TO-12</t>
  </si>
  <si>
    <t>O3</t>
  </si>
  <si>
    <t>F-22</t>
  </si>
  <si>
    <t>i-C4</t>
  </si>
  <si>
    <t>EBZ</t>
  </si>
  <si>
    <t>n-C4</t>
  </si>
  <si>
    <t>I-C4</t>
  </si>
  <si>
    <t>i-C4H10</t>
  </si>
  <si>
    <t>N-C4</t>
  </si>
  <si>
    <t>n-C4H10</t>
  </si>
  <si>
    <t>m-Xylene</t>
  </si>
  <si>
    <t>o-Xylene</t>
  </si>
  <si>
    <t>p-Xylene</t>
  </si>
  <si>
    <t>m-x</t>
  </si>
  <si>
    <t>Toluene</t>
  </si>
  <si>
    <t>m-xylene</t>
  </si>
  <si>
    <t>NOTES:</t>
  </si>
  <si>
    <t>1.  Air samples were collected in 0.8L stainless steel cannisters and sent to the OGI laboratory for analysis.</t>
  </si>
  <si>
    <t>2.  Data from urban locactions is not included here.  There are some data that are near cities representing regional scale pollution</t>
  </si>
  <si>
    <t>3.  In some cases the time span is long but there are few data.  This is the case when there were several missions in the same region spread apart by a year or more.</t>
  </si>
  <si>
    <t>p-x</t>
  </si>
  <si>
    <t>4.  The ALE tanks were analyzed for some months over the 4 years between 1978 and 1982.  These data may be compared with the flask data in the main data files</t>
  </si>
  <si>
    <t>5.  The data have not been corrected for new calibrations which are:</t>
  </si>
  <si>
    <t>p-xylene</t>
  </si>
  <si>
    <t>CH3CCl3 = 0.8 x CH3CCl3 (old , as in this file)</t>
  </si>
  <si>
    <t>Tol</t>
  </si>
  <si>
    <t>CCl4 = 0.8 x CCl4 (old , as in this file)</t>
  </si>
  <si>
    <t>F-11 = 0.96 x F-11 (old , as in this file)</t>
  </si>
  <si>
    <t>F-12 = 0.95 x F-12 (old , as in this file)</t>
  </si>
  <si>
    <t>N2O = 0.91 x N2O (old , as in this file), and  0.91 x 0.981 to get to NBS scale</t>
  </si>
  <si>
    <t>5.  Water Vapor Corrections have not been made.  These are given for some main locations below.  For data in this file one of the sites would be close enough or</t>
  </si>
  <si>
    <t>an interpolation can be done.  These corrections are small and unimportant for most gases.  N2O is an exception.</t>
  </si>
  <si>
    <t>All Sites by Latitude</t>
  </si>
  <si>
    <t>Lat</t>
  </si>
  <si>
    <t>Long</t>
  </si>
  <si>
    <t>Month</t>
  </si>
  <si>
    <t>Alert</t>
  </si>
  <si>
    <t>Barrow</t>
  </si>
  <si>
    <t>CM</t>
  </si>
  <si>
    <t>Sable</t>
  </si>
  <si>
    <t>Minqin</t>
  </si>
  <si>
    <t>MLO</t>
  </si>
  <si>
    <t>Hilo</t>
  </si>
  <si>
    <t>Grock</t>
  </si>
  <si>
    <t>Barb</t>
  </si>
  <si>
    <t>Panama</t>
  </si>
  <si>
    <t>Boola</t>
  </si>
  <si>
    <t>TA</t>
  </si>
  <si>
    <t>PS</t>
  </si>
  <si>
    <t>SPO</t>
  </si>
  <si>
    <t>Sponsors:  EPA, DOE, NASA, NOAA, NSF</t>
  </si>
  <si>
    <t>The Sites:</t>
  </si>
  <si>
    <t>Some locations are prominent and correctly tied to the latitude and longitude</t>
  </si>
  <si>
    <t>Others are approximate locations or may be inaccurate</t>
  </si>
  <si>
    <t>Latitude</t>
  </si>
  <si>
    <t>Longitude</t>
  </si>
  <si>
    <t>Land or Ocean</t>
  </si>
  <si>
    <t>Comments</t>
  </si>
  <si>
    <t>+ = N; - = S</t>
  </si>
  <si>
    <t>+ = W; - = E</t>
  </si>
  <si>
    <t>Inland</t>
  </si>
  <si>
    <t xml:space="preserve">Maine </t>
  </si>
  <si>
    <t>land</t>
  </si>
  <si>
    <t>Central Africa - may have been flights - Latitude range (-10 to 23) Longitude (10 to 64)</t>
  </si>
  <si>
    <t>Various sites</t>
  </si>
  <si>
    <t>North West Terretories, Canada</t>
  </si>
  <si>
    <t>----Exact Lat. and Long. not known</t>
  </si>
  <si>
    <t>Canadian Arctic Flights</t>
  </si>
  <si>
    <t>marine</t>
  </si>
  <si>
    <t xml:space="preserve">Arguello Point, California -  Coastal </t>
  </si>
  <si>
    <t xml:space="preserve">Island </t>
  </si>
  <si>
    <t>Rural locations outside of Beijing</t>
  </si>
  <si>
    <t>----Exact Lat. and Long. not known (Oregon)</t>
  </si>
  <si>
    <t>Brazil.  Data from many locations - Approx latitude</t>
  </si>
  <si>
    <t>Rural locations outside Chengdu</t>
  </si>
  <si>
    <t>Queen Charlotte Islands, Canada</t>
  </si>
  <si>
    <t>Lat = -8 to 14, long = 17 to 34W</t>
  </si>
  <si>
    <t>-42 to 2 lat; 4 to 54 long</t>
  </si>
  <si>
    <t>Alaska high latitude</t>
  </si>
  <si>
    <t>inland</t>
  </si>
  <si>
    <t>Washington (Seattle area)</t>
  </si>
  <si>
    <t>Arizona and Utah</t>
  </si>
  <si>
    <t>Summit (approx lat and long)</t>
  </si>
  <si>
    <t>Near MLO</t>
  </si>
  <si>
    <t>AZ - Grand Canyon</t>
  </si>
  <si>
    <t>----Exact Lat. and Long. not known (Irefoss)</t>
  </si>
  <si>
    <t>Switzerland</t>
  </si>
  <si>
    <t>KEAHOLE - Hawaii</t>
  </si>
  <si>
    <t>LANDSDOWNE</t>
  </si>
  <si>
    <t>----Exact Lat. and Long. not known (Australia)</t>
  </si>
  <si>
    <t>Florida (also one in PA)</t>
  </si>
  <si>
    <t>Colorado</t>
  </si>
  <si>
    <t>Svalsbard</t>
  </si>
  <si>
    <t>California, Diablo Range</t>
  </si>
  <si>
    <t>California - N of SF</t>
  </si>
  <si>
    <t>California - Channel Islands off LA</t>
  </si>
  <si>
    <t xml:space="preserve">Ocean Station M, Norway </t>
  </si>
  <si>
    <t>Sichuan, China</t>
  </si>
  <si>
    <t>Barrow - ALE Tanks</t>
  </si>
  <si>
    <t>N.B.</t>
  </si>
  <si>
    <t xml:space="preserve">To Correct The Calibrations </t>
  </si>
  <si>
    <t>COS - ALE TANKS</t>
  </si>
  <si>
    <t>Cape Kumukahi - ALE Tanks</t>
  </si>
  <si>
    <t>Multiply  The</t>
  </si>
  <si>
    <t>Samoa -ALE Tanks</t>
  </si>
  <si>
    <t>Gas Below</t>
  </si>
  <si>
    <t>BY</t>
  </si>
  <si>
    <t>Date</t>
  </si>
  <si>
    <t>COS</t>
  </si>
  <si>
    <t>Stds</t>
  </si>
  <si>
    <t xml:space="preserve">or </t>
  </si>
  <si>
    <t>To get NBS scale</t>
  </si>
  <si>
    <t>0-125</t>
  </si>
  <si>
    <t>0-133, 0-134</t>
  </si>
  <si>
    <t>0-135</t>
  </si>
  <si>
    <t>0-137, 138,140</t>
  </si>
  <si>
    <t>0-158</t>
  </si>
  <si>
    <t>w/integr.</t>
  </si>
  <si>
    <t>0-163, 164</t>
  </si>
  <si>
    <t>MeI</t>
  </si>
  <si>
    <t>ppbv</t>
  </si>
  <si>
    <t>0-166</t>
  </si>
  <si>
    <t>0-169</t>
  </si>
  <si>
    <t>0-174</t>
  </si>
  <si>
    <t>0-177</t>
  </si>
  <si>
    <t>0-179</t>
  </si>
  <si>
    <t>0-180</t>
  </si>
  <si>
    <t>0-182, 184</t>
  </si>
  <si>
    <t>0-185, 186,188</t>
  </si>
  <si>
    <t>0-194, 195</t>
  </si>
  <si>
    <t>MONTHLY AVERAGES</t>
  </si>
  <si>
    <t>Standard Deviations</t>
  </si>
  <si>
    <t>Total #</t>
  </si>
  <si>
    <t>Number of Data</t>
  </si>
  <si>
    <t xml:space="preserve">ALERT SPECIAL STUDY </t>
  </si>
  <si>
    <t>JAN BOTTENHEIM</t>
  </si>
  <si>
    <t>This may be combined with the existing data in ManySites</t>
  </si>
  <si>
    <t>Wind</t>
  </si>
  <si>
    <t>Sample</t>
  </si>
  <si>
    <t>Can</t>
  </si>
  <si>
    <t>Time</t>
  </si>
  <si>
    <t>Temp.</t>
  </si>
  <si>
    <t>m/s</t>
  </si>
  <si>
    <t>No.</t>
  </si>
  <si>
    <t>SN</t>
  </si>
  <si>
    <t>C</t>
  </si>
  <si>
    <t>Dir.</t>
  </si>
  <si>
    <t>CQ133</t>
  </si>
  <si>
    <t>CQ164</t>
  </si>
  <si>
    <t>Calm</t>
  </si>
  <si>
    <t>CQ470</t>
  </si>
  <si>
    <t>CQ293</t>
  </si>
  <si>
    <t>Missing</t>
  </si>
  <si>
    <t>NA</t>
  </si>
  <si>
    <t>CQ329</t>
  </si>
  <si>
    <t>CQ019</t>
  </si>
  <si>
    <t>CQ427</t>
  </si>
  <si>
    <t>CQ467</t>
  </si>
  <si>
    <t>CQ170</t>
  </si>
  <si>
    <t>CQ126</t>
  </si>
  <si>
    <t>CQ169</t>
  </si>
  <si>
    <t>CQ136</t>
  </si>
  <si>
    <t>CQ134</t>
  </si>
  <si>
    <t>CQ466</t>
  </si>
  <si>
    <t>CQ413</t>
  </si>
  <si>
    <t>CQ405</t>
  </si>
  <si>
    <t>CQ067</t>
  </si>
  <si>
    <t>CQ350</t>
  </si>
  <si>
    <t>CQ186</t>
  </si>
  <si>
    <t>CQ144</t>
  </si>
  <si>
    <t>CQ082</t>
  </si>
  <si>
    <t>CQ119</t>
  </si>
  <si>
    <t>CQ322</t>
  </si>
  <si>
    <t>CQ014</t>
  </si>
  <si>
    <t>CQ201</t>
  </si>
  <si>
    <t>CQ207</t>
  </si>
  <si>
    <t>CQ200</t>
  </si>
  <si>
    <t>CQ241</t>
  </si>
  <si>
    <t>BDL</t>
  </si>
  <si>
    <t>CQ124</t>
  </si>
  <si>
    <t>CQ290</t>
  </si>
  <si>
    <t>CQ129</t>
  </si>
  <si>
    <t>CQ223</t>
  </si>
  <si>
    <t>CQ069</t>
  </si>
  <si>
    <t>CQ361</t>
  </si>
  <si>
    <t>CQ078</t>
  </si>
  <si>
    <t>CQ193</t>
  </si>
  <si>
    <t>CQ295</t>
  </si>
  <si>
    <t>CQ468</t>
  </si>
  <si>
    <t>CQ465</t>
  </si>
  <si>
    <t>CQ415</t>
  </si>
  <si>
    <t>CQ228</t>
  </si>
  <si>
    <t>CQ231</t>
  </si>
  <si>
    <t>CQ048</t>
  </si>
  <si>
    <t>CQ047</t>
  </si>
  <si>
    <t>CQ409</t>
  </si>
  <si>
    <t>CQ294</t>
  </si>
  <si>
    <t>CQ471</t>
  </si>
  <si>
    <t>CQ137</t>
  </si>
  <si>
    <t>CQ122</t>
  </si>
  <si>
    <t>CQ172</t>
  </si>
  <si>
    <t>CQ012</t>
  </si>
  <si>
    <t>0952</t>
  </si>
  <si>
    <t>CQ326</t>
  </si>
  <si>
    <t>CQ254</t>
  </si>
  <si>
    <t>CQ237</t>
  </si>
  <si>
    <t>CQ071</t>
  </si>
  <si>
    <t>CQ063</t>
  </si>
  <si>
    <t>CQ304</t>
  </si>
  <si>
    <t>CQ519</t>
  </si>
  <si>
    <t>CQ422</t>
  </si>
  <si>
    <t>CQ245</t>
  </si>
  <si>
    <t>CQ031</t>
  </si>
  <si>
    <t>CQ098</t>
  </si>
  <si>
    <t>CQ120</t>
  </si>
  <si>
    <t>CQ209</t>
  </si>
  <si>
    <t>CQ015</t>
  </si>
  <si>
    <t>Average</t>
  </si>
  <si>
    <t>STD</t>
  </si>
  <si>
    <t>N</t>
  </si>
  <si>
    <t>See Lat &amp; Long</t>
  </si>
  <si>
    <t>S/N</t>
  </si>
  <si>
    <t>Speed</t>
  </si>
  <si>
    <t>Local</t>
  </si>
  <si>
    <t>Knots</t>
  </si>
  <si>
    <t>ppmv</t>
  </si>
  <si>
    <t>VF304</t>
  </si>
  <si>
    <t>VF60</t>
  </si>
  <si>
    <t>VF399</t>
  </si>
  <si>
    <t>VF289</t>
  </si>
  <si>
    <t>VF300</t>
  </si>
  <si>
    <t>VF298</t>
  </si>
  <si>
    <t>VF475</t>
  </si>
  <si>
    <t>VF55</t>
  </si>
  <si>
    <t>VF299</t>
  </si>
  <si>
    <t>VF297</t>
  </si>
  <si>
    <t>VF305</t>
  </si>
  <si>
    <t>VF30</t>
  </si>
  <si>
    <t>VF32</t>
  </si>
  <si>
    <t>VF52</t>
  </si>
  <si>
    <t>VF508</t>
  </si>
  <si>
    <t>VF131</t>
  </si>
  <si>
    <t>VF151</t>
  </si>
  <si>
    <t>VF223</t>
  </si>
  <si>
    <t>VF349</t>
  </si>
  <si>
    <t>VF111</t>
  </si>
  <si>
    <t>VF511</t>
  </si>
  <si>
    <t>VF93</t>
  </si>
  <si>
    <t>VF309</t>
  </si>
  <si>
    <t>VF312</t>
  </si>
  <si>
    <t>VF476</t>
  </si>
  <si>
    <t>VF221</t>
  </si>
  <si>
    <t>VF477</t>
  </si>
  <si>
    <t>VF193</t>
  </si>
  <si>
    <t>VF441</t>
  </si>
  <si>
    <t>VF353</t>
  </si>
  <si>
    <t>VF474</t>
  </si>
  <si>
    <t>VF510</t>
  </si>
  <si>
    <t>VF375</t>
  </si>
  <si>
    <t>VF485</t>
  </si>
  <si>
    <t>VF486</t>
  </si>
  <si>
    <t>VF440</t>
  </si>
  <si>
    <t>VF448</t>
  </si>
  <si>
    <t>VF351</t>
  </si>
  <si>
    <t>VF471</t>
  </si>
  <si>
    <t>VF208</t>
  </si>
  <si>
    <t>VF439</t>
  </si>
  <si>
    <t>VF209</t>
  </si>
  <si>
    <t>VF59</t>
  </si>
  <si>
    <t>VF35</t>
  </si>
  <si>
    <t>VF89</t>
  </si>
  <si>
    <t>VF236</t>
  </si>
  <si>
    <t>VFRPX</t>
  </si>
  <si>
    <t>Max</t>
  </si>
  <si>
    <t>Min</t>
  </si>
  <si>
    <t>ACADIA NATIONAL PARK</t>
  </si>
  <si>
    <t>Maine</t>
  </si>
  <si>
    <t xml:space="preserve">   Time</t>
  </si>
  <si>
    <t>ug/m-3</t>
  </si>
  <si>
    <t xml:space="preserve">ALLEGHENY </t>
  </si>
  <si>
    <t>ug/m3</t>
  </si>
  <si>
    <t>0010</t>
  </si>
  <si>
    <t>0836</t>
  </si>
  <si>
    <t>Episode #1</t>
  </si>
  <si>
    <t>0950</t>
  </si>
  <si>
    <t>0908</t>
  </si>
  <si>
    <t>NOx episode</t>
  </si>
  <si>
    <t>Urban plume</t>
  </si>
  <si>
    <t>0947</t>
  </si>
  <si>
    <t>SO2 episode</t>
  </si>
  <si>
    <t>Drizzle</t>
  </si>
  <si>
    <t>Very hazy</t>
  </si>
  <si>
    <t>Clear but hazy</t>
  </si>
  <si>
    <t>MT</t>
  </si>
  <si>
    <t>0927</t>
  </si>
  <si>
    <t>0011</t>
  </si>
  <si>
    <t>L-A traj.</t>
  </si>
  <si>
    <t>Canadian Arctic</t>
  </si>
  <si>
    <t>@date({?},{?},{?})~</t>
  </si>
  <si>
    <t xml:space="preserve"> JAN BOTTENHEIM </t>
  </si>
  <si>
    <t>Flight Notes</t>
  </si>
  <si>
    <t>Dir</t>
  </si>
  <si>
    <t>Altitude</t>
  </si>
  <si>
    <t>Position</t>
  </si>
  <si>
    <t>Notes</t>
  </si>
  <si>
    <t>feet</t>
  </si>
  <si>
    <t>VF655</t>
  </si>
  <si>
    <t>VF760</t>
  </si>
  <si>
    <t>VF20</t>
  </si>
  <si>
    <t>VF431</t>
  </si>
  <si>
    <t>Sunny; hazy;</t>
  </si>
  <si>
    <t>VF992</t>
  </si>
  <si>
    <t>low clouds</t>
  </si>
  <si>
    <t>VF576</t>
  </si>
  <si>
    <t>82 21.7</t>
  </si>
  <si>
    <t>low</t>
  </si>
  <si>
    <t>E. Greenland</t>
  </si>
  <si>
    <t>VF40</t>
  </si>
  <si>
    <t>VF899</t>
  </si>
  <si>
    <t>Sunny</t>
  </si>
  <si>
    <t>VF998</t>
  </si>
  <si>
    <t>VF758</t>
  </si>
  <si>
    <t>VF812</t>
  </si>
  <si>
    <t>Ascent</t>
  </si>
  <si>
    <t>VF642</t>
  </si>
  <si>
    <t>VF693</t>
  </si>
  <si>
    <t>VF571</t>
  </si>
  <si>
    <t>VF803</t>
  </si>
  <si>
    <t>VF938</t>
  </si>
  <si>
    <t>VF556</t>
  </si>
  <si>
    <t>VF246</t>
  </si>
  <si>
    <t>VF870</t>
  </si>
  <si>
    <t>VF779</t>
  </si>
  <si>
    <t>Sunny; low</t>
  </si>
  <si>
    <t>VF872</t>
  </si>
  <si>
    <t>clouds; brown</t>
  </si>
  <si>
    <t>VF806</t>
  </si>
  <si>
    <t>hazy layer ap-</t>
  </si>
  <si>
    <t>VF467</t>
  </si>
  <si>
    <t>pears only at</t>
  </si>
  <si>
    <t>VF873</t>
  </si>
  <si>
    <t>this altitude</t>
  </si>
  <si>
    <t>VF882</t>
  </si>
  <si>
    <t>VF466</t>
  </si>
  <si>
    <t>VF43</t>
  </si>
  <si>
    <t>low clouds;</t>
  </si>
  <si>
    <t>shoreline</t>
  </si>
  <si>
    <t>VF368</t>
  </si>
  <si>
    <t>ascent</t>
  </si>
  <si>
    <t>VF296</t>
  </si>
  <si>
    <t>VF402</t>
  </si>
  <si>
    <t>VF871</t>
  </si>
  <si>
    <t>clouds</t>
  </si>
  <si>
    <t>VF809</t>
  </si>
  <si>
    <t>VF684</t>
  </si>
  <si>
    <t>Sunny; snow;</t>
  </si>
  <si>
    <t>VF813</t>
  </si>
  <si>
    <t>VF791</t>
  </si>
  <si>
    <t>invalid - can</t>
  </si>
  <si>
    <t>VF780</t>
  </si>
  <si>
    <t>reopened</t>
  </si>
  <si>
    <t>VF816</t>
  </si>
  <si>
    <t>Pass</t>
  </si>
  <si>
    <t>"</t>
  </si>
  <si>
    <t>Sunny; hazy</t>
  </si>
  <si>
    <t>Descent</t>
  </si>
  <si>
    <t>Sunny; low &amp;</t>
  </si>
  <si>
    <t>high clouds</t>
  </si>
  <si>
    <t>Kane Basin</t>
  </si>
  <si>
    <t>Sunny; snow</t>
  </si>
  <si>
    <t>in Alert area</t>
  </si>
  <si>
    <t>Point Arguello</t>
  </si>
  <si>
    <t>This could have been included in the ManySites data set, but the times do not overlap with the other sites in that collection</t>
  </si>
  <si>
    <t>Barrow, Alaska (Special Collections)</t>
  </si>
  <si>
    <t>ALE Tanks with analysis on the Teperature -Programmed Machine</t>
  </si>
  <si>
    <t>6L containers</t>
  </si>
  <si>
    <t>Sample #</t>
  </si>
  <si>
    <t>Feet</t>
  </si>
  <si>
    <t>w/integ.</t>
  </si>
  <si>
    <t>meas.</t>
  </si>
  <si>
    <t>Surface</t>
  </si>
  <si>
    <t>501A</t>
  </si>
  <si>
    <t>711A</t>
  </si>
  <si>
    <t>Avg</t>
  </si>
  <si>
    <t>LONG ISLAND, BAHAMAS - SITE SELECTION</t>
  </si>
  <si>
    <t>@DATE({?},{?},{?})~</t>
  </si>
  <si>
    <t>Atlantic</t>
  </si>
  <si>
    <t>Hill House</t>
  </si>
  <si>
    <t>End of Road</t>
  </si>
  <si>
    <t>COMBINED DATA</t>
  </si>
  <si>
    <t>The three sets come from different files.</t>
  </si>
  <si>
    <t>BELEM, BRAZIL</t>
  </si>
  <si>
    <t>Pt. Nublado</t>
  </si>
  <si>
    <t>Original Data  --- Combined data on the right</t>
  </si>
  <si>
    <t>Part of ABLE 2B</t>
  </si>
  <si>
    <t>SET1</t>
  </si>
  <si>
    <t>V329</t>
  </si>
  <si>
    <t>V328</t>
  </si>
  <si>
    <t>V255</t>
  </si>
  <si>
    <t>TV853</t>
  </si>
  <si>
    <t>V268</t>
  </si>
  <si>
    <t>V194</t>
  </si>
  <si>
    <t>TV265</t>
  </si>
  <si>
    <t>V269</t>
  </si>
  <si>
    <t>BZ36</t>
  </si>
  <si>
    <t>BZ011</t>
  </si>
  <si>
    <t>V275</t>
  </si>
  <si>
    <t>TV477</t>
  </si>
  <si>
    <t>TV349</t>
  </si>
  <si>
    <t>V249</t>
  </si>
  <si>
    <t>BZ69</t>
  </si>
  <si>
    <t>TV518</t>
  </si>
  <si>
    <t>BZ68</t>
  </si>
  <si>
    <t>V341</t>
  </si>
  <si>
    <t>0900</t>
  </si>
  <si>
    <t>TV274</t>
  </si>
  <si>
    <t>TV951</t>
  </si>
  <si>
    <t>BZ013</t>
  </si>
  <si>
    <t>TV282</t>
  </si>
  <si>
    <t>SET 2</t>
  </si>
  <si>
    <t>BZ414</t>
  </si>
  <si>
    <t>TV218</t>
  </si>
  <si>
    <t>0940</t>
  </si>
  <si>
    <t>TV099</t>
  </si>
  <si>
    <t>BZ34</t>
  </si>
  <si>
    <t>1150</t>
  </si>
  <si>
    <t>TV629</t>
  </si>
  <si>
    <t>1015</t>
  </si>
  <si>
    <t>BZ35</t>
  </si>
  <si>
    <t>0830</t>
  </si>
  <si>
    <t>TV539</t>
  </si>
  <si>
    <t>TV823</t>
  </si>
  <si>
    <t>TV243</t>
  </si>
  <si>
    <t>BZ57</t>
  </si>
  <si>
    <t>0850</t>
  </si>
  <si>
    <t>BZ012</t>
  </si>
  <si>
    <t>SET 3</t>
  </si>
  <si>
    <t>* as of 2-17-88 numbers derived from NBS SRM standards</t>
  </si>
  <si>
    <t>BZ415</t>
  </si>
  <si>
    <t>BZ416</t>
  </si>
  <si>
    <t>BZ409</t>
  </si>
  <si>
    <t>BZ410</t>
  </si>
  <si>
    <t>BZ403</t>
  </si>
  <si>
    <t>0915</t>
  </si>
  <si>
    <t>BZ408</t>
  </si>
  <si>
    <t>BZ417</t>
  </si>
  <si>
    <t>BZ411</t>
  </si>
  <si>
    <t>BZ402</t>
  </si>
  <si>
    <t>BZ401</t>
  </si>
  <si>
    <t>BZ400</t>
  </si>
  <si>
    <t>BZ406</t>
  </si>
  <si>
    <t>BZ404</t>
  </si>
  <si>
    <t>BZ398</t>
  </si>
  <si>
    <t>BZ399</t>
  </si>
  <si>
    <t>BZ413</t>
  </si>
  <si>
    <t>Monthly Averages</t>
  </si>
  <si>
    <t>OGC OUTSIDE AIR:  Beaverton, OR (rural)</t>
  </si>
  <si>
    <t>with syringe</t>
  </si>
  <si>
    <t>Beijing - Rural</t>
  </si>
  <si>
    <t>Rice Fields</t>
  </si>
  <si>
    <t>These data are also included in the Beijing&amp; Guangzhou worksheet</t>
  </si>
  <si>
    <t>date</t>
  </si>
  <si>
    <t>time</t>
  </si>
  <si>
    <t>BLACK SADDLE, OREGON</t>
  </si>
  <si>
    <t>Bag</t>
  </si>
  <si>
    <t>TV704</t>
  </si>
  <si>
    <t>TV254</t>
  </si>
  <si>
    <t>TV943</t>
  </si>
  <si>
    <t>TV125</t>
  </si>
  <si>
    <t>TV250</t>
  </si>
  <si>
    <t>CQ168</t>
  </si>
  <si>
    <t>CQ094</t>
  </si>
  <si>
    <t>BZ881</t>
  </si>
  <si>
    <t>TV589</t>
  </si>
  <si>
    <t>CQ057</t>
  </si>
  <si>
    <t>BRAZIL - VARIOUS</t>
  </si>
  <si>
    <t>/wdr~</t>
  </si>
  <si>
    <t>V. KIRCHHOFF</t>
  </si>
  <si>
    <t>Place</t>
  </si>
  <si>
    <t>BARCARENA</t>
  </si>
  <si>
    <t>BZ396</t>
  </si>
  <si>
    <t>BZ407</t>
  </si>
  <si>
    <t>BZ418</t>
  </si>
  <si>
    <t>BZ412</t>
  </si>
  <si>
    <t>BZ427</t>
  </si>
  <si>
    <t>BZ419</t>
  </si>
  <si>
    <t>BZ397</t>
  </si>
  <si>
    <t>BZ405</t>
  </si>
  <si>
    <t>Brazil: JOFRE - PANTANAL</t>
  </si>
  <si>
    <t>ppbC</t>
  </si>
  <si>
    <t>BZ880</t>
  </si>
  <si>
    <t>BZ687</t>
  </si>
  <si>
    <t>BZ014</t>
  </si>
  <si>
    <t>BZ54</t>
  </si>
  <si>
    <t>BZ019</t>
  </si>
  <si>
    <t>BZ874</t>
  </si>
  <si>
    <t>BZ51</t>
  </si>
  <si>
    <t>BZ010</t>
  </si>
  <si>
    <t>BZ016</t>
  </si>
  <si>
    <t>BZ021</t>
  </si>
  <si>
    <t>BZ095</t>
  </si>
  <si>
    <t>V187</t>
  </si>
  <si>
    <t>BZ018</t>
  </si>
  <si>
    <t>TV255</t>
  </si>
  <si>
    <t>TV499</t>
  </si>
  <si>
    <t>Brazil:   CUIABA</t>
  </si>
  <si>
    <t>BZ726</t>
  </si>
  <si>
    <t>BZ017</t>
  </si>
  <si>
    <t>BZ868</t>
  </si>
  <si>
    <t>BZ009</t>
  </si>
  <si>
    <t>BZ020</t>
  </si>
  <si>
    <t>TV771</t>
  </si>
  <si>
    <t>BZ008</t>
  </si>
  <si>
    <t>BZ022</t>
  </si>
  <si>
    <t xml:space="preserve">BRAZIL - PANTANAL </t>
  </si>
  <si>
    <t>Received June 17, 1988</t>
  </si>
  <si>
    <t>Acc.</t>
  </si>
  <si>
    <t>CZ125</t>
  </si>
  <si>
    <t>0800</t>
  </si>
  <si>
    <t>CZ104</t>
  </si>
  <si>
    <t>CZ120</t>
  </si>
  <si>
    <t>CZ123</t>
  </si>
  <si>
    <t>CZ133</t>
  </si>
  <si>
    <t>CZ144</t>
  </si>
  <si>
    <t>CZ131</t>
  </si>
  <si>
    <t>CZ117</t>
  </si>
  <si>
    <t>CZ134</t>
  </si>
  <si>
    <t>CZ135</t>
  </si>
  <si>
    <t>CZ128</t>
  </si>
  <si>
    <t>CZ124</t>
  </si>
  <si>
    <t>CZ122</t>
  </si>
  <si>
    <t>CZ129</t>
  </si>
  <si>
    <t>BRAZIL - Various</t>
  </si>
  <si>
    <t>Mean Concentrations</t>
  </si>
  <si>
    <t>Standard Deviations of 3 Samples</t>
  </si>
  <si>
    <t>Access</t>
  </si>
  <si>
    <t>Can S/N</t>
  </si>
  <si>
    <t>TIme</t>
  </si>
  <si>
    <t>B212</t>
  </si>
  <si>
    <t>Fazenda, PA</t>
  </si>
  <si>
    <t>Slight N wind;</t>
  </si>
  <si>
    <t>B254</t>
  </si>
  <si>
    <t>Fortaleza</t>
  </si>
  <si>
    <t>33C; 20-40 kph 3.9S,38.3W-Coastal</t>
  </si>
  <si>
    <t>VLB200</t>
  </si>
  <si>
    <t>Fazenda</t>
  </si>
  <si>
    <t>32.8C; slight NE</t>
  </si>
  <si>
    <t>TV405</t>
  </si>
  <si>
    <t>Sanatarem, Para.</t>
  </si>
  <si>
    <t>30C; 25 kph E</t>
  </si>
  <si>
    <t>TV315</t>
  </si>
  <si>
    <t>150km SE of</t>
  </si>
  <si>
    <t>28.5C; below clouds 900ft</t>
  </si>
  <si>
    <t>TV404</t>
  </si>
  <si>
    <t>100 km SE of 1100 ft</t>
  </si>
  <si>
    <t>25.5C</t>
  </si>
  <si>
    <t>TV321</t>
  </si>
  <si>
    <t>Manaus, NW of city</t>
  </si>
  <si>
    <t>27C; 40-50 kph E; 3S, 60W</t>
  </si>
  <si>
    <t>TV322</t>
  </si>
  <si>
    <t>30C; still; PC</t>
  </si>
  <si>
    <t>TV313</t>
  </si>
  <si>
    <t xml:space="preserve">Boa Vista, </t>
  </si>
  <si>
    <t>35C; 15 kph W; 3N, 61W</t>
  </si>
  <si>
    <t>W30</t>
  </si>
  <si>
    <t>Porta Velho,</t>
  </si>
  <si>
    <t>33C; 5 kph SE;</t>
  </si>
  <si>
    <t>W5</t>
  </si>
  <si>
    <t>Cuiaba</t>
  </si>
  <si>
    <t>29.5C; 10 kph SW;, 15.4S, 56.1W</t>
  </si>
  <si>
    <t>TV314</t>
  </si>
  <si>
    <t>Brasilia</t>
  </si>
  <si>
    <t>27C; 15 kph N;</t>
  </si>
  <si>
    <t>W29</t>
  </si>
  <si>
    <t>Porto Alegre Rio</t>
  </si>
  <si>
    <t>17C; 30 kph E;</t>
  </si>
  <si>
    <t>W6</t>
  </si>
  <si>
    <t>Vitoria</t>
  </si>
  <si>
    <t>28.5C; 45 kph NE;</t>
  </si>
  <si>
    <t>TV319</t>
  </si>
  <si>
    <t>Salvador Bahia</t>
  </si>
  <si>
    <t>26C; 45 kph E;</t>
  </si>
  <si>
    <t>W14</t>
  </si>
  <si>
    <t>Recife Pernambuco</t>
  </si>
  <si>
    <t>28C; 5-10 kph E;</t>
  </si>
  <si>
    <t>W32</t>
  </si>
  <si>
    <t>28.5C; 20 kph E;</t>
  </si>
  <si>
    <t>W11</t>
  </si>
  <si>
    <t>0954</t>
  </si>
  <si>
    <t>Tabatinga on Rio</t>
  </si>
  <si>
    <t>27C; rain</t>
  </si>
  <si>
    <t>Brazil:  Cuiaba (Lago do Recreio Fora da Cupula)</t>
  </si>
  <si>
    <t>15.4S, 56.1W</t>
  </si>
  <si>
    <t>VK 096</t>
  </si>
  <si>
    <t>VK 100</t>
  </si>
  <si>
    <t>VK 099</t>
  </si>
  <si>
    <t>VK 097</t>
  </si>
  <si>
    <t>VK 098</t>
  </si>
  <si>
    <t>VK 094</t>
  </si>
  <si>
    <t>VK 093</t>
  </si>
  <si>
    <t>VK 092</t>
  </si>
  <si>
    <t>VK 091</t>
  </si>
  <si>
    <t>VK 087</t>
  </si>
  <si>
    <t>VK 081</t>
  </si>
  <si>
    <t>VK 082</t>
  </si>
  <si>
    <t>VK 090</t>
  </si>
  <si>
    <t>VK 083</t>
  </si>
  <si>
    <t>VK 084</t>
  </si>
  <si>
    <t>VK 089</t>
  </si>
  <si>
    <t>VK 088</t>
  </si>
  <si>
    <t>Brazil - various</t>
  </si>
  <si>
    <t>VK 179</t>
  </si>
  <si>
    <t>S.J. Campos (Nublado(</t>
  </si>
  <si>
    <t>VK 177</t>
  </si>
  <si>
    <t>S.J. Campos (Chuva)</t>
  </si>
  <si>
    <t>VK 180</t>
  </si>
  <si>
    <t>S.J. Campos (Encoberto)</t>
  </si>
  <si>
    <t>VK 163</t>
  </si>
  <si>
    <t>S. Paulo (Mooca) Sol</t>
  </si>
  <si>
    <t>VK 162</t>
  </si>
  <si>
    <t>VK 164</t>
  </si>
  <si>
    <t>S. Paulo (tunel) Sol</t>
  </si>
  <si>
    <t>VK 161</t>
  </si>
  <si>
    <t>S. Paulo (centro) Sol</t>
  </si>
  <si>
    <t>VK 146</t>
  </si>
  <si>
    <t>VK 148</t>
  </si>
  <si>
    <t>S.J. Campos (Nublado)</t>
  </si>
  <si>
    <t>VK 147</t>
  </si>
  <si>
    <t>VK 145</t>
  </si>
  <si>
    <t>S.J. Campos Sol</t>
  </si>
  <si>
    <t>VK 104</t>
  </si>
  <si>
    <t>VK 102</t>
  </si>
  <si>
    <t>VK 125</t>
  </si>
  <si>
    <t>VK 103</t>
  </si>
  <si>
    <t>VK 191</t>
  </si>
  <si>
    <t>VK 192</t>
  </si>
  <si>
    <t>VK 154</t>
  </si>
  <si>
    <t>Ribeirao Preto (sol)</t>
  </si>
  <si>
    <t>VK 153</t>
  </si>
  <si>
    <t>VK 190</t>
  </si>
  <si>
    <t>VK 156</t>
  </si>
  <si>
    <t>Ribeirao Preto Sol</t>
  </si>
  <si>
    <t>VK 155</t>
  </si>
  <si>
    <t>VK 199</t>
  </si>
  <si>
    <t>VK 200</t>
  </si>
  <si>
    <t>VK 107</t>
  </si>
  <si>
    <t>VK 106</t>
  </si>
  <si>
    <t>S. Paulo (tunel)</t>
  </si>
  <si>
    <t>VK 108</t>
  </si>
  <si>
    <t>VK 178</t>
  </si>
  <si>
    <t>VK 126</t>
  </si>
  <si>
    <t>S. Paulo (viaduto)(Nublado)</t>
  </si>
  <si>
    <t>VK 157</t>
  </si>
  <si>
    <t>VK 128</t>
  </si>
  <si>
    <t>VK 105</t>
  </si>
  <si>
    <t>VK 197</t>
  </si>
  <si>
    <t>S.J. Campos (nublado)</t>
  </si>
  <si>
    <t>VK 183</t>
  </si>
  <si>
    <t>VK 198</t>
  </si>
  <si>
    <t>CACHOEIRA PAULISTA - Brazil</t>
  </si>
  <si>
    <t>BRAZIL - FLIGHTS</t>
  </si>
  <si>
    <t>KIRCHHOFF - 1992 (0)</t>
  </si>
  <si>
    <t>BRAZIL - V. KIRCHHOFF</t>
  </si>
  <si>
    <t xml:space="preserve">V. KIRCHHOFF </t>
  </si>
  <si>
    <t>Collected at Piracicab</t>
  </si>
  <si>
    <t>LOST BRAZIL SAMPLES OF 1989</t>
  </si>
  <si>
    <t>FOUND MARCH 1992 IN MIAMI, FLORIDA</t>
  </si>
  <si>
    <t>Porto Nacional</t>
  </si>
  <si>
    <t>Temp</t>
  </si>
  <si>
    <t>VK 065</t>
  </si>
  <si>
    <t>ft</t>
  </si>
  <si>
    <t>VK 056</t>
  </si>
  <si>
    <t>VK 042</t>
  </si>
  <si>
    <t>VK118</t>
  </si>
  <si>
    <t>VK 067</t>
  </si>
  <si>
    <t>VK117</t>
  </si>
  <si>
    <t>COVK</t>
  </si>
  <si>
    <t>001</t>
  </si>
  <si>
    <t>VK 048</t>
  </si>
  <si>
    <t>VK120</t>
  </si>
  <si>
    <t>002</t>
  </si>
  <si>
    <t>VK 073</t>
  </si>
  <si>
    <t>VK119</t>
  </si>
  <si>
    <t>003</t>
  </si>
  <si>
    <t>VK 068</t>
  </si>
  <si>
    <t>VK151</t>
  </si>
  <si>
    <t>004</t>
  </si>
  <si>
    <t>VK 053</t>
  </si>
  <si>
    <t>VK152</t>
  </si>
  <si>
    <t>005</t>
  </si>
  <si>
    <t>VK 058</t>
  </si>
  <si>
    <t>VK149</t>
  </si>
  <si>
    <t>006</t>
  </si>
  <si>
    <t>VK 057</t>
  </si>
  <si>
    <t>VK150</t>
  </si>
  <si>
    <t>007</t>
  </si>
  <si>
    <t>VK 062</t>
  </si>
  <si>
    <t>VK143</t>
  </si>
  <si>
    <t>008</t>
  </si>
  <si>
    <t>VK 052</t>
  </si>
  <si>
    <t>VK141</t>
  </si>
  <si>
    <t>009</t>
  </si>
  <si>
    <t>VK 059</t>
  </si>
  <si>
    <t>VK142</t>
  </si>
  <si>
    <t>010</t>
  </si>
  <si>
    <t>VK 072</t>
  </si>
  <si>
    <t>VK137</t>
  </si>
  <si>
    <t>Alta Floresta</t>
  </si>
  <si>
    <t>011</t>
  </si>
  <si>
    <t>VK 079</t>
  </si>
  <si>
    <t>VK139</t>
  </si>
  <si>
    <t>012</t>
  </si>
  <si>
    <t>VK 080</t>
  </si>
  <si>
    <t>VK140</t>
  </si>
  <si>
    <t>013</t>
  </si>
  <si>
    <t>VK 051</t>
  </si>
  <si>
    <t>VK175</t>
  </si>
  <si>
    <t>014</t>
  </si>
  <si>
    <t>VK 040</t>
  </si>
  <si>
    <t>VK174</t>
  </si>
  <si>
    <t>015</t>
  </si>
  <si>
    <t>VK 031</t>
  </si>
  <si>
    <t>VK176</t>
  </si>
  <si>
    <t>016</t>
  </si>
  <si>
    <t>VK 039</t>
  </si>
  <si>
    <t>VK173</t>
  </si>
  <si>
    <t>017</t>
  </si>
  <si>
    <t>VK 028</t>
  </si>
  <si>
    <t>VK165</t>
  </si>
  <si>
    <t>018</t>
  </si>
  <si>
    <t>VK 023</t>
  </si>
  <si>
    <t>VK167</t>
  </si>
  <si>
    <t>019</t>
  </si>
  <si>
    <t>VK 022</t>
  </si>
  <si>
    <t>VK168</t>
  </si>
  <si>
    <t>020</t>
  </si>
  <si>
    <t>VK 033</t>
  </si>
  <si>
    <t>VK166</t>
  </si>
  <si>
    <t>021</t>
  </si>
  <si>
    <t>VK 032</t>
  </si>
  <si>
    <t>VK113</t>
  </si>
  <si>
    <t>022</t>
  </si>
  <si>
    <t>VK 027</t>
  </si>
  <si>
    <t>VK133</t>
  </si>
  <si>
    <t>023</t>
  </si>
  <si>
    <t>VK 021</t>
  </si>
  <si>
    <t>VK135</t>
  </si>
  <si>
    <t>024</t>
  </si>
  <si>
    <t>VK 018</t>
  </si>
  <si>
    <t>VK134</t>
  </si>
  <si>
    <t>025</t>
  </si>
  <si>
    <t>VK 004</t>
  </si>
  <si>
    <t>VK136</t>
  </si>
  <si>
    <t>026</t>
  </si>
  <si>
    <t>VK 017</t>
  </si>
  <si>
    <t>VK186</t>
  </si>
  <si>
    <t>028</t>
  </si>
  <si>
    <t>VK 002</t>
  </si>
  <si>
    <t>VK112</t>
  </si>
  <si>
    <t>029</t>
  </si>
  <si>
    <t>VK 011</t>
  </si>
  <si>
    <t>VK111</t>
  </si>
  <si>
    <t>030</t>
  </si>
  <si>
    <t>VK 005</t>
  </si>
  <si>
    <t>VK109</t>
  </si>
  <si>
    <t>031</t>
  </si>
  <si>
    <t>VK 009</t>
  </si>
  <si>
    <t>VK110</t>
  </si>
  <si>
    <t>033</t>
  </si>
  <si>
    <t>VK170</t>
  </si>
  <si>
    <t>034</t>
  </si>
  <si>
    <t>VK171</t>
  </si>
  <si>
    <t>035</t>
  </si>
  <si>
    <t>VK169</t>
  </si>
  <si>
    <t>036</t>
  </si>
  <si>
    <t>VK172</t>
  </si>
  <si>
    <t>037</t>
  </si>
  <si>
    <t>VK195</t>
  </si>
  <si>
    <t>038</t>
  </si>
  <si>
    <t>VK194</t>
  </si>
  <si>
    <t>039</t>
  </si>
  <si>
    <t>VK193</t>
  </si>
  <si>
    <t>040</t>
  </si>
  <si>
    <t>VK196</t>
  </si>
  <si>
    <t>VK115</t>
  </si>
  <si>
    <t>VK116</t>
  </si>
  <si>
    <t>VK129</t>
  </si>
  <si>
    <t>VK188</t>
  </si>
  <si>
    <t>VK187</t>
  </si>
  <si>
    <t>VK185</t>
  </si>
  <si>
    <t>VK130</t>
  </si>
  <si>
    <t>VK132</t>
  </si>
  <si>
    <t>VK131</t>
  </si>
  <si>
    <t>Sao Paulo Tunnel</t>
  </si>
  <si>
    <t>VK184</t>
  </si>
  <si>
    <t>0948</t>
  </si>
  <si>
    <t>Sao Paulo  (tunnel)</t>
  </si>
  <si>
    <t>VK182</t>
  </si>
  <si>
    <t>0937</t>
  </si>
  <si>
    <t>VK181</t>
  </si>
  <si>
    <t>0930</t>
  </si>
  <si>
    <t>VK138</t>
  </si>
  <si>
    <t>VK114</t>
  </si>
  <si>
    <t>S.J. Campos</t>
  </si>
  <si>
    <t>VK160</t>
  </si>
  <si>
    <t>VK158</t>
  </si>
  <si>
    <t>VK127</t>
  </si>
  <si>
    <t>VK189</t>
  </si>
  <si>
    <t>0945</t>
  </si>
  <si>
    <t>VK123</t>
  </si>
  <si>
    <t>VK121</t>
  </si>
  <si>
    <t>VK122</t>
  </si>
  <si>
    <t>VK124</t>
  </si>
  <si>
    <t>VK159</t>
  </si>
  <si>
    <t>S.J. Campos, sun</t>
  </si>
  <si>
    <t>BRAZIL Flights</t>
  </si>
  <si>
    <t>D.Ward</t>
  </si>
  <si>
    <t>Can SN</t>
  </si>
  <si>
    <t xml:space="preserve">     Time</t>
  </si>
  <si>
    <t>CO2*</t>
  </si>
  <si>
    <t>COTV415</t>
  </si>
  <si>
    <t>COBZ89</t>
  </si>
  <si>
    <t>COBZ161</t>
  </si>
  <si>
    <t>COMK015</t>
  </si>
  <si>
    <t>CO106</t>
  </si>
  <si>
    <t>COBZ141</t>
  </si>
  <si>
    <t>COBZ158</t>
  </si>
  <si>
    <t>COBZ137</t>
  </si>
  <si>
    <t>COBZ131</t>
  </si>
  <si>
    <t>COTV009</t>
  </si>
  <si>
    <t>COBZ399</t>
  </si>
  <si>
    <t>COBZ416</t>
  </si>
  <si>
    <t>CO45</t>
  </si>
  <si>
    <t>COTV902</t>
  </si>
  <si>
    <t>CO67</t>
  </si>
  <si>
    <t>COBZ413</t>
  </si>
  <si>
    <t>COV135</t>
  </si>
  <si>
    <t>COTV099</t>
  </si>
  <si>
    <t>COV141</t>
  </si>
  <si>
    <t>CO41</t>
  </si>
  <si>
    <t>COBZ495</t>
  </si>
  <si>
    <t>TV824</t>
  </si>
  <si>
    <t>COBZ114</t>
  </si>
  <si>
    <t>COBZ415</t>
  </si>
  <si>
    <t>COBZ148</t>
  </si>
  <si>
    <t>COTV851</t>
  </si>
  <si>
    <t>COTV503</t>
  </si>
  <si>
    <t>COBZ454</t>
  </si>
  <si>
    <t>COBZ305</t>
  </si>
  <si>
    <t>COBZ351</t>
  </si>
  <si>
    <t>COTV942</t>
  </si>
  <si>
    <t>COTV560</t>
  </si>
  <si>
    <t>COBZ679</t>
  </si>
  <si>
    <t>CO54</t>
  </si>
  <si>
    <t>COTV593</t>
  </si>
  <si>
    <t>BZ126</t>
  </si>
  <si>
    <t>COTV675</t>
  </si>
  <si>
    <t>COBZ013</t>
  </si>
  <si>
    <t>COTV634</t>
  </si>
  <si>
    <t>COV215</t>
  </si>
  <si>
    <t>TV930</t>
  </si>
  <si>
    <t>COBZ596</t>
  </si>
  <si>
    <t>COBZ462</t>
  </si>
  <si>
    <t>COCZ162</t>
  </si>
  <si>
    <t>CO71</t>
  </si>
  <si>
    <t>COTV451</t>
  </si>
  <si>
    <t>COBZ155</t>
  </si>
  <si>
    <t>COBZ465</t>
  </si>
  <si>
    <t>COBZ154</t>
  </si>
  <si>
    <t>COTV534</t>
  </si>
  <si>
    <t>COBZ490</t>
  </si>
  <si>
    <t>COBZ598</t>
  </si>
  <si>
    <t>COP125</t>
  </si>
  <si>
    <t>COBZ323</t>
  </si>
  <si>
    <t>COBZ345</t>
  </si>
  <si>
    <t>COTV348</t>
  </si>
  <si>
    <t>COTV184</t>
  </si>
  <si>
    <t>COTV870</t>
  </si>
  <si>
    <t>COBZ289</t>
  </si>
  <si>
    <t>BZ286</t>
  </si>
  <si>
    <t>COTV738</t>
  </si>
  <si>
    <t>COBZ311</t>
  </si>
  <si>
    <t>COBZ223</t>
  </si>
  <si>
    <t>COTV975</t>
  </si>
  <si>
    <t>COTV859</t>
  </si>
  <si>
    <t>COBZ509</t>
  </si>
  <si>
    <t>COBZ501</t>
  </si>
  <si>
    <t>COBZ301</t>
  </si>
  <si>
    <t>COTV559</t>
  </si>
  <si>
    <t>COBZ212</t>
  </si>
  <si>
    <t>CAJON PASS 1987</t>
  </si>
  <si>
    <t>I</t>
  </si>
  <si>
    <t>SCENES Program</t>
  </si>
  <si>
    <t>0300</t>
  </si>
  <si>
    <t>CQ125</t>
  </si>
  <si>
    <t>CQ106</t>
  </si>
  <si>
    <t>CQ009</t>
  </si>
  <si>
    <t>CQ011</t>
  </si>
  <si>
    <t>CQ010</t>
  </si>
  <si>
    <t>CQ219</t>
  </si>
  <si>
    <t>CQ220</t>
  </si>
  <si>
    <t>CQ221</t>
  </si>
  <si>
    <t>CQ222</t>
  </si>
  <si>
    <t>CQ132</t>
  </si>
  <si>
    <t>CQ135</t>
  </si>
  <si>
    <t>CQ387</t>
  </si>
  <si>
    <t>After new lines</t>
  </si>
  <si>
    <t>CQ385</t>
  </si>
  <si>
    <t>CQ388</t>
  </si>
  <si>
    <t>Ambient (outside)</t>
  </si>
  <si>
    <t>CQ386</t>
  </si>
  <si>
    <t>Inside</t>
  </si>
  <si>
    <t>CQ160</t>
  </si>
  <si>
    <t>CQ158</t>
  </si>
  <si>
    <t>Outside</t>
  </si>
  <si>
    <t>CQ159</t>
  </si>
  <si>
    <t>Test sample</t>
  </si>
  <si>
    <t>CQ157</t>
  </si>
  <si>
    <t>Clean air run</t>
  </si>
  <si>
    <t>CQ194</t>
  </si>
  <si>
    <t>CQ191</t>
  </si>
  <si>
    <t>CQ289</t>
  </si>
  <si>
    <t>CQ183</t>
  </si>
  <si>
    <t>CQ111</t>
  </si>
  <si>
    <t>CT</t>
  </si>
  <si>
    <t>CQ408</t>
  </si>
  <si>
    <t>CQ406</t>
  </si>
  <si>
    <t>CQ407</t>
  </si>
  <si>
    <t>CQ414</t>
  </si>
  <si>
    <t>CQ171</t>
  </si>
  <si>
    <t>Upwind forest</t>
  </si>
  <si>
    <t>CQ469</t>
  </si>
  <si>
    <t>Std</t>
  </si>
  <si>
    <t>COZUMEL, MEXICO</t>
  </si>
  <si>
    <t>Dry Season:  over half the trees without leaves</t>
  </si>
  <si>
    <t>Temperature about 80 (75-85) F.  Wind always from the east across the island.</t>
  </si>
  <si>
    <t>1</t>
  </si>
  <si>
    <t>TV685</t>
  </si>
  <si>
    <t>1530</t>
  </si>
  <si>
    <t>S. Road</t>
  </si>
  <si>
    <t>2</t>
  </si>
  <si>
    <t>B256</t>
  </si>
  <si>
    <t>1540</t>
  </si>
  <si>
    <t>3</t>
  </si>
  <si>
    <t>V150</t>
  </si>
  <si>
    <t>1545</t>
  </si>
  <si>
    <t>Rd/lighthouse ocean</t>
  </si>
  <si>
    <t>4</t>
  </si>
  <si>
    <t>B103</t>
  </si>
  <si>
    <t>1600</t>
  </si>
  <si>
    <t>Celarin coast</t>
  </si>
  <si>
    <t>5</t>
  </si>
  <si>
    <t>TV750</t>
  </si>
  <si>
    <t>1632</t>
  </si>
  <si>
    <t>1st beach</t>
  </si>
  <si>
    <t>6</t>
  </si>
  <si>
    <t>V243</t>
  </si>
  <si>
    <t>1637</t>
  </si>
  <si>
    <t>2nd beach</t>
  </si>
  <si>
    <t>7</t>
  </si>
  <si>
    <t>TV568</t>
  </si>
  <si>
    <t>1700</t>
  </si>
  <si>
    <t>Return along bay</t>
  </si>
  <si>
    <t>8</t>
  </si>
  <si>
    <t>TV653</t>
  </si>
  <si>
    <t>1710</t>
  </si>
  <si>
    <t>Return S. Road</t>
  </si>
  <si>
    <t>10</t>
  </si>
  <si>
    <t>TV745</t>
  </si>
  <si>
    <t>At end road, Chnk. Dev</t>
  </si>
  <si>
    <t>11</t>
  </si>
  <si>
    <t>Going out/moving, wind</t>
  </si>
  <si>
    <t>12</t>
  </si>
  <si>
    <t>TV908</t>
  </si>
  <si>
    <t>1208</t>
  </si>
  <si>
    <t>Ruins #7 well, middle of the island</t>
  </si>
  <si>
    <t>13</t>
  </si>
  <si>
    <t>TV945</t>
  </si>
  <si>
    <t>1230</t>
  </si>
  <si>
    <t>#34 well</t>
  </si>
  <si>
    <t>14</t>
  </si>
  <si>
    <t>TV900</t>
  </si>
  <si>
    <t>1245</t>
  </si>
  <si>
    <t>#25 well</t>
  </si>
  <si>
    <t>15</t>
  </si>
  <si>
    <t>TV941</t>
  </si>
  <si>
    <t>1300</t>
  </si>
  <si>
    <t>Moving N-S, access road</t>
  </si>
  <si>
    <t>9</t>
  </si>
  <si>
    <t>TV205</t>
  </si>
  <si>
    <t>Side road in Chankanar Development</t>
  </si>
  <si>
    <t>COZUMEL 1987</t>
  </si>
  <si>
    <t>Off west coast of Cozumel about 1/2 mile, 2 miles north of San Francisco Beach</t>
  </si>
  <si>
    <t>Weather</t>
  </si>
  <si>
    <t>Overcast</t>
  </si>
  <si>
    <t>CHINA 1985 &amp; 1987 STUDIES</t>
  </si>
  <si>
    <t>AMBIENT CONCENTRATIONS NEAR RICE FIELDS AND BIOGAS PITS</t>
  </si>
  <si>
    <t>These data are also in biogaspits&amp;earlydata.wk4</t>
  </si>
  <si>
    <t>Background Concentrations</t>
  </si>
  <si>
    <t>id#</t>
  </si>
  <si>
    <t>Ethyl-</t>
  </si>
  <si>
    <t>(PPBV) -----&gt;</t>
  </si>
  <si>
    <t>&lt;---</t>
  </si>
  <si>
    <t>Ethyl Benzene</t>
  </si>
  <si>
    <t>Chengdu Hotel</t>
  </si>
  <si>
    <t>Background</t>
  </si>
  <si>
    <t>LESHAN CTY HOTEL</t>
  </si>
  <si>
    <t>Ag Bldg Rd</t>
  </si>
  <si>
    <t>Deadhorse, Alaska</t>
  </si>
  <si>
    <t>Ron Ferek - LEADEX</t>
  </si>
  <si>
    <t xml:space="preserve"> </t>
  </si>
  <si>
    <t xml:space="preserve">DISCOVERY BAY </t>
  </si>
  <si>
    <t>STI</t>
  </si>
  <si>
    <t>CQ213</t>
  </si>
  <si>
    <t>CQ453</t>
  </si>
  <si>
    <t>CQ416</t>
  </si>
  <si>
    <t>CQ255</t>
  </si>
  <si>
    <t>CQ365</t>
  </si>
  <si>
    <t>CQ336</t>
  </si>
  <si>
    <t>CQ362</t>
  </si>
  <si>
    <t>CQ417</t>
  </si>
  <si>
    <t>CQ451</t>
  </si>
  <si>
    <t>CQ452</t>
  </si>
  <si>
    <t>CQ454</t>
  </si>
  <si>
    <t>CQ253</t>
  </si>
  <si>
    <t>CQ051</t>
  </si>
  <si>
    <t>CQ176</t>
  </si>
  <si>
    <t>CQ314</t>
  </si>
  <si>
    <t>DUCKE FOREST, BRAZIL - Met Site</t>
  </si>
  <si>
    <t>Also included in ABLE surface Data Set</t>
  </si>
  <si>
    <t>N/A</t>
  </si>
  <si>
    <t>Duckebkgd</t>
  </si>
  <si>
    <t>FOREST BACKGROUND AIR SAMPLES, DUCKE</t>
  </si>
  <si>
    <t>Miscellaneous MET-SITE Samples</t>
  </si>
  <si>
    <t>Background Forest Air Samples 10 Inches Above Ground</t>
  </si>
  <si>
    <t>Dye-3, Greenland</t>
  </si>
  <si>
    <t>Cliff Davidson</t>
  </si>
  <si>
    <t>mph</t>
  </si>
  <si>
    <t>Start</t>
  </si>
  <si>
    <t xml:space="preserve">  C</t>
  </si>
  <si>
    <t>dir</t>
  </si>
  <si>
    <t>--</t>
  </si>
  <si>
    <t>3-6</t>
  </si>
  <si>
    <t>7-10</t>
  </si>
  <si>
    <t>-6F</t>
  </si>
  <si>
    <t>Kt 2-4</t>
  </si>
  <si>
    <t>8F</t>
  </si>
  <si>
    <t>Kt 12</t>
  </si>
  <si>
    <t>18F</t>
  </si>
  <si>
    <t>Kt 15</t>
  </si>
  <si>
    <t>0F</t>
  </si>
  <si>
    <t>Kt 8</t>
  </si>
  <si>
    <t>3-7</t>
  </si>
  <si>
    <t>13-15</t>
  </si>
  <si>
    <t>20-25</t>
  </si>
  <si>
    <t>10-15</t>
  </si>
  <si>
    <t>0-13</t>
  </si>
  <si>
    <t>2-3</t>
  </si>
  <si>
    <t>12-14</t>
  </si>
  <si>
    <t>0-2</t>
  </si>
  <si>
    <t>12-15</t>
  </si>
  <si>
    <t>9-9.5</t>
  </si>
  <si>
    <t>6-10</t>
  </si>
  <si>
    <t>15-18</t>
  </si>
  <si>
    <t>5-7</t>
  </si>
  <si>
    <t>3-5</t>
  </si>
  <si>
    <t>6-8</t>
  </si>
  <si>
    <t>Calm 2-3</t>
  </si>
  <si>
    <t>~-5/</t>
  </si>
  <si>
    <t>~7-10</t>
  </si>
  <si>
    <t>GISP-II  Summit, Greenland</t>
  </si>
  <si>
    <t>(mph)</t>
  </si>
  <si>
    <t>COTV522</t>
  </si>
  <si>
    <t>0-5</t>
  </si>
  <si>
    <t>CO102</t>
  </si>
  <si>
    <t>2-4</t>
  </si>
  <si>
    <t>COB001</t>
  </si>
  <si>
    <t>COB399</t>
  </si>
  <si>
    <t>COCZ151</t>
  </si>
  <si>
    <t>COV234</t>
  </si>
  <si>
    <t>~10-15</t>
  </si>
  <si>
    <t>COTV110</t>
  </si>
  <si>
    <t>4-6</t>
  </si>
  <si>
    <t>TV725</t>
  </si>
  <si>
    <t>COB144</t>
  </si>
  <si>
    <t>7-8</t>
  </si>
  <si>
    <t>Speed kt</t>
  </si>
  <si>
    <t>GDO 124</t>
  </si>
  <si>
    <t>GDO 126</t>
  </si>
  <si>
    <t>GDO 128</t>
  </si>
  <si>
    <t>11 mph</t>
  </si>
  <si>
    <t>GDO 130</t>
  </si>
  <si>
    <t>10 mph</t>
  </si>
  <si>
    <t>GDO108</t>
  </si>
  <si>
    <t>GDO110</t>
  </si>
  <si>
    <t>GDO112</t>
  </si>
  <si>
    <t>?</t>
  </si>
  <si>
    <t>GD0114</t>
  </si>
  <si>
    <t>5-6</t>
  </si>
  <si>
    <t>GDO132</t>
  </si>
  <si>
    <t>5 mph</t>
  </si>
  <si>
    <t>GDO134</t>
  </si>
  <si>
    <t>GDO136</t>
  </si>
  <si>
    <t>16 mph</t>
  </si>
  <si>
    <t>GDO138</t>
  </si>
  <si>
    <t>3-6 mph</t>
  </si>
  <si>
    <t>GDO100</t>
  </si>
  <si>
    <t>10-13 mph</t>
  </si>
  <si>
    <t>GDO102</t>
  </si>
  <si>
    <t>9-13 mph</t>
  </si>
  <si>
    <t>GDO104</t>
  </si>
  <si>
    <t>5-6 mph</t>
  </si>
  <si>
    <t>GDO106</t>
  </si>
  <si>
    <t>GDO 116</t>
  </si>
  <si>
    <t>13-16</t>
  </si>
  <si>
    <t>GDO 118</t>
  </si>
  <si>
    <t>9-13</t>
  </si>
  <si>
    <t>GDO 120</t>
  </si>
  <si>
    <t>1-3</t>
  </si>
  <si>
    <t>GDO 122</t>
  </si>
  <si>
    <t>10-13</t>
  </si>
  <si>
    <t>SUMMIT, GREENLAND -- ATM    1991</t>
  </si>
  <si>
    <t>10-12</t>
  </si>
  <si>
    <t>1-2</t>
  </si>
  <si>
    <t>17-18</t>
  </si>
  <si>
    <t>8-10</t>
  </si>
  <si>
    <t>280-300</t>
  </si>
  <si>
    <t>16-17</t>
  </si>
  <si>
    <t xml:space="preserve">GLEN CANYON   1987          </t>
  </si>
  <si>
    <t>SCENES</t>
  </si>
  <si>
    <t>VF825</t>
  </si>
  <si>
    <t>VF826</t>
  </si>
  <si>
    <t>VF827</t>
  </si>
  <si>
    <t>VF828</t>
  </si>
  <si>
    <t>VF829</t>
  </si>
  <si>
    <t>VF830</t>
  </si>
  <si>
    <t>VF831</t>
  </si>
  <si>
    <t>VF832</t>
  </si>
  <si>
    <t>VF833</t>
  </si>
  <si>
    <t>VF834</t>
  </si>
  <si>
    <t>VF835</t>
  </si>
  <si>
    <t>VF839</t>
  </si>
  <si>
    <t>VF840</t>
  </si>
  <si>
    <t>VF836</t>
  </si>
  <si>
    <t>VF838</t>
  </si>
  <si>
    <t>VF724</t>
  </si>
  <si>
    <t>VF841</t>
  </si>
  <si>
    <t>VF842</t>
  </si>
  <si>
    <t>VF787</t>
  </si>
  <si>
    <t>VF843</t>
  </si>
  <si>
    <t>VF944</t>
  </si>
  <si>
    <t>VF845</t>
  </si>
  <si>
    <t>VF846</t>
  </si>
  <si>
    <t>VF847</t>
  </si>
  <si>
    <t>VF848</t>
  </si>
  <si>
    <t>VF849</t>
  </si>
  <si>
    <t>VF657</t>
  </si>
  <si>
    <t>VF850</t>
  </si>
  <si>
    <t>VF851</t>
  </si>
  <si>
    <t>VF852</t>
  </si>
  <si>
    <t>VF853</t>
  </si>
  <si>
    <t>VF854</t>
  </si>
  <si>
    <t>VF855</t>
  </si>
  <si>
    <t>VF856</t>
  </si>
  <si>
    <t>VF857</t>
  </si>
  <si>
    <t>VF718</t>
  </si>
  <si>
    <t>VF721</t>
  </si>
  <si>
    <t>VF858</t>
  </si>
  <si>
    <t>VF859</t>
  </si>
  <si>
    <t>VF860</t>
  </si>
  <si>
    <t>VF861</t>
  </si>
  <si>
    <t>VF862</t>
  </si>
  <si>
    <t>VF863</t>
  </si>
  <si>
    <t>VF864</t>
  </si>
  <si>
    <t>VF865</t>
  </si>
  <si>
    <t>VF652</t>
  </si>
  <si>
    <t>VF866</t>
  </si>
  <si>
    <t>VF868</t>
  </si>
  <si>
    <t>VF898</t>
  </si>
  <si>
    <t>VF897</t>
  </si>
  <si>
    <t>VF900</t>
  </si>
  <si>
    <t>VF788</t>
  </si>
  <si>
    <t>VF913</t>
  </si>
  <si>
    <t>VF914</t>
  </si>
  <si>
    <t>VF915</t>
  </si>
  <si>
    <t>VF916</t>
  </si>
  <si>
    <t>VF909</t>
  </si>
  <si>
    <t>VF910</t>
  </si>
  <si>
    <t>VF115</t>
  </si>
  <si>
    <t>VF911</t>
  </si>
  <si>
    <t>VF918</t>
  </si>
  <si>
    <t>VF912</t>
  </si>
  <si>
    <t>VF658</t>
  </si>
  <si>
    <t>VF660</t>
  </si>
  <si>
    <t>VF683</t>
  </si>
  <si>
    <t>VF719</t>
  </si>
  <si>
    <t>1326</t>
  </si>
  <si>
    <t>Beach</t>
  </si>
  <si>
    <t>1344</t>
  </si>
  <si>
    <t>Jungle</t>
  </si>
  <si>
    <t>1353</t>
  </si>
  <si>
    <t>1410</t>
  </si>
  <si>
    <t>Guangzhou - Rural</t>
  </si>
  <si>
    <t>These data are also included in Beijing&amp;Guganzhou.WK4</t>
  </si>
  <si>
    <t>SPECIAL HAWAII SAMPLES 1982</t>
  </si>
  <si>
    <t>CK 12000 ft.</t>
  </si>
  <si>
    <t>500 ft. Wainei</t>
  </si>
  <si>
    <t>5 mi. off CK</t>
  </si>
  <si>
    <t>CK (dirty)</t>
  </si>
  <si>
    <t>Wainei 500 ft.</t>
  </si>
  <si>
    <t>N.Pt. 1000 ft.</t>
  </si>
  <si>
    <t>CK 11,000 ft.</t>
  </si>
  <si>
    <t>10 mi. off CK; 2000 ft.</t>
  </si>
  <si>
    <t>Off CK 5 miles; 100 ft.</t>
  </si>
  <si>
    <t>Off CK, 1900 ft.</t>
  </si>
  <si>
    <t>N. Pt., 11,000 ft.</t>
  </si>
  <si>
    <t>N.Pt., 11,000 ft.</t>
  </si>
  <si>
    <t>CK, 100 ft.</t>
  </si>
  <si>
    <t>N.Pt. 200 ft.</t>
  </si>
  <si>
    <t>N.Pt. 100 ft.</t>
  </si>
  <si>
    <t>N.Pt. 11,000 ft.</t>
  </si>
  <si>
    <t>CK in cloud base 3,000 ft.</t>
  </si>
  <si>
    <t>NP in cloud base 600 ft.</t>
  </si>
  <si>
    <t>Off CK 500 ft.</t>
  </si>
  <si>
    <t>MLO down slope</t>
  </si>
  <si>
    <t>Cloud base 700 ft.</t>
  </si>
  <si>
    <t>200 ft. over shore S.Pt.</t>
  </si>
  <si>
    <t>Kona cloud base 4800 ft.</t>
  </si>
  <si>
    <t>Kalapona in cloud 2700 ft.</t>
  </si>
  <si>
    <t>Kona coast 200 ft.</t>
  </si>
  <si>
    <t>So.Pt. 100 ft.</t>
  </si>
  <si>
    <t>Kona coast 100 ft. over water</t>
  </si>
  <si>
    <t>HOPI POINT, ARIZONA</t>
  </si>
  <si>
    <t>*888</t>
  </si>
  <si>
    <t>CQ146</t>
  </si>
  <si>
    <t>1100</t>
  </si>
  <si>
    <t>CQ145</t>
  </si>
  <si>
    <t>CQ147</t>
  </si>
  <si>
    <t>CQ107</t>
  </si>
  <si>
    <t>CQ153</t>
  </si>
  <si>
    <t>CQ154</t>
  </si>
  <si>
    <t>CQ155</t>
  </si>
  <si>
    <t>CQ156</t>
  </si>
  <si>
    <t>CQ165</t>
  </si>
  <si>
    <t>CQ167</t>
  </si>
  <si>
    <t>CQ288</t>
  </si>
  <si>
    <t>CQ224</t>
  </si>
  <si>
    <t>CQ226</t>
  </si>
  <si>
    <t>CQ300</t>
  </si>
  <si>
    <t>CQ301</t>
  </si>
  <si>
    <t>CQ302</t>
  </si>
  <si>
    <t>CQ303</t>
  </si>
  <si>
    <t>CQ389</t>
  </si>
  <si>
    <t>CQ390</t>
  </si>
  <si>
    <t>CQ391</t>
  </si>
  <si>
    <t>CQ392</t>
  </si>
  <si>
    <t>CQ440</t>
  </si>
  <si>
    <t>CQ441</t>
  </si>
  <si>
    <t>CQ442</t>
  </si>
  <si>
    <t>CQ443</t>
  </si>
  <si>
    <t>Lo</t>
  </si>
  <si>
    <t>CQ102</t>
  </si>
  <si>
    <t>CQ131</t>
  </si>
  <si>
    <t>CQ096</t>
  </si>
  <si>
    <t>CQ104</t>
  </si>
  <si>
    <t>CQ091</t>
  </si>
  <si>
    <t>CQ187</t>
  </si>
  <si>
    <t>CQ448</t>
  </si>
  <si>
    <t>CQ449</t>
  </si>
  <si>
    <t>CQ450</t>
  </si>
  <si>
    <t>CQ455</t>
  </si>
  <si>
    <t>CQ456</t>
  </si>
  <si>
    <t>CQ103</t>
  </si>
  <si>
    <t>CQ517</t>
  </si>
  <si>
    <t>CQ518</t>
  </si>
  <si>
    <t>CQ520</t>
  </si>
  <si>
    <t>CQ521</t>
  </si>
  <si>
    <t>CQ522</t>
  </si>
  <si>
    <t>CQ523</t>
  </si>
  <si>
    <t>CQ524</t>
  </si>
  <si>
    <t>CQ525</t>
  </si>
  <si>
    <t>CQ625</t>
  </si>
  <si>
    <t>CQ527</t>
  </si>
  <si>
    <t>VF611</t>
  </si>
  <si>
    <t>VF553</t>
  </si>
  <si>
    <t>VF802</t>
  </si>
  <si>
    <t>CQ331</t>
  </si>
  <si>
    <t>CQ332</t>
  </si>
  <si>
    <t>IREFOSS, ICELAND</t>
  </si>
  <si>
    <t>AVERGES</t>
  </si>
  <si>
    <t>JUNGFRAUJOCH (SWITZERLAND)</t>
  </si>
  <si>
    <t>(kt)</t>
  </si>
  <si>
    <t>KEAHOLE, HAWAII</t>
  </si>
  <si>
    <t>JM-1</t>
  </si>
  <si>
    <t>JM-2</t>
  </si>
  <si>
    <t>0700</t>
  </si>
  <si>
    <t>JM-3</t>
  </si>
  <si>
    <t>JM-4</t>
  </si>
  <si>
    <t>JM-5</t>
  </si>
  <si>
    <t>JM-6</t>
  </si>
  <si>
    <t>KUWAIT - SUMMER 1991</t>
  </si>
  <si>
    <t>University of Washington</t>
  </si>
  <si>
    <t>Sample Notes</t>
  </si>
  <si>
    <t>ft.</t>
  </si>
  <si>
    <t>Flight 1477</t>
  </si>
  <si>
    <t>Flight 1480</t>
  </si>
  <si>
    <t>RF7</t>
  </si>
  <si>
    <t>Clear (background</t>
  </si>
  <si>
    <t>sample</t>
  </si>
  <si>
    <t>UW Measurements at</t>
  </si>
  <si>
    <t>time can was filled:</t>
  </si>
  <si>
    <t>Flight 1481</t>
  </si>
  <si>
    <t>CO 0.1 ppm; CO2 347 ppm</t>
  </si>
  <si>
    <t>RF8</t>
  </si>
  <si>
    <t>Haze, top of smoke layer</t>
  </si>
  <si>
    <t>over Kuwait</t>
  </si>
  <si>
    <t>Flight 1482</t>
  </si>
  <si>
    <t>RF5</t>
  </si>
  <si>
    <t>Haze, smoke over Kuwait</t>
  </si>
  <si>
    <t>UW measurements at</t>
  </si>
  <si>
    <t>CO2 380 ppm; SO2 100 ppb</t>
  </si>
  <si>
    <t>Flight 1484</t>
  </si>
  <si>
    <t>RF6</t>
  </si>
  <si>
    <t>Haze, smoke over Arabian</t>
  </si>
  <si>
    <t>gulf. CNC 2000/cc</t>
  </si>
  <si>
    <t>RF13</t>
  </si>
  <si>
    <t>Clear, background sample</t>
  </si>
  <si>
    <t>UW measurements in bag</t>
  </si>
  <si>
    <t>sample: CO 0.2 ppm</t>
  </si>
  <si>
    <t>Flight 1485</t>
  </si>
  <si>
    <t>CO2 356 ppm</t>
  </si>
  <si>
    <t>RF14</t>
  </si>
  <si>
    <t>Haze; plume sample at</t>
  </si>
  <si>
    <t>Flight 1486</t>
  </si>
  <si>
    <t>8000 ft. CNC 2000/cc</t>
  </si>
  <si>
    <t>UW bag sample measurements</t>
  </si>
  <si>
    <t>CO2 366 ppm</t>
  </si>
  <si>
    <t>RF15</t>
  </si>
  <si>
    <t>4000 ft.  UW bag sample</t>
  </si>
  <si>
    <t>measurement: CO2 390 ppm</t>
  </si>
  <si>
    <t>Flight 1481 (continued)</t>
  </si>
  <si>
    <t>RF16</t>
  </si>
  <si>
    <t>Haze, plume sample</t>
  </si>
  <si>
    <t>Flight 1487</t>
  </si>
  <si>
    <t>UW bag measurements</t>
  </si>
  <si>
    <t>CO2 385 ppm; SO2 ~100 ppb</t>
  </si>
  <si>
    <t>Flight 1488</t>
  </si>
  <si>
    <t>RF1</t>
  </si>
  <si>
    <t>Haze, smoke from Kuwait</t>
  </si>
  <si>
    <t>oil fires</t>
  </si>
  <si>
    <t>SO2 ~ 100 ppb</t>
  </si>
  <si>
    <t>RF2</t>
  </si>
  <si>
    <t>Haze, smoke sample; sample</t>
  </si>
  <si>
    <t>in plume ESE of Bahrain</t>
  </si>
  <si>
    <t>Flight 1489</t>
  </si>
  <si>
    <t>RF3</t>
  </si>
  <si>
    <t xml:space="preserve">Clear; ambient sample </t>
  </si>
  <si>
    <t>above plume. UW measure-</t>
  </si>
  <si>
    <t>ments at time of sample:</t>
  </si>
  <si>
    <t>CO 0.1 ppm, CO2 374 ppm</t>
  </si>
  <si>
    <t>RF4</t>
  </si>
  <si>
    <t>Haze, smoke sample; UW</t>
  </si>
  <si>
    <t>measurements at time of</t>
  </si>
  <si>
    <t>sample: CO 0.0 ppm,</t>
  </si>
  <si>
    <t>Flight 1490</t>
  </si>
  <si>
    <t>CO2 384 ppm</t>
  </si>
  <si>
    <t>RF81</t>
  </si>
  <si>
    <t>sample:  CO 0.1 ppm,</t>
  </si>
  <si>
    <t>CO2 392 ppm</t>
  </si>
  <si>
    <t>RF82</t>
  </si>
  <si>
    <t>Flight 1491</t>
  </si>
  <si>
    <t>sample:  CO 0.3 ppm,</t>
  </si>
  <si>
    <t>CO2 400 ppm</t>
  </si>
  <si>
    <t>Flight 1482 (continued)</t>
  </si>
  <si>
    <t>RF83</t>
  </si>
  <si>
    <t>sample:  CO 0.2 ppm,</t>
  </si>
  <si>
    <t>CO2 385 ppm</t>
  </si>
  <si>
    <t>RF84</t>
  </si>
  <si>
    <t>measuremets at time of</t>
  </si>
  <si>
    <t>sample:  CO 0.6 ppm,</t>
  </si>
  <si>
    <t>RF33</t>
  </si>
  <si>
    <t>Haze, smoke sample (sample</t>
  </si>
  <si>
    <t>plume as for can RF 84)</t>
  </si>
  <si>
    <t>UW measurements at time of</t>
  </si>
  <si>
    <t>sample:  CO 0.7 ppm,</t>
  </si>
  <si>
    <t>CO2 399 ppm</t>
  </si>
  <si>
    <t>RF34</t>
  </si>
  <si>
    <t>sample:  CO 0.5 ppm,</t>
  </si>
  <si>
    <t>CO2 370 ppm</t>
  </si>
  <si>
    <t>RF35</t>
  </si>
  <si>
    <t>plume as for can RF 34)</t>
  </si>
  <si>
    <t>CO2 361 ppm</t>
  </si>
  <si>
    <t>RF36</t>
  </si>
  <si>
    <t>Haze, smoke sample (white</t>
  </si>
  <si>
    <t>plume); UW measurements</t>
  </si>
  <si>
    <t>at time of sample:  CO 0.8</t>
  </si>
  <si>
    <t>ppm, CO2 368 ppm</t>
  </si>
  <si>
    <t>RF41</t>
  </si>
  <si>
    <t>sample time:  CO2 376</t>
  </si>
  <si>
    <t>ppm; CO 1.1 ppm</t>
  </si>
  <si>
    <t>Flight 1484 (continued)</t>
  </si>
  <si>
    <t>RF42</t>
  </si>
  <si>
    <t>Haze, main plume sample.</t>
  </si>
  <si>
    <t>UW measurements from</t>
  </si>
  <si>
    <t>bag sample:  CO2 370 ppm,</t>
  </si>
  <si>
    <t>CO 1.2 ppm</t>
  </si>
  <si>
    <t>RF43</t>
  </si>
  <si>
    <t>Haze, plume sample 20 mi.</t>
  </si>
  <si>
    <t>from fire at 5000 ft.</t>
  </si>
  <si>
    <t xml:space="preserve">sample: CO3 397 ppm, </t>
  </si>
  <si>
    <t>CO 1.4 ppm</t>
  </si>
  <si>
    <t>RF44</t>
  </si>
  <si>
    <t>Haze, plume sample at</t>
  </si>
  <si>
    <t>8000 ft. UW measurements</t>
  </si>
  <si>
    <t>in bag sample:  CO2 389</t>
  </si>
  <si>
    <t>ppm, CO 0.2 ppm</t>
  </si>
  <si>
    <t>RF45</t>
  </si>
  <si>
    <t>5600 ft. UW measurements</t>
  </si>
  <si>
    <t>in bag sample:  CO2 413</t>
  </si>
  <si>
    <t>ppm, CO 0.0 ppm</t>
  </si>
  <si>
    <t>RF46</t>
  </si>
  <si>
    <t>3000 ft. UW measurements</t>
  </si>
  <si>
    <t>in bag sample:  CO 0.3</t>
  </si>
  <si>
    <t>ppm, CO2 440 ppm</t>
  </si>
  <si>
    <t>RF47</t>
  </si>
  <si>
    <t>3500 ft.  UW measurements</t>
  </si>
  <si>
    <t>in bag sample:  CO2 440</t>
  </si>
  <si>
    <t>ppm</t>
  </si>
  <si>
    <t>RF48</t>
  </si>
  <si>
    <t>UW measurement in bag</t>
  </si>
  <si>
    <t>sample: CO2 430 ppm</t>
  </si>
  <si>
    <t>* calibrated just before run</t>
  </si>
  <si>
    <t>Flight 1486 (continued)</t>
  </si>
  <si>
    <t>RF89</t>
  </si>
  <si>
    <t>UW bag sample measurement</t>
  </si>
  <si>
    <t>CO2 444 ppm</t>
  </si>
  <si>
    <t>RF90</t>
  </si>
  <si>
    <t>CO2 432 ppm</t>
  </si>
  <si>
    <t>RF91</t>
  </si>
  <si>
    <t>CO2 426 ppm        2nd day</t>
  </si>
  <si>
    <t>RF92</t>
  </si>
  <si>
    <t>CO2 443 ppm</t>
  </si>
  <si>
    <t>RF9</t>
  </si>
  <si>
    <t>CO2 413 ppm</t>
  </si>
  <si>
    <t>RF10</t>
  </si>
  <si>
    <t>CO2 419 ppm</t>
  </si>
  <si>
    <t>RF11</t>
  </si>
  <si>
    <t>CO2 429 ppm</t>
  </si>
  <si>
    <t>RF12</t>
  </si>
  <si>
    <t>CO2 355 ppm</t>
  </si>
  <si>
    <t>RF69</t>
  </si>
  <si>
    <t>2500 ft.  UW bag sample</t>
  </si>
  <si>
    <t>measurement: CO2 416 ppm</t>
  </si>
  <si>
    <t>RF70</t>
  </si>
  <si>
    <t>2700 ft.  UW bag sample</t>
  </si>
  <si>
    <t>measurement: CO2 420 ppm</t>
  </si>
  <si>
    <t>RF71</t>
  </si>
  <si>
    <t>measurement: CO2 422 ppm</t>
  </si>
  <si>
    <t>RF72</t>
  </si>
  <si>
    <t>Haze, black plume sample</t>
  </si>
  <si>
    <t>UW bag sample measurement:</t>
  </si>
  <si>
    <t>CO2 410 ppm</t>
  </si>
  <si>
    <t>RF49</t>
  </si>
  <si>
    <t>CO2 407 ppm</t>
  </si>
  <si>
    <t>RF50</t>
  </si>
  <si>
    <t>Haze, white plume sample</t>
  </si>
  <si>
    <t>CO2 439 ppm</t>
  </si>
  <si>
    <t>RF51</t>
  </si>
  <si>
    <t>CO2 430 ppm</t>
  </si>
  <si>
    <t>Flight 1488 (continued)</t>
  </si>
  <si>
    <t>RF52</t>
  </si>
  <si>
    <t xml:space="preserve">Haze, plume sample 20 mi. </t>
  </si>
  <si>
    <t>downwind at 3000 ft.</t>
  </si>
  <si>
    <t>CO2 372 ppm</t>
  </si>
  <si>
    <t>RF93</t>
  </si>
  <si>
    <t>Haze, plume sample; UW</t>
  </si>
  <si>
    <t>bag sample measurement:</t>
  </si>
  <si>
    <t>CO2 390 ppm</t>
  </si>
  <si>
    <t>RF94</t>
  </si>
  <si>
    <t>RF95</t>
  </si>
  <si>
    <t>CO2 369 ppm</t>
  </si>
  <si>
    <t>RF96</t>
  </si>
  <si>
    <t>below smoke; CO2 354 ppm</t>
  </si>
  <si>
    <t>RF29</t>
  </si>
  <si>
    <t>East of smoke; CO2 353 ppm</t>
  </si>
  <si>
    <t>RF30</t>
  </si>
  <si>
    <t>RF31</t>
  </si>
  <si>
    <t>CO2 398 ppm</t>
  </si>
  <si>
    <t>Flight 1489 (continued)</t>
  </si>
  <si>
    <t>RF32</t>
  </si>
  <si>
    <t>CO2 383 ppm</t>
  </si>
  <si>
    <t>RF21</t>
  </si>
  <si>
    <t>RF22</t>
  </si>
  <si>
    <t>Haze, large black plume</t>
  </si>
  <si>
    <t>sample; UW bag sample</t>
  </si>
  <si>
    <t>measurement: CO2 380 ppm</t>
  </si>
  <si>
    <t>RF23</t>
  </si>
  <si>
    <t>Haze, main plume sample</t>
  </si>
  <si>
    <t>at 5000 ft. UW bag sample</t>
  </si>
  <si>
    <t>measurement:  CO2 409 ppm</t>
  </si>
  <si>
    <t>RF24</t>
  </si>
  <si>
    <t>CO2 378 ppm</t>
  </si>
  <si>
    <t>RF77</t>
  </si>
  <si>
    <t>RF53</t>
  </si>
  <si>
    <t>Background, west of plume.</t>
  </si>
  <si>
    <t>CO2 420 ppm (should be</t>
  </si>
  <si>
    <t>~372 ppm)</t>
  </si>
  <si>
    <t>RF54</t>
  </si>
  <si>
    <t>Plume sample</t>
  </si>
  <si>
    <t>CO2 434 ppm</t>
  </si>
  <si>
    <t>Flight 1490 (continued)</t>
  </si>
  <si>
    <t>RF55</t>
  </si>
  <si>
    <t>CO2 431 ppm</t>
  </si>
  <si>
    <t>RF56</t>
  </si>
  <si>
    <t>CO2 442 ppm</t>
  </si>
  <si>
    <t>RF65</t>
  </si>
  <si>
    <t>Plume sample; CO2 412 ppm</t>
  </si>
  <si>
    <t>RF66</t>
  </si>
  <si>
    <t>Plume sample; CO2 420 ppm</t>
  </si>
  <si>
    <t>RF67</t>
  </si>
  <si>
    <t>RF68</t>
  </si>
  <si>
    <t>Plume sample; CO2 407 ppm</t>
  </si>
  <si>
    <t>RF78</t>
  </si>
  <si>
    <t>6500 ft. UW measurement in</t>
  </si>
  <si>
    <t>bag sample: CO2 387 ppm</t>
  </si>
  <si>
    <t>RF79</t>
  </si>
  <si>
    <t>5500 ft. UW measurement in</t>
  </si>
  <si>
    <t>bag sample: CO2 392 ppm</t>
  </si>
  <si>
    <t>Flight 1491 (continued)</t>
  </si>
  <si>
    <t>RF80</t>
  </si>
  <si>
    <t>4500 ft. UW measurement in</t>
  </si>
  <si>
    <t>bag sample: CO2 390 ppm</t>
  </si>
  <si>
    <t>RF97</t>
  </si>
  <si>
    <t>3500 ft. UW measurement in</t>
  </si>
  <si>
    <t>bag sample: CO2 455 ppm</t>
  </si>
  <si>
    <t>RF98</t>
  </si>
  <si>
    <t>2500 ft. UW measurement in</t>
  </si>
  <si>
    <t>bag sample: CO2 441 ppm</t>
  </si>
  <si>
    <t>RF99</t>
  </si>
  <si>
    <t>Haze, below plume sample</t>
  </si>
  <si>
    <t>at 1500 ft.</t>
  </si>
  <si>
    <t>RF100</t>
  </si>
  <si>
    <t>Haze, pool fire plume</t>
  </si>
  <si>
    <t>measurement:  CO2 380 ppm</t>
  </si>
  <si>
    <t>RF85</t>
  </si>
  <si>
    <t>Haze, Magwa plume sample</t>
  </si>
  <si>
    <t>UW bag measurement:</t>
  </si>
  <si>
    <t>CO2 364 ppm</t>
  </si>
  <si>
    <t>LANSDOWN, QUEENSLAND</t>
  </si>
  <si>
    <t>AVERAGE</t>
  </si>
  <si>
    <t>LAUREL HILL, PENNSYLVANIA</t>
  </si>
  <si>
    <t>Very clean air</t>
  </si>
  <si>
    <t>0750</t>
  </si>
  <si>
    <t>Visibility ~4</t>
  </si>
  <si>
    <t>0635</t>
  </si>
  <si>
    <t>In plume</t>
  </si>
  <si>
    <t>0655</t>
  </si>
  <si>
    <t>MARSHALL ISLAND SAMPLES</t>
  </si>
  <si>
    <t xml:space="preserve">Monthly Average Concentrations </t>
  </si>
  <si>
    <t>All Averaged</t>
  </si>
  <si>
    <t>stds</t>
  </si>
  <si>
    <t>NORWAY:  SHIP "M"</t>
  </si>
  <si>
    <t>SD</t>
  </si>
  <si>
    <t>NORWAY:  NY-ALESUND</t>
  </si>
  <si>
    <t>Monthly Average Concentrations</t>
  </si>
  <si>
    <t>Average of All</t>
  </si>
  <si>
    <t xml:space="preserve">PACHECO PASS   </t>
  </si>
  <si>
    <t>SJV-AUSPEX:</t>
  </si>
  <si>
    <t>RAX 011</t>
  </si>
  <si>
    <t>RAX 012</t>
  </si>
  <si>
    <t>14-16</t>
  </si>
  <si>
    <t>RAX 009</t>
  </si>
  <si>
    <t>RAX 001</t>
  </si>
  <si>
    <t>RAX 002</t>
  </si>
  <si>
    <t>RAX 004</t>
  </si>
  <si>
    <t>EAX 003</t>
  </si>
  <si>
    <t>EAX 147</t>
  </si>
  <si>
    <t>EAX 145</t>
  </si>
  <si>
    <t>EAX 148</t>
  </si>
  <si>
    <t>EAX 209</t>
  </si>
  <si>
    <t>EAX 146</t>
  </si>
  <si>
    <t>EAX 211</t>
  </si>
  <si>
    <t>EAX 210</t>
  </si>
  <si>
    <t>EAX 212</t>
  </si>
  <si>
    <t>EAX 218</t>
  </si>
  <si>
    <t>EAX 220</t>
  </si>
  <si>
    <t>EAX 219</t>
  </si>
  <si>
    <t>EAX 214</t>
  </si>
  <si>
    <t>EAX 216</t>
  </si>
  <si>
    <t>EAX 217</t>
  </si>
  <si>
    <t>EAX 303</t>
  </si>
  <si>
    <t>EAX 304</t>
  </si>
  <si>
    <t>EAX 302</t>
  </si>
  <si>
    <t>EAX 322</t>
  </si>
  <si>
    <t>EAX 323</t>
  </si>
  <si>
    <t>EAX 301</t>
  </si>
  <si>
    <t>EAX 324</t>
  </si>
  <si>
    <t>EAX 321</t>
  </si>
  <si>
    <t>EAX 320</t>
  </si>
  <si>
    <t>POINT REYES, CALIFORNIA -- BACKGROUND</t>
  </si>
  <si>
    <t>Site A</t>
  </si>
  <si>
    <t>Site B</t>
  </si>
  <si>
    <t>RAX 025</t>
  </si>
  <si>
    <t>0-6</t>
  </si>
  <si>
    <t>RAX 017</t>
  </si>
  <si>
    <t>16 - 24</t>
  </si>
  <si>
    <t>RAX 026</t>
  </si>
  <si>
    <t>8 - 16</t>
  </si>
  <si>
    <t>JAV 018</t>
  </si>
  <si>
    <t>0 - 8</t>
  </si>
  <si>
    <t>RAX 018</t>
  </si>
  <si>
    <t>RAX 020</t>
  </si>
  <si>
    <t>RAX 019</t>
  </si>
  <si>
    <t>RAX 131</t>
  </si>
  <si>
    <t>RAX 132</t>
  </si>
  <si>
    <t>RAX 130</t>
  </si>
  <si>
    <t>RAX 127</t>
  </si>
  <si>
    <t>RAX 126</t>
  </si>
  <si>
    <t>RAX 201</t>
  </si>
  <si>
    <t>RAX 204</t>
  </si>
  <si>
    <t>0800-1500</t>
  </si>
  <si>
    <t>RAX 203</t>
  </si>
  <si>
    <t>1600-2400</t>
  </si>
  <si>
    <t>RAX 202</t>
  </si>
  <si>
    <t>0001-0800</t>
  </si>
  <si>
    <t>RAX 215</t>
  </si>
  <si>
    <t>RAX 213</t>
  </si>
  <si>
    <t>RAX 214</t>
  </si>
  <si>
    <t>RAX 265</t>
  </si>
  <si>
    <t>RAX 216</t>
  </si>
  <si>
    <t>RAX 268</t>
  </si>
  <si>
    <t>0948-1600</t>
  </si>
  <si>
    <t>RAX 266</t>
  </si>
  <si>
    <t>RAX 291</t>
  </si>
  <si>
    <t>RAX 290</t>
  </si>
  <si>
    <t>RAX 289</t>
  </si>
  <si>
    <t>RAX 316</t>
  </si>
  <si>
    <t>RAX 292</t>
  </si>
  <si>
    <t>RAX 315</t>
  </si>
  <si>
    <t>RAX 313</t>
  </si>
  <si>
    <t>RAX 314</t>
  </si>
  <si>
    <t>RAX 321</t>
  </si>
  <si>
    <t>GREENLAND, SONDRESTROM AREA - 1986</t>
  </si>
  <si>
    <t>B392</t>
  </si>
  <si>
    <t>TV046</t>
  </si>
  <si>
    <t>TV248</t>
  </si>
  <si>
    <t>V274</t>
  </si>
  <si>
    <t>TV473</t>
  </si>
  <si>
    <t>TV842</t>
  </si>
  <si>
    <t>TV844</t>
  </si>
  <si>
    <t>TV375</t>
  </si>
  <si>
    <t>B383</t>
  </si>
  <si>
    <t>TV849</t>
  </si>
  <si>
    <t>V343</t>
  </si>
  <si>
    <t>TV859</t>
  </si>
  <si>
    <t>TV217</t>
  </si>
  <si>
    <t>TV744</t>
  </si>
  <si>
    <t>TV755</t>
  </si>
  <si>
    <t>B404</t>
  </si>
  <si>
    <t>P113p</t>
  </si>
  <si>
    <t>TV370</t>
  </si>
  <si>
    <t>V358</t>
  </si>
  <si>
    <t>B128</t>
  </si>
  <si>
    <t>SAN NICOLAS ISLAND, California</t>
  </si>
  <si>
    <t>SCAQS</t>
  </si>
  <si>
    <t>May be background for the emission factors, also usable as small data sets</t>
  </si>
  <si>
    <t>0705</t>
  </si>
  <si>
    <t>CQ100</t>
  </si>
  <si>
    <t>CQ101</t>
  </si>
  <si>
    <t>CQ099</t>
  </si>
  <si>
    <t>0650</t>
  </si>
  <si>
    <t>CQ097</t>
  </si>
  <si>
    <t>CQ123</t>
  </si>
  <si>
    <t>CQ127</t>
  </si>
  <si>
    <t>CQ321</t>
  </si>
  <si>
    <t>CQ319</t>
  </si>
  <si>
    <t>CQ320</t>
  </si>
  <si>
    <t>CQ121</t>
  </si>
  <si>
    <t>CQ418</t>
  </si>
  <si>
    <t>CQ419</t>
  </si>
  <si>
    <t>CQ217</t>
  </si>
  <si>
    <t>CQ218</t>
  </si>
  <si>
    <t>CQ152</t>
  </si>
  <si>
    <t>CQ058</t>
  </si>
  <si>
    <t>CQ059</t>
  </si>
  <si>
    <t>CQ060</t>
  </si>
  <si>
    <t>CQ061</t>
  </si>
  <si>
    <t>CQ025</t>
  </si>
  <si>
    <t>CQ420</t>
  </si>
  <si>
    <t>CQ026</t>
  </si>
  <si>
    <t>CQ027</t>
  </si>
  <si>
    <t>CQ001</t>
  </si>
  <si>
    <t>CQ315</t>
  </si>
  <si>
    <t>CQ316</t>
  </si>
  <si>
    <t>SHENANDOAH NATIONAL PARK</t>
  </si>
  <si>
    <t>Time 14:00 - 16:00</t>
  </si>
  <si>
    <t>CQ163</t>
  </si>
  <si>
    <t>CQ161</t>
  </si>
  <si>
    <t>CQ162</t>
  </si>
  <si>
    <t>CQ149</t>
  </si>
  <si>
    <t>CQ150</t>
  </si>
  <si>
    <t>CQ151</t>
  </si>
  <si>
    <t>CQ195</t>
  </si>
  <si>
    <t>CQ196</t>
  </si>
  <si>
    <t>CQ197</t>
  </si>
  <si>
    <t>CQ198</t>
  </si>
  <si>
    <t>CQ215</t>
  </si>
  <si>
    <t>CQ216</t>
  </si>
  <si>
    <t>CQ292</t>
  </si>
  <si>
    <t>CQ355</t>
  </si>
  <si>
    <t>CQ338</t>
  </si>
  <si>
    <t>CQ337</t>
  </si>
  <si>
    <t>CQ410</t>
  </si>
  <si>
    <t>0600</t>
  </si>
  <si>
    <t>CQ411</t>
  </si>
  <si>
    <t>CQ412</t>
  </si>
  <si>
    <t>CQ033</t>
  </si>
  <si>
    <t>CQ034</t>
  </si>
  <si>
    <t>CQ036</t>
  </si>
  <si>
    <t>CQ080</t>
  </si>
  <si>
    <t>CQ092</t>
  </si>
  <si>
    <t>CQ381</t>
  </si>
  <si>
    <t>CQ382</t>
  </si>
  <si>
    <t>CQ383</t>
  </si>
  <si>
    <t>CQ384</t>
  </si>
  <si>
    <t>CQ002</t>
  </si>
  <si>
    <t>CQ393</t>
  </si>
  <si>
    <t>CQ394</t>
  </si>
  <si>
    <t>CQ395</t>
  </si>
  <si>
    <t>CQ396</t>
  </si>
  <si>
    <t>CQ088</t>
  </si>
  <si>
    <t>CQ464</t>
  </si>
  <si>
    <t>CQ463</t>
  </si>
  <si>
    <t>CQ460</t>
  </si>
  <si>
    <t>CQ461</t>
  </si>
  <si>
    <t>CQ459</t>
  </si>
  <si>
    <t>CQ462</t>
  </si>
  <si>
    <t>CQ457</t>
  </si>
  <si>
    <t>CQ458</t>
  </si>
  <si>
    <t>CQ512</t>
  </si>
  <si>
    <t>CQ513</t>
  </si>
  <si>
    <t>CQ515</t>
  </si>
  <si>
    <t>CQ514</t>
  </si>
  <si>
    <t>CQ508</t>
  </si>
  <si>
    <t>CQ511</t>
  </si>
  <si>
    <t>CQ509</t>
  </si>
  <si>
    <t>CQ510</t>
  </si>
  <si>
    <t>CQ504</t>
  </si>
  <si>
    <t>CQ505</t>
  </si>
  <si>
    <t>CQ506</t>
  </si>
  <si>
    <t>CQ507</t>
  </si>
  <si>
    <t>TOOLIK LAKE, ALASKA</t>
  </si>
  <si>
    <t>G. Riechers</t>
  </si>
  <si>
    <t>B416</t>
  </si>
  <si>
    <t>TV023</t>
  </si>
  <si>
    <t>BZ742</t>
  </si>
  <si>
    <t>BZ745</t>
  </si>
  <si>
    <t>TV339</t>
  </si>
  <si>
    <t>BZ689</t>
  </si>
  <si>
    <t>B316</t>
  </si>
  <si>
    <t>TV043</t>
  </si>
  <si>
    <t>BZ918</t>
  </si>
  <si>
    <t>TUZU - Lehsan City, China</t>
  </si>
  <si>
    <t>TV356</t>
  </si>
  <si>
    <t>TV411</t>
  </si>
  <si>
    <t>TV366</t>
  </si>
  <si>
    <t>TV394</t>
  </si>
  <si>
    <t>TV410</t>
  </si>
  <si>
    <t>TV584</t>
  </si>
  <si>
    <t>TV369</t>
  </si>
  <si>
    <t>TV453</t>
  </si>
  <si>
    <t>TV261</t>
  </si>
  <si>
    <t>TV500</t>
  </si>
  <si>
    <t>TV170</t>
  </si>
  <si>
    <t>CZ089</t>
  </si>
  <si>
    <t>BZ327</t>
  </si>
  <si>
    <t>SBZ901</t>
  </si>
  <si>
    <t>CZ085</t>
  </si>
  <si>
    <t>SBZ897</t>
  </si>
  <si>
    <t>CZ086</t>
  </si>
  <si>
    <t>CZ070</t>
  </si>
  <si>
    <t>BZ688</t>
  </si>
  <si>
    <t>BZ866</t>
  </si>
  <si>
    <t>BZ695</t>
  </si>
  <si>
    <t>CZ066</t>
  </si>
  <si>
    <t>V201</t>
  </si>
  <si>
    <t>B333</t>
  </si>
  <si>
    <t>TV316</t>
  </si>
  <si>
    <t>TV582</t>
  </si>
  <si>
    <t>CAPE ST. JAMES, CANADA</t>
  </si>
  <si>
    <t>m/sec</t>
  </si>
  <si>
    <t>Whiteface Mountain</t>
  </si>
  <si>
    <t>sd</t>
  </si>
  <si>
    <t xml:space="preserve">AMAZON RIVER </t>
  </si>
  <si>
    <t>Jef Richey Collections</t>
  </si>
  <si>
    <t>BRAZIL - 1985</t>
  </si>
  <si>
    <t>Amazon River/Air Samples</t>
  </si>
  <si>
    <t>Part of ABLE 2</t>
  </si>
  <si>
    <t>Lat.</t>
  </si>
  <si>
    <t>Long.</t>
  </si>
  <si>
    <t>S</t>
  </si>
  <si>
    <t>W</t>
  </si>
  <si>
    <t>1a</t>
  </si>
  <si>
    <t>2 43.5</t>
  </si>
  <si>
    <t>66 55.7</t>
  </si>
  <si>
    <t>Xibeco</t>
  </si>
  <si>
    <t>1b</t>
  </si>
  <si>
    <t>VF63</t>
  </si>
  <si>
    <t>66 45.5</t>
  </si>
  <si>
    <t>2a</t>
  </si>
  <si>
    <t>2 30.0</t>
  </si>
  <si>
    <t>75 50.3</t>
  </si>
  <si>
    <t>Tupe</t>
  </si>
  <si>
    <t>2b</t>
  </si>
  <si>
    <t>2 42.2</t>
  </si>
  <si>
    <t>65 47.8</t>
  </si>
  <si>
    <t>Rio Jurua</t>
  </si>
  <si>
    <t>3a</t>
  </si>
  <si>
    <t>VF45</t>
  </si>
  <si>
    <t>2 40.1</t>
  </si>
  <si>
    <t>65 38.1</t>
  </si>
  <si>
    <t>Tamanicua</t>
  </si>
  <si>
    <t>3b</t>
  </si>
  <si>
    <t>3 12.2</t>
  </si>
  <si>
    <t>64 48.2</t>
  </si>
  <si>
    <t>Alvaraes</t>
  </si>
  <si>
    <t>4a</t>
  </si>
  <si>
    <t>3 35.4</t>
  </si>
  <si>
    <t>64 17.6</t>
  </si>
  <si>
    <t>Jutica</t>
  </si>
  <si>
    <t>4b</t>
  </si>
  <si>
    <t>3 42.2</t>
  </si>
  <si>
    <t>64 6.8</t>
  </si>
  <si>
    <t>5a</t>
  </si>
  <si>
    <t>3 49.6</t>
  </si>
  <si>
    <t>61 38.1</t>
  </si>
  <si>
    <t>Anori</t>
  </si>
  <si>
    <t>5b</t>
  </si>
  <si>
    <t>3 51.6</t>
  </si>
  <si>
    <t>61 23.6</t>
  </si>
  <si>
    <t>Rio Puros</t>
  </si>
  <si>
    <t>6a</t>
  </si>
  <si>
    <t>3 9.4</t>
  </si>
  <si>
    <t>58 23.0</t>
  </si>
  <si>
    <t>Below</t>
  </si>
  <si>
    <t>6b</t>
  </si>
  <si>
    <t>2 35.4</t>
  </si>
  <si>
    <t>57 50.3</t>
  </si>
  <si>
    <t>Vrucaria</t>
  </si>
  <si>
    <t>7a</t>
  </si>
  <si>
    <t>2 24.3</t>
  </si>
  <si>
    <t>57 21.1</t>
  </si>
  <si>
    <t>Paura</t>
  </si>
  <si>
    <t>7b</t>
  </si>
  <si>
    <t>2 29.1</t>
  </si>
  <si>
    <t>57 16.6</t>
  </si>
  <si>
    <t>8a</t>
  </si>
  <si>
    <t>2 34</t>
  </si>
  <si>
    <t>56 28.1</t>
  </si>
  <si>
    <t>Paratins</t>
  </si>
  <si>
    <t>8b</t>
  </si>
  <si>
    <t>2 4.9</t>
  </si>
  <si>
    <t>56 17.2</t>
  </si>
  <si>
    <t>Nhamunda</t>
  </si>
  <si>
    <t>9a</t>
  </si>
  <si>
    <t>1 55.3</t>
  </si>
  <si>
    <t>55 31.4</t>
  </si>
  <si>
    <t>Obidos</t>
  </si>
  <si>
    <t>9b</t>
  </si>
  <si>
    <t>2 00.0</t>
  </si>
  <si>
    <t>55 54.3</t>
  </si>
  <si>
    <t>Above</t>
  </si>
  <si>
    <t>10a</t>
  </si>
  <si>
    <t>57 25.7</t>
  </si>
  <si>
    <t>Paura II</t>
  </si>
  <si>
    <t>10b</t>
  </si>
  <si>
    <t>VF307</t>
  </si>
  <si>
    <t>2 46.2</t>
  </si>
  <si>
    <t>Costa de</t>
  </si>
  <si>
    <t>*CO - Carle 211M</t>
  </si>
  <si>
    <t>KNORR CRUISE ATLANTIC</t>
  </si>
  <si>
    <t>GAMMON/NOAA-GMCC</t>
  </si>
  <si>
    <t>Temperature</t>
  </si>
  <si>
    <t>Air</t>
  </si>
  <si>
    <t>Water</t>
  </si>
  <si>
    <t>0030</t>
  </si>
  <si>
    <t>0402</t>
  </si>
  <si>
    <t xml:space="preserve">R/V RESEARCHER CRUISE </t>
  </si>
  <si>
    <t>Cruise RE-87-03-RITS</t>
  </si>
  <si>
    <t>Julian Day (GMT) 148-149</t>
  </si>
  <si>
    <t>Gregorian Date (GMT) 28/29 May 87</t>
  </si>
  <si>
    <t>R. Dalluge</t>
  </si>
  <si>
    <t>Z</t>
  </si>
  <si>
    <t>pptv/C</t>
  </si>
  <si>
    <t>0405</t>
  </si>
  <si>
    <t>0000</t>
  </si>
  <si>
    <t>0559</t>
  </si>
  <si>
    <t>0200</t>
  </si>
  <si>
    <t>0400</t>
  </si>
  <si>
    <t>PSZENNY CRUISE</t>
  </si>
  <si>
    <t>Air Only</t>
  </si>
  <si>
    <t>kts.</t>
  </si>
  <si>
    <t>o</t>
  </si>
  <si>
    <t>R/V VICKERS, Los Angeles to Alaska</t>
  </si>
  <si>
    <t>Stagg King, August 1992</t>
  </si>
  <si>
    <t>Station</t>
  </si>
  <si>
    <t>N. Lat.</t>
  </si>
  <si>
    <t>W. Long.</t>
  </si>
  <si>
    <t>AIRSHIP TILLAMOOK -- OREGON</t>
  </si>
  <si>
    <t xml:space="preserve">45 54N; 124 30.9W </t>
  </si>
  <si>
    <t>Comments and other details on the right</t>
  </si>
  <si>
    <t>Sky</t>
  </si>
  <si>
    <t>Kt.</t>
  </si>
  <si>
    <t>ptv</t>
  </si>
  <si>
    <t>Clear</t>
  </si>
  <si>
    <t>CNC TSI 2560/cc</t>
  </si>
  <si>
    <t>fill time</t>
  </si>
  <si>
    <t>Alt. 2500'; O3 49 ppb</t>
  </si>
  <si>
    <t>Low</t>
  </si>
  <si>
    <t>NNE</t>
  </si>
  <si>
    <t>6 min.</t>
  </si>
  <si>
    <t>CNC 3020/cm3</t>
  </si>
  <si>
    <t>Alt. 1500'</t>
  </si>
  <si>
    <t>45 53N; 124 33W</t>
  </si>
  <si>
    <t>CNC TSI 3380/cm3</t>
  </si>
  <si>
    <t>Alt. 1000'</t>
  </si>
  <si>
    <t>45 54N; 124 35W</t>
  </si>
  <si>
    <t>PC</t>
  </si>
  <si>
    <t>CNC 9000-20000/cm3</t>
  </si>
  <si>
    <t>Alt. 500'</t>
  </si>
  <si>
    <t>High SO2 concentration</t>
  </si>
  <si>
    <t>in layer may be due to</t>
  </si>
  <si>
    <t>Cape Meares 26 +- 2</t>
  </si>
  <si>
    <t>ships entering Columbia</t>
  </si>
  <si>
    <t xml:space="preserve">River; none visible </t>
  </si>
  <si>
    <t>within 40 miles.</t>
  </si>
  <si>
    <t>CNC 790</t>
  </si>
  <si>
    <t>8 min.</t>
  </si>
  <si>
    <t>Alt. 2500'</t>
  </si>
  <si>
    <t>sampling time</t>
  </si>
  <si>
    <t xml:space="preserve">Over ocean behind </t>
  </si>
  <si>
    <t>front very clean air</t>
  </si>
  <si>
    <t xml:space="preserve"> Alt. 2000'</t>
  </si>
  <si>
    <t>1500-1400' in cloud</t>
  </si>
  <si>
    <t>layer between clouds</t>
  </si>
  <si>
    <t>CNC 500</t>
  </si>
  <si>
    <t>CNC 622</t>
  </si>
  <si>
    <t>Clean ocean air</t>
  </si>
  <si>
    <t>Alt. 3500'</t>
  </si>
  <si>
    <t>0955</t>
  </si>
  <si>
    <t>CNC 623</t>
  </si>
  <si>
    <t>CNC 760</t>
  </si>
  <si>
    <t>6-7</t>
  </si>
  <si>
    <t>Clean oceanic air</t>
  </si>
  <si>
    <t>Two bottles from ship's</t>
  </si>
  <si>
    <t>exhaust plume, ~2 miles</t>
  </si>
  <si>
    <t>downwind @ 200-500' Alt.</t>
  </si>
  <si>
    <t>Clear continental air</t>
  </si>
  <si>
    <t>8 min. fill time</t>
  </si>
  <si>
    <t>flow from NE</t>
  </si>
  <si>
    <t>Alt. 3000'</t>
  </si>
  <si>
    <t>Alt. 2000'</t>
  </si>
  <si>
    <t>Two bottles on 9/16</t>
  </si>
  <si>
    <t>were @ 2000' and 500';</t>
  </si>
  <si>
    <t>repeat of earlier</t>
  </si>
  <si>
    <t>meas. at same altitudes</t>
  </si>
  <si>
    <t>CNC 2500/cc</t>
  </si>
  <si>
    <t>8-min. fill time</t>
  </si>
  <si>
    <t>Alt. 3200'; above</t>
  </si>
  <si>
    <t>stratus deck @ 1400'</t>
  </si>
  <si>
    <t>CNC 2000/cc</t>
  </si>
  <si>
    <t>Alt. 1450; skimming</t>
  </si>
  <si>
    <t>top of stratus deck</t>
  </si>
  <si>
    <t>CNC 700/cc</t>
  </si>
  <si>
    <t>Alt. 1200' in stratus</t>
  </si>
  <si>
    <t>deck, from 700'-1400'</t>
  </si>
  <si>
    <t>LWC = 0.35</t>
  </si>
  <si>
    <t>CNC 1100/cc</t>
  </si>
  <si>
    <t xml:space="preserve">Alt. 400'; below </t>
  </si>
  <si>
    <t>stratus deck.</t>
  </si>
  <si>
    <t>Alt. 4300'</t>
  </si>
  <si>
    <t>CNC 980/cc</t>
  </si>
  <si>
    <t>Alt. 4000'</t>
  </si>
  <si>
    <t>CNC 1200/cc</t>
  </si>
  <si>
    <t>CNC 1240/cc</t>
  </si>
  <si>
    <t>CNC 1300/cc</t>
  </si>
  <si>
    <t>Alt. 1000</t>
  </si>
  <si>
    <t>CNC N/A</t>
  </si>
  <si>
    <t>All samples taken 1-4 miles off coast</t>
  </si>
  <si>
    <t>Alt. 100'</t>
  </si>
  <si>
    <t>CNC 1550</t>
  </si>
  <si>
    <t>CNC 1125</t>
  </si>
  <si>
    <t>CNC 1400</t>
  </si>
  <si>
    <t>CNC 1650</t>
  </si>
  <si>
    <t>Alt. 4000</t>
  </si>
  <si>
    <t>YANGTZE RIVER</t>
  </si>
  <si>
    <t>Bz</t>
  </si>
  <si>
    <t>CZ106</t>
  </si>
  <si>
    <t>TV388</t>
  </si>
  <si>
    <t>Smoky</t>
  </si>
  <si>
    <t>TV163</t>
  </si>
  <si>
    <t>V168</t>
  </si>
  <si>
    <t>Sun</t>
  </si>
  <si>
    <t>V164</t>
  </si>
  <si>
    <t>TV415</t>
  </si>
  <si>
    <t>After locks</t>
  </si>
  <si>
    <t>TV535</t>
  </si>
  <si>
    <t>V169</t>
  </si>
  <si>
    <t>After breakfast</t>
  </si>
  <si>
    <t>V160</t>
  </si>
  <si>
    <t>Rural; sunny</t>
  </si>
  <si>
    <t>TV192</t>
  </si>
  <si>
    <t>1-mile wide;</t>
  </si>
  <si>
    <t>TV300</t>
  </si>
  <si>
    <t>Hot; sunny;</t>
  </si>
  <si>
    <t xml:space="preserve">YOSEMITE   </t>
  </si>
  <si>
    <t>SJV-AUSPEX</t>
  </si>
  <si>
    <t>EAX 032</t>
  </si>
  <si>
    <t>10 - 12</t>
  </si>
  <si>
    <t>EAX 031</t>
  </si>
  <si>
    <t>12 - 14</t>
  </si>
  <si>
    <t>EAX 029</t>
  </si>
  <si>
    <t>14 - 16</t>
  </si>
  <si>
    <t>EAX 015</t>
  </si>
  <si>
    <t>EAX 030</t>
  </si>
  <si>
    <t>EAX 014</t>
  </si>
  <si>
    <t>EAX 016</t>
  </si>
  <si>
    <t>EAX 013</t>
  </si>
  <si>
    <t>RAX 031</t>
  </si>
  <si>
    <t>RAX 029</t>
  </si>
  <si>
    <t>RAX 032</t>
  </si>
  <si>
    <t>EAX 127</t>
  </si>
  <si>
    <t>EAX 125</t>
  </si>
  <si>
    <t>EAX 126</t>
  </si>
  <si>
    <t>EAX 128</t>
  </si>
  <si>
    <t>EAX 175</t>
  </si>
  <si>
    <t>EAX 176</t>
  </si>
  <si>
    <t>EAX 174</t>
  </si>
  <si>
    <t>EAX 173</t>
  </si>
  <si>
    <t>RAX 037</t>
  </si>
  <si>
    <t>RAX 040</t>
  </si>
  <si>
    <t>RAX 038</t>
  </si>
  <si>
    <t>RAX 039</t>
  </si>
  <si>
    <t>EAX 206</t>
  </si>
  <si>
    <t>EAX 207</t>
  </si>
  <si>
    <t>EAX 208</t>
  </si>
  <si>
    <t>EAX 250</t>
  </si>
  <si>
    <t>EAX 205</t>
  </si>
  <si>
    <t>EAX 197</t>
  </si>
  <si>
    <t>EAX 199</t>
  </si>
  <si>
    <t>EAX 200</t>
  </si>
  <si>
    <t>EAX 198</t>
  </si>
  <si>
    <t>EAX 325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</si>
</sst>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"/>
    <numFmt numFmtId="165" formatCode="0.000000"/>
    <numFmt numFmtId="166" formatCode="mm/dd/yy"/>
    <numFmt numFmtId="167" formatCode="dd\-mmm\-yy"/>
    <numFmt numFmtId="168" formatCode="hh:mm"/>
  </numFmts>
  <fonts count="6" x14ac:knownFonts="1">
    <font>
      <sz val="12"/>
      <name val="Arial"/>
    </font>
    <font>
      <b/>
      <sz val="24"/>
      <color indexed="8"/>
      <name val="Arial"/>
    </font>
    <font>
      <sz val="14"/>
      <color indexed="8"/>
      <name val="Arial"/>
    </font>
    <font>
      <b/>
      <sz val="12"/>
      <color indexed="8"/>
      <name val="Arial"/>
    </font>
    <font>
      <b/>
      <sz val="18"/>
      <color indexed="8"/>
      <name val="Arial"/>
    </font>
    <font>
      <b/>
      <sz val="14"/>
      <color indexed="8"/>
      <name val="Arial"/>
    </font>
  </fonts>
  <fills count="3">
    <fill>
      <patternFill patternType="none"/>
    </fill>
    <fill>
      <patternFill patternType="gray125"/>
    </fill>
    <fill>
      <patternFill patternType="solid">
        <fgColor indexed="9"/>
      </patternFill>
    </fill>
  </fills>
  <borders count="1">
    <border>
      <left/>
      <right/>
      <top/>
      <bottom/>
      <diagonal/>
    </border>
  </borders>
  <cellStyleXfs count="1">
    <xf numFmtId="0" fontId="0" fillId="2" borderId="0"/>
  </cellStyleXfs>
  <cellXfs count="24">
    <xf numFmtId="0" fontId="0" fillId="0" borderId="0" xfId="0" applyFill="1"/>
    <xf numFmtId="0" fontId="1" fillId="2" borderId="0" xfId="0" applyNumberFormat="1" applyFont="1"/>
    <xf numFmtId="0" fontId="0" fillId="2" borderId="0" xfId="0" applyNumberFormat="1"/>
    <xf numFmtId="0" fontId="2" fillId="2" borderId="0" xfId="0" applyNumberFormat="1" applyFont="1"/>
    <xf numFmtId="1" fontId="0" fillId="2" borderId="0" xfId="0" applyNumberFormat="1"/>
    <xf numFmtId="37" fontId="3" fillId="2" borderId="0" xfId="0" applyNumberFormat="1" applyFont="1"/>
    <xf numFmtId="0" fontId="3" fillId="2" borderId="0" xfId="0" applyNumberFormat="1" applyFont="1"/>
    <xf numFmtId="166" fontId="0" fillId="2" borderId="0" xfId="0" applyNumberFormat="1"/>
    <xf numFmtId="0" fontId="0" fillId="2" borderId="0" xfId="0" applyNumberFormat="1" applyAlignment="1">
      <alignment horizontal="right"/>
    </xf>
    <xf numFmtId="164" fontId="0" fillId="2" borderId="0" xfId="0" applyNumberFormat="1" applyAlignment="1">
      <alignment horizontal="right"/>
    </xf>
    <xf numFmtId="2" fontId="0" fillId="2" borderId="0" xfId="0" applyNumberFormat="1" applyAlignment="1">
      <alignment horizontal="right"/>
    </xf>
    <xf numFmtId="1" fontId="0" fillId="2" borderId="0" xfId="0" applyNumberFormat="1" applyAlignment="1">
      <alignment horizontal="right"/>
    </xf>
    <xf numFmtId="2" fontId="0" fillId="2" borderId="0" xfId="0" applyNumberFormat="1"/>
    <xf numFmtId="0" fontId="4" fillId="2" borderId="0" xfId="0" applyNumberFormat="1" applyFont="1"/>
    <xf numFmtId="165" fontId="0" fillId="2" borderId="0" xfId="0" applyNumberFormat="1"/>
    <xf numFmtId="0" fontId="0" fillId="2" borderId="0" xfId="0" applyNumberFormat="1" applyAlignment="1">
      <alignment horizontal="center"/>
    </xf>
    <xf numFmtId="11" fontId="0" fillId="2" borderId="0" xfId="0" applyNumberFormat="1"/>
    <xf numFmtId="164" fontId="0" fillId="2" borderId="0" xfId="0" applyNumberFormat="1"/>
    <xf numFmtId="0" fontId="5" fillId="2" borderId="0" xfId="0" applyNumberFormat="1" applyFont="1"/>
    <xf numFmtId="167" fontId="0" fillId="2" borderId="0" xfId="0" applyNumberFormat="1"/>
    <xf numFmtId="2" fontId="0" fillId="2" borderId="0" xfId="0" applyNumberFormat="1" applyAlignment="1">
      <alignment horizontal="center"/>
    </xf>
    <xf numFmtId="167" fontId="0" fillId="2" borderId="0" xfId="0" applyNumberFormat="1" applyAlignment="1">
      <alignment horizontal="center"/>
    </xf>
    <xf numFmtId="168" fontId="0" fillId="2" borderId="0" xfId="0" applyNumberFormat="1"/>
    <xf numFmtId="37" fontId="0" fillId="2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71"/>
  <sheetViews>
    <sheetView tabSelected="1" showOutlineSymbols="0" defaultGridColor="0" topLeftCell="A22" colorId="9" workbookViewId="0">
      <pane xSplit="2" topLeftCell="AR1" activePane="topRight" state="frozen"/>
      <selection activeCell="A25" sqref="A25"/>
      <selection pane="topRight" activeCell="T42" sqref="T42"/>
    </sheetView>
  </sheetViews>
  <sheetFormatPr defaultColWidth="8.6640625" defaultRowHeight="15" x14ac:dyDescent="0.2"/>
  <cols>
    <col min="1" max="1" width="11.6640625" style="2" customWidth="1"/>
    <col min="2" max="2" width="37.109375" style="2" customWidth="1"/>
    <col min="3" max="3" width="15.44140625" style="2" customWidth="1"/>
    <col min="4" max="16384" width="8.6640625" style="2"/>
  </cols>
  <sheetData>
    <row r="1" spans="1:64" ht="30" x14ac:dyDescent="0.4">
      <c r="A1" s="1" t="s">
        <v>0</v>
      </c>
      <c r="BL1" s="2" t="s">
        <v>1</v>
      </c>
    </row>
    <row r="2" spans="1:64" x14ac:dyDescent="0.2">
      <c r="A2" s="2" t="s">
        <v>2</v>
      </c>
      <c r="BL2" s="2" t="s">
        <v>1</v>
      </c>
    </row>
    <row r="3" spans="1:64" x14ac:dyDescent="0.2">
      <c r="BL3" s="2" t="s">
        <v>1</v>
      </c>
    </row>
    <row r="4" spans="1:64" x14ac:dyDescent="0.2">
      <c r="BL4" s="2" t="s">
        <v>1</v>
      </c>
    </row>
    <row r="5" spans="1:64" x14ac:dyDescent="0.2">
      <c r="BL5" s="2" t="s">
        <v>1</v>
      </c>
    </row>
    <row r="6" spans="1:64" ht="18" x14ac:dyDescent="0.25">
      <c r="A6" s="3" t="s">
        <v>3</v>
      </c>
      <c r="BL6" s="2" t="s">
        <v>1</v>
      </c>
    </row>
    <row r="7" spans="1:64" x14ac:dyDescent="0.2">
      <c r="A7" s="2" t="s">
        <v>4</v>
      </c>
      <c r="BL7" s="2" t="s">
        <v>1</v>
      </c>
    </row>
    <row r="8" spans="1:64" x14ac:dyDescent="0.2">
      <c r="A8" s="2" t="s">
        <v>5</v>
      </c>
      <c r="BL8" s="2" t="s">
        <v>1</v>
      </c>
    </row>
    <row r="9" spans="1:64" x14ac:dyDescent="0.2">
      <c r="A9" s="2" t="s">
        <v>6</v>
      </c>
      <c r="BL9" s="2" t="s">
        <v>1</v>
      </c>
    </row>
    <row r="10" spans="1:64" x14ac:dyDescent="0.2">
      <c r="A10" s="2" t="s">
        <v>7</v>
      </c>
      <c r="BL10" s="2" t="s">
        <v>1</v>
      </c>
    </row>
    <row r="11" spans="1:64" x14ac:dyDescent="0.2">
      <c r="A11" s="2" t="s">
        <v>8</v>
      </c>
      <c r="BL11" s="2" t="s">
        <v>1</v>
      </c>
    </row>
    <row r="12" spans="1:64" x14ac:dyDescent="0.2">
      <c r="A12" s="2" t="s">
        <v>9</v>
      </c>
      <c r="BL12" s="2" t="s">
        <v>1</v>
      </c>
    </row>
    <row r="13" spans="1:64" x14ac:dyDescent="0.2">
      <c r="BL13" s="2" t="s">
        <v>1</v>
      </c>
    </row>
    <row r="14" spans="1:64" x14ac:dyDescent="0.2">
      <c r="BL14" s="2" t="s">
        <v>1</v>
      </c>
    </row>
    <row r="15" spans="1:64" ht="18" x14ac:dyDescent="0.25">
      <c r="A15" s="3" t="s">
        <v>10</v>
      </c>
      <c r="BL15" s="2" t="s">
        <v>1</v>
      </c>
    </row>
    <row r="16" spans="1:64" x14ac:dyDescent="0.2">
      <c r="A16" s="2" t="s">
        <v>11</v>
      </c>
      <c r="BL16" s="2" t="s">
        <v>1</v>
      </c>
    </row>
    <row r="17" spans="1:64" x14ac:dyDescent="0.2">
      <c r="A17" s="2" t="s">
        <v>12</v>
      </c>
      <c r="BL17" s="2" t="s">
        <v>1</v>
      </c>
    </row>
    <row r="18" spans="1:64" x14ac:dyDescent="0.2">
      <c r="A18" s="2" t="s">
        <v>13</v>
      </c>
      <c r="BL18" s="2" t="s">
        <v>1</v>
      </c>
    </row>
    <row r="19" spans="1:64" x14ac:dyDescent="0.2">
      <c r="A19" s="2" t="s">
        <v>14</v>
      </c>
      <c r="BL19" s="2" t="s">
        <v>1</v>
      </c>
    </row>
    <row r="20" spans="1:64" x14ac:dyDescent="0.2">
      <c r="BL20" s="2" t="s">
        <v>1</v>
      </c>
    </row>
    <row r="21" spans="1:64" x14ac:dyDescent="0.2">
      <c r="A21" s="2" t="s">
        <v>15</v>
      </c>
      <c r="B21" s="4">
        <f>(MAX(C35:BD35)-MIN(C34:BK34))/365</f>
        <v>17.616438356164384</v>
      </c>
      <c r="C21" s="2" t="s">
        <v>16</v>
      </c>
      <c r="BL21" s="2" t="s">
        <v>1</v>
      </c>
    </row>
    <row r="22" spans="1:64" x14ac:dyDescent="0.2">
      <c r="A22" s="2" t="s">
        <v>17</v>
      </c>
      <c r="B22" s="4">
        <f>SUM(C38:BK38)</f>
        <v>2423</v>
      </c>
      <c r="BL22" s="2" t="s">
        <v>1</v>
      </c>
    </row>
    <row r="23" spans="1:64" x14ac:dyDescent="0.2">
      <c r="A23" s="2" t="s">
        <v>18</v>
      </c>
      <c r="B23" s="4">
        <v>20</v>
      </c>
      <c r="BL23" s="2" t="s">
        <v>1</v>
      </c>
    </row>
    <row r="24" spans="1:64" ht="15.75" x14ac:dyDescent="0.25">
      <c r="A24" s="2" t="s">
        <v>19</v>
      </c>
      <c r="B24" s="5">
        <f>SUM(C40:BK40)</f>
        <v>35014</v>
      </c>
      <c r="BL24" s="2" t="s">
        <v>1</v>
      </c>
    </row>
    <row r="25" spans="1:64" x14ac:dyDescent="0.2">
      <c r="A25" s="2" t="s">
        <v>20</v>
      </c>
      <c r="B25" s="4">
        <f>COUNTA(C40:BK40)</f>
        <v>57</v>
      </c>
      <c r="BL25" s="2" t="s">
        <v>1</v>
      </c>
    </row>
    <row r="26" spans="1:64" x14ac:dyDescent="0.2">
      <c r="BL26" s="2" t="s">
        <v>1</v>
      </c>
    </row>
    <row r="27" spans="1:64" x14ac:dyDescent="0.2">
      <c r="BL27" s="2" t="s">
        <v>1</v>
      </c>
    </row>
    <row r="28" spans="1:64" ht="15.75" x14ac:dyDescent="0.25">
      <c r="A28" s="6" t="s">
        <v>21</v>
      </c>
      <c r="BL28" s="2" t="s">
        <v>1</v>
      </c>
    </row>
    <row r="29" spans="1:64" x14ac:dyDescent="0.2">
      <c r="A29" s="2" t="s">
        <v>22</v>
      </c>
      <c r="BL29" s="2" t="s">
        <v>1</v>
      </c>
    </row>
    <row r="30" spans="1:64" x14ac:dyDescent="0.2">
      <c r="I30" s="2" t="s">
        <v>23</v>
      </c>
      <c r="BL30" s="2" t="s">
        <v>1</v>
      </c>
    </row>
    <row r="31" spans="1:64" x14ac:dyDescent="0.2">
      <c r="C31" s="2" t="s">
        <v>24</v>
      </c>
      <c r="E31" s="2" t="s">
        <v>25</v>
      </c>
      <c r="G31" s="2" t="s">
        <v>26</v>
      </c>
      <c r="I31" s="2" t="s">
        <v>27</v>
      </c>
      <c r="K31" s="2" t="s">
        <v>28</v>
      </c>
      <c r="M31" s="2" t="s">
        <v>29</v>
      </c>
      <c r="O31" s="2" t="s">
        <v>30</v>
      </c>
      <c r="Q31" s="2" t="s">
        <v>31</v>
      </c>
      <c r="S31" s="2" t="s">
        <v>32</v>
      </c>
      <c r="U31" s="2" t="s">
        <v>33</v>
      </c>
      <c r="W31" s="2" t="s">
        <v>34</v>
      </c>
      <c r="Y31" s="2" t="s">
        <v>35</v>
      </c>
      <c r="AA31" s="2" t="s">
        <v>36</v>
      </c>
      <c r="AC31" s="2" t="s">
        <v>37</v>
      </c>
      <c r="AE31" s="2" t="s">
        <v>38</v>
      </c>
      <c r="AG31" s="2" t="s">
        <v>39</v>
      </c>
      <c r="AI31" s="2" t="s">
        <v>40</v>
      </c>
      <c r="AK31" s="2" t="s">
        <v>41</v>
      </c>
      <c r="AM31" s="2" t="s">
        <v>42</v>
      </c>
      <c r="AO31" s="2" t="s">
        <v>43</v>
      </c>
      <c r="AQ31" s="2" t="s">
        <v>44</v>
      </c>
      <c r="AS31" s="2" t="s">
        <v>45</v>
      </c>
      <c r="AU31" s="2" t="s">
        <v>46</v>
      </c>
      <c r="AW31" s="2" t="s">
        <v>47</v>
      </c>
      <c r="AY31" s="2" t="s">
        <v>48</v>
      </c>
      <c r="BA31" s="2" t="s">
        <v>49</v>
      </c>
      <c r="BC31" s="2" t="s">
        <v>50</v>
      </c>
      <c r="BE31" s="2" t="s">
        <v>51</v>
      </c>
      <c r="BG31" s="2" t="s">
        <v>52</v>
      </c>
      <c r="BL31" s="2" t="s">
        <v>1</v>
      </c>
    </row>
    <row r="32" spans="1:64" x14ac:dyDescent="0.2">
      <c r="A32" s="2" t="s">
        <v>53</v>
      </c>
      <c r="D32" s="2" t="s">
        <v>54</v>
      </c>
      <c r="F32" s="2" t="s">
        <v>55</v>
      </c>
      <c r="H32" s="2" t="s">
        <v>56</v>
      </c>
      <c r="J32" s="2" t="s">
        <v>57</v>
      </c>
      <c r="L32" s="2" t="s">
        <v>58</v>
      </c>
      <c r="N32" s="2" t="s">
        <v>59</v>
      </c>
      <c r="P32" s="2" t="s">
        <v>60</v>
      </c>
      <c r="R32" s="2" t="s">
        <v>61</v>
      </c>
      <c r="T32" s="2" t="s">
        <v>62</v>
      </c>
      <c r="V32" s="2" t="s">
        <v>63</v>
      </c>
      <c r="X32" s="2" t="s">
        <v>64</v>
      </c>
      <c r="Z32" s="2" t="s">
        <v>65</v>
      </c>
      <c r="AB32" s="2" t="s">
        <v>66</v>
      </c>
      <c r="AD32" s="2" t="s">
        <v>67</v>
      </c>
      <c r="AF32" s="2" t="s">
        <v>68</v>
      </c>
      <c r="AH32" s="2" t="s">
        <v>69</v>
      </c>
      <c r="AJ32" s="2" t="s">
        <v>70</v>
      </c>
      <c r="AL32" s="2" t="s">
        <v>71</v>
      </c>
      <c r="AN32" s="2" t="s">
        <v>72</v>
      </c>
      <c r="AP32" s="2" t="s">
        <v>73</v>
      </c>
      <c r="AR32" s="2" t="s">
        <v>74</v>
      </c>
      <c r="AT32" s="2" t="s">
        <v>75</v>
      </c>
      <c r="AV32" s="2" t="s">
        <v>76</v>
      </c>
      <c r="AX32" s="2" t="s">
        <v>77</v>
      </c>
      <c r="AZ32" s="2" t="s">
        <v>78</v>
      </c>
      <c r="BB32" s="2" t="s">
        <v>79</v>
      </c>
      <c r="BD32" s="2" t="s">
        <v>80</v>
      </c>
      <c r="BF32" s="2" t="s">
        <v>81</v>
      </c>
      <c r="BL32" s="2" t="s">
        <v>1</v>
      </c>
    </row>
    <row r="33" spans="1:64" x14ac:dyDescent="0.2">
      <c r="A33" s="2" t="s">
        <v>82</v>
      </c>
      <c r="C33" s="2" t="s">
        <v>83</v>
      </c>
      <c r="D33" s="2" t="s">
        <v>84</v>
      </c>
      <c r="E33" s="2" t="s">
        <v>85</v>
      </c>
      <c r="H33" s="2" t="s">
        <v>86</v>
      </c>
      <c r="J33" s="2" t="s">
        <v>87</v>
      </c>
      <c r="K33" s="2" t="s">
        <v>88</v>
      </c>
      <c r="L33" s="2" t="s">
        <v>89</v>
      </c>
      <c r="M33" s="2" t="s">
        <v>90</v>
      </c>
      <c r="N33" s="2" t="s">
        <v>91</v>
      </c>
      <c r="O33" s="2" t="s">
        <v>92</v>
      </c>
      <c r="P33" s="2" t="s">
        <v>87</v>
      </c>
      <c r="Q33" s="2" t="s">
        <v>87</v>
      </c>
      <c r="T33" s="2" t="s">
        <v>93</v>
      </c>
      <c r="U33" s="2" t="s">
        <v>92</v>
      </c>
      <c r="V33" s="2" t="s">
        <v>94</v>
      </c>
      <c r="X33" s="2" t="s">
        <v>95</v>
      </c>
      <c r="Y33" s="2" t="s">
        <v>96</v>
      </c>
      <c r="AC33" s="2" t="s">
        <v>92</v>
      </c>
      <c r="AD33" s="2" t="s">
        <v>87</v>
      </c>
      <c r="AE33" s="2" t="s">
        <v>97</v>
      </c>
      <c r="AF33" s="2" t="s">
        <v>98</v>
      </c>
      <c r="AH33" s="2" t="s">
        <v>99</v>
      </c>
      <c r="AK33" s="2" t="s">
        <v>100</v>
      </c>
      <c r="AO33" s="2" t="s">
        <v>101</v>
      </c>
      <c r="AP33" s="2" t="s">
        <v>102</v>
      </c>
      <c r="AQ33" s="2" t="s">
        <v>102</v>
      </c>
      <c r="AR33" s="2" t="s">
        <v>101</v>
      </c>
      <c r="AS33" s="2" t="s">
        <v>96</v>
      </c>
      <c r="AV33" s="2" t="s">
        <v>86</v>
      </c>
      <c r="AW33" s="2" t="s">
        <v>88</v>
      </c>
      <c r="BD33" s="2" t="s">
        <v>91</v>
      </c>
      <c r="BE33" s="2" t="s">
        <v>92</v>
      </c>
      <c r="BL33" s="2" t="s">
        <v>1</v>
      </c>
    </row>
    <row r="34" spans="1:64" x14ac:dyDescent="0.2">
      <c r="A34" s="2" t="s">
        <v>103</v>
      </c>
      <c r="B34" s="2" t="s">
        <v>104</v>
      </c>
      <c r="C34" s="7">
        <f>'ALE Tanks'!$A$16</f>
        <v>28586</v>
      </c>
      <c r="D34" s="7">
        <f>Alert!$C$9</f>
        <v>32194</v>
      </c>
      <c r="E34" s="7">
        <v>33476</v>
      </c>
      <c r="F34" s="7">
        <f>Africa!$C$9</f>
        <v>31642</v>
      </c>
      <c r="G34" s="7">
        <v>30541</v>
      </c>
      <c r="H34" s="7">
        <f>Arctic!$C$8</f>
        <v>32621</v>
      </c>
      <c r="I34" s="7">
        <f>Arguello!$A$10</f>
        <v>33616</v>
      </c>
      <c r="J34" s="7">
        <v>33315</v>
      </c>
      <c r="K34" s="7">
        <f>BarrowFlt!$A$11</f>
        <v>30078</v>
      </c>
      <c r="L34" s="7">
        <f>MIN(Belem!$C$9:$C$59)</f>
        <v>31760</v>
      </c>
      <c r="M34" s="7">
        <f>BeavertonOGC!$A$6</f>
        <v>30124</v>
      </c>
      <c r="N34" s="7">
        <f>BlackSaddleOR!$B$6</f>
        <v>31988</v>
      </c>
      <c r="O34" s="7">
        <f>'Beijing Rural'!$A$11</f>
        <v>34177</v>
      </c>
      <c r="P34" s="7">
        <f>MIN('Brazil Many'!$C$7:$C$244)</f>
        <v>30820</v>
      </c>
      <c r="Q34" s="7">
        <f>MIN('Brazil Flights1'!$AF$11:$AF$42,'Brazil Flights1'!$C$8:$C$41,'Brazil Flights1'!$M$10:$M$90)</f>
        <v>32770</v>
      </c>
      <c r="R34" s="7">
        <f>'Brazil Flights2'!$C$10</f>
        <v>32752</v>
      </c>
      <c r="S34" s="7">
        <f>CajunPass!$C$6</f>
        <v>31953</v>
      </c>
      <c r="T34" s="7">
        <v>31536</v>
      </c>
      <c r="U34" s="7">
        <f>'Chendu Rural'!$A$17</f>
        <v>31152</v>
      </c>
      <c r="V34" s="7">
        <f>MIN(DeadHorse!$A$7:$A$53)</f>
        <v>33701</v>
      </c>
      <c r="W34" s="7">
        <f>DiscoveryBay!$C$7</f>
        <v>32363</v>
      </c>
      <c r="X34" s="7">
        <f>'Ducke Brazil'!$A$6</f>
        <v>31241</v>
      </c>
      <c r="Y34" s="7">
        <f>'Dye3'!$A$10</f>
        <v>32382</v>
      </c>
      <c r="Z34" s="7">
        <f>GlenCanyon!$C$6</f>
        <v>31954</v>
      </c>
      <c r="AA34" s="7">
        <f>Greenland!$B$6</f>
        <v>32668</v>
      </c>
      <c r="AB34" s="7">
        <v>31419</v>
      </c>
      <c r="AC34" s="7">
        <f>GuangzhouRural!$A$9</f>
        <v>34925</v>
      </c>
      <c r="AD34" s="7">
        <f>Hawaii!$A$6</f>
        <v>30127</v>
      </c>
      <c r="AE34" s="7">
        <f>HopiPoint!$C$7</f>
        <v>31954</v>
      </c>
      <c r="AF34" s="7">
        <f>MIN(Iceland!$A$7:$A$22)</f>
        <v>29521</v>
      </c>
      <c r="AG34" s="7">
        <f>Jungfraujauch!$A$6</f>
        <v>33193</v>
      </c>
      <c r="AH34" s="7">
        <f>'Keahole HA'!$B$6</f>
        <v>34196</v>
      </c>
      <c r="AI34" s="7">
        <f>Kuwait!$B$12</f>
        <v>33374</v>
      </c>
      <c r="AJ34" s="7">
        <f>Landsdown!$A$7</f>
        <v>31167</v>
      </c>
      <c r="AK34" s="7">
        <f>'LaurelHill PA'!$A$6</f>
        <v>30541</v>
      </c>
      <c r="AL34" s="7">
        <f>'Marshall Isl'!$A$7</f>
        <v>29771</v>
      </c>
      <c r="AM34" s="7">
        <f>NiwotRidge!$A$6</f>
        <v>30131</v>
      </c>
      <c r="AN34" s="7">
        <f>PachecoPass!$B$9</f>
        <v>33081</v>
      </c>
      <c r="AO34" s="7">
        <f>SanNicholsIISL!$C$9</f>
        <v>31947</v>
      </c>
      <c r="AP34" s="7">
        <f>NorwayShipM!$A$6</f>
        <v>31103</v>
      </c>
      <c r="AQ34" s="7">
        <f>NorwayNyAlesund!$A$9</f>
        <v>31103</v>
      </c>
      <c r="AR34" s="7">
        <f>PtReyes!$B$8</f>
        <v>33231</v>
      </c>
      <c r="AS34" s="7">
        <f>Sondrestrom!$B$6</f>
        <v>31612</v>
      </c>
      <c r="AT34" s="7">
        <f>Shenandoah!$A$7</f>
        <v>33452</v>
      </c>
      <c r="AU34" s="7">
        <f>SpiritMountain!$C$7</f>
        <v>31952</v>
      </c>
      <c r="AV34" s="7">
        <f>CStJames!$A$6</f>
        <v>33051</v>
      </c>
      <c r="AW34" s="7">
        <f>'Toolik Lake'!$B$10</f>
        <v>32000</v>
      </c>
      <c r="AX34" s="7">
        <f>WhiteFaceMtn!$A$8</f>
        <v>30171</v>
      </c>
      <c r="AY34" s="7">
        <f>AmazonRiver!$C$8</f>
        <v>31264</v>
      </c>
      <c r="AZ34" s="7">
        <f>Cruise83!$A$9</f>
        <v>30346</v>
      </c>
      <c r="BA34" s="7">
        <f>Cruise87!$A$13</f>
        <v>31925</v>
      </c>
      <c r="BB34" s="7">
        <f>Cruise91!$A$8</f>
        <v>33435</v>
      </c>
      <c r="BC34" s="7">
        <f>Cruise92!$A$8</f>
        <v>33822</v>
      </c>
      <c r="BD34" s="7">
        <v>34225</v>
      </c>
      <c r="BE34" s="7">
        <f>'TuZu China'!$B$7</f>
        <v>31234</v>
      </c>
      <c r="BF34" s="7">
        <f>'Yangtze River'!$C$8</f>
        <v>32433</v>
      </c>
      <c r="BG34" s="7">
        <f>Yosemite!$B$9</f>
        <v>33067</v>
      </c>
      <c r="BH34" s="7"/>
      <c r="BI34" s="7"/>
      <c r="BJ34" s="7"/>
      <c r="BL34" s="2" t="s">
        <v>1</v>
      </c>
    </row>
    <row r="35" spans="1:64" x14ac:dyDescent="0.2">
      <c r="B35" s="2" t="s">
        <v>105</v>
      </c>
      <c r="C35" s="7">
        <f>'ALE Tanks'!$A$157</f>
        <v>30112</v>
      </c>
      <c r="D35" s="7">
        <f>Alert!$C$73</f>
        <v>32257</v>
      </c>
      <c r="E35" s="7">
        <v>33491</v>
      </c>
      <c r="F35" s="7">
        <f>Africa!$C$55</f>
        <v>31679</v>
      </c>
      <c r="G35" s="7">
        <v>30554</v>
      </c>
      <c r="H35" s="7">
        <f>Arctic!$C$46</f>
        <v>32641</v>
      </c>
      <c r="I35" s="7">
        <f>Arguello!$A$122</f>
        <v>34531</v>
      </c>
      <c r="J35" s="7">
        <v>33318</v>
      </c>
      <c r="K35" s="7">
        <f>BarrowFlt!$A$33</f>
        <v>30176</v>
      </c>
      <c r="L35" s="7">
        <f>MAX(Belem!$C$9:$C$59)</f>
        <v>32100</v>
      </c>
      <c r="M35" s="7">
        <f>BeavertonOGC!$A$32</f>
        <v>30166</v>
      </c>
      <c r="N35" s="7">
        <f>BlackSaddleOR!$B$16</f>
        <v>31999</v>
      </c>
      <c r="O35" s="7">
        <f>'Beijing Rural'!$A$51</f>
        <v>34206</v>
      </c>
      <c r="P35" s="7">
        <f>MAX('Brazil Many'!$C$7:$C$244)</f>
        <v>34031</v>
      </c>
      <c r="Q35" s="7">
        <f>MAX('Brazil Flights1'!$AF$11:$AF$42,'Brazil Flights1'!$C$8:$C$41,'Brazil Flights1'!$M$10:$M$90)</f>
        <v>33955</v>
      </c>
      <c r="R35" s="7">
        <f>'Brazil Flights2'!$C$80</f>
        <v>32758</v>
      </c>
      <c r="S35" s="7">
        <f>CajunPass!$C$65</f>
        <v>31989</v>
      </c>
      <c r="T35" s="7">
        <v>31865</v>
      </c>
      <c r="U35" s="7">
        <f>'Chendu Rural'!$W$64</f>
        <v>32046</v>
      </c>
      <c r="V35" s="7">
        <f>MAX(DeadHorse!$A$7:$A$53)</f>
        <v>33721</v>
      </c>
      <c r="W35" s="7">
        <f>DiscoveryBay!$C$22</f>
        <v>32372</v>
      </c>
      <c r="X35" s="7">
        <f>'Ducke Brazil'!$A$51</f>
        <v>31259</v>
      </c>
      <c r="Y35" s="7">
        <f>'Dye3'!$A$57</f>
        <v>32721</v>
      </c>
      <c r="Z35" s="7">
        <f>GlenCanyon!$C$84</f>
        <v>32032</v>
      </c>
      <c r="AA35" s="7">
        <f>Greenland!$A$100</f>
        <v>33489</v>
      </c>
      <c r="AB35" s="7">
        <v>31426</v>
      </c>
      <c r="AC35" s="7">
        <f>GuangzhouRural!$A$38</f>
        <v>35016</v>
      </c>
      <c r="AD35" s="7">
        <f>Hawaii!$A$37</f>
        <v>30128</v>
      </c>
      <c r="AE35" s="7">
        <f>HopiPoint!$C$76</f>
        <v>32035</v>
      </c>
      <c r="AF35" s="7">
        <f>MAX(Iceland!$A$7:$A$22)</f>
        <v>30179</v>
      </c>
      <c r="AG35" s="7">
        <f>Jungfraujauch!$A$13</f>
        <v>33832</v>
      </c>
      <c r="AH35" s="7">
        <f>'Keahole HA'!$B$11</f>
        <v>34201</v>
      </c>
      <c r="AI35" s="7">
        <f>Kuwait!$B$96</f>
        <v>33401</v>
      </c>
      <c r="AJ35" s="7">
        <f>Landsdown!$A$16</f>
        <v>31903</v>
      </c>
      <c r="AK35" s="7">
        <f>'LaurelHill PA'!$A$35</f>
        <v>30554</v>
      </c>
      <c r="AL35" s="7">
        <f>'Marshall Isl'!$A$15</f>
        <v>29884</v>
      </c>
      <c r="AM35" s="7">
        <f>NiwotRidge!$A$15</f>
        <v>30194</v>
      </c>
      <c r="AN35" s="7">
        <f>PachecoPass!$B$38</f>
        <v>33109</v>
      </c>
      <c r="AO35" s="7">
        <f>SanNicholsIISL!$C$40</f>
        <v>32023</v>
      </c>
      <c r="AP35" s="7">
        <f>NorwayShipM!$A$24</f>
        <v>31147</v>
      </c>
      <c r="AQ35" s="7">
        <f>NorwayNyAlesund!$A$32</f>
        <v>31158</v>
      </c>
      <c r="AR35" s="7">
        <f>PtReyes!$B$14</f>
        <v>33233</v>
      </c>
      <c r="AS35" s="7">
        <f>Sondrestrom!$B$27</f>
        <v>31626</v>
      </c>
      <c r="AT35" s="7">
        <f>Shenandoah!$A$49</f>
        <v>33495</v>
      </c>
      <c r="AU35" s="7">
        <f>SpiritMountain!$C$90</f>
        <v>32032</v>
      </c>
      <c r="AV35" s="7">
        <f>CStJames!$A$29</f>
        <v>33311</v>
      </c>
      <c r="AW35" s="7">
        <f>'Toolik Lake'!$B$19</f>
        <v>32019</v>
      </c>
      <c r="AX35" s="7">
        <f>WhiteFaceMtn!$A$62</f>
        <v>30538</v>
      </c>
      <c r="AY35" s="7">
        <f>AmazonRiver!$C$27</f>
        <v>31282</v>
      </c>
      <c r="AZ35" s="7">
        <f>Cruise83!$A$19</f>
        <v>30365</v>
      </c>
      <c r="BA35" s="7">
        <f>Cruise87!$A$23</f>
        <v>31926</v>
      </c>
      <c r="BB35" s="7">
        <f>Cruise91!$A$97</f>
        <v>33483</v>
      </c>
      <c r="BC35" s="7">
        <v>33829</v>
      </c>
      <c r="BD35" s="7">
        <v>34233</v>
      </c>
      <c r="BE35" s="7">
        <f>'TuZu China'!$B$39</f>
        <v>32256</v>
      </c>
      <c r="BF35" s="7">
        <f>'Yangtze River'!$C$15</f>
        <v>32435</v>
      </c>
      <c r="BG35" s="7">
        <f>Yosemite!$B$42</f>
        <v>33109</v>
      </c>
      <c r="BH35" s="7"/>
      <c r="BI35" s="7"/>
      <c r="BJ35" s="7"/>
      <c r="BK35" s="7"/>
      <c r="BL35" s="2" t="s">
        <v>1</v>
      </c>
    </row>
    <row r="36" spans="1:64" x14ac:dyDescent="0.2">
      <c r="B36" s="2" t="s">
        <v>106</v>
      </c>
      <c r="C36" s="4">
        <f t="shared" ref="C36:AH36" si="0">C35-C34</f>
        <v>1526</v>
      </c>
      <c r="D36" s="4">
        <f t="shared" si="0"/>
        <v>63</v>
      </c>
      <c r="E36" s="4">
        <f t="shared" si="0"/>
        <v>15</v>
      </c>
      <c r="F36" s="4">
        <f t="shared" si="0"/>
        <v>37</v>
      </c>
      <c r="G36" s="4">
        <f t="shared" si="0"/>
        <v>13</v>
      </c>
      <c r="H36" s="4">
        <f t="shared" si="0"/>
        <v>20</v>
      </c>
      <c r="I36" s="4">
        <f t="shared" si="0"/>
        <v>915</v>
      </c>
      <c r="J36" s="4">
        <f t="shared" si="0"/>
        <v>3</v>
      </c>
      <c r="K36" s="4">
        <f t="shared" si="0"/>
        <v>98</v>
      </c>
      <c r="L36" s="4">
        <f t="shared" si="0"/>
        <v>340</v>
      </c>
      <c r="M36" s="4">
        <f t="shared" si="0"/>
        <v>42</v>
      </c>
      <c r="N36" s="4">
        <f t="shared" si="0"/>
        <v>11</v>
      </c>
      <c r="O36" s="4">
        <f t="shared" si="0"/>
        <v>29</v>
      </c>
      <c r="P36" s="4">
        <f t="shared" si="0"/>
        <v>3211</v>
      </c>
      <c r="Q36" s="4">
        <f t="shared" si="0"/>
        <v>1185</v>
      </c>
      <c r="R36" s="4">
        <f t="shared" si="0"/>
        <v>6</v>
      </c>
      <c r="S36" s="4">
        <f t="shared" si="0"/>
        <v>36</v>
      </c>
      <c r="T36" s="4">
        <f t="shared" si="0"/>
        <v>329</v>
      </c>
      <c r="U36" s="4">
        <f t="shared" si="0"/>
        <v>894</v>
      </c>
      <c r="V36" s="4">
        <f t="shared" si="0"/>
        <v>20</v>
      </c>
      <c r="W36" s="4">
        <f t="shared" si="0"/>
        <v>9</v>
      </c>
      <c r="X36" s="4">
        <f t="shared" si="0"/>
        <v>18</v>
      </c>
      <c r="Y36" s="4">
        <f t="shared" si="0"/>
        <v>339</v>
      </c>
      <c r="Z36" s="4">
        <f t="shared" si="0"/>
        <v>78</v>
      </c>
      <c r="AA36" s="4">
        <f t="shared" si="0"/>
        <v>821</v>
      </c>
      <c r="AB36" s="4">
        <f t="shared" si="0"/>
        <v>7</v>
      </c>
      <c r="AC36" s="4">
        <f t="shared" si="0"/>
        <v>91</v>
      </c>
      <c r="AD36" s="4">
        <f t="shared" si="0"/>
        <v>1</v>
      </c>
      <c r="AE36" s="4">
        <f t="shared" si="0"/>
        <v>81</v>
      </c>
      <c r="AF36" s="4">
        <f t="shared" si="0"/>
        <v>658</v>
      </c>
      <c r="AG36" s="4">
        <f t="shared" si="0"/>
        <v>639</v>
      </c>
      <c r="AH36" s="4">
        <f t="shared" si="0"/>
        <v>5</v>
      </c>
      <c r="AI36" s="4">
        <f t="shared" ref="AI36:BG36" si="1">AI35-AI34</f>
        <v>27</v>
      </c>
      <c r="AJ36" s="4">
        <f t="shared" si="1"/>
        <v>736</v>
      </c>
      <c r="AK36" s="4">
        <f t="shared" si="1"/>
        <v>13</v>
      </c>
      <c r="AL36" s="4">
        <f t="shared" si="1"/>
        <v>113</v>
      </c>
      <c r="AM36" s="4">
        <f t="shared" si="1"/>
        <v>63</v>
      </c>
      <c r="AN36" s="4">
        <f t="shared" si="1"/>
        <v>28</v>
      </c>
      <c r="AO36" s="4">
        <f t="shared" si="1"/>
        <v>76</v>
      </c>
      <c r="AP36" s="4">
        <f t="shared" si="1"/>
        <v>44</v>
      </c>
      <c r="AQ36" s="4">
        <f t="shared" si="1"/>
        <v>55</v>
      </c>
      <c r="AR36" s="4">
        <f t="shared" si="1"/>
        <v>2</v>
      </c>
      <c r="AS36" s="4">
        <f t="shared" si="1"/>
        <v>14</v>
      </c>
      <c r="AT36" s="4">
        <f t="shared" si="1"/>
        <v>43</v>
      </c>
      <c r="AU36" s="4">
        <f t="shared" si="1"/>
        <v>80</v>
      </c>
      <c r="AV36" s="4">
        <f t="shared" si="1"/>
        <v>260</v>
      </c>
      <c r="AW36" s="4">
        <f t="shared" si="1"/>
        <v>19</v>
      </c>
      <c r="AX36" s="4">
        <f t="shared" si="1"/>
        <v>367</v>
      </c>
      <c r="AY36" s="4">
        <f t="shared" si="1"/>
        <v>18</v>
      </c>
      <c r="AZ36" s="4">
        <f t="shared" si="1"/>
        <v>19</v>
      </c>
      <c r="BA36" s="4">
        <f t="shared" si="1"/>
        <v>1</v>
      </c>
      <c r="BB36" s="4">
        <f t="shared" si="1"/>
        <v>48</v>
      </c>
      <c r="BC36" s="4">
        <f t="shared" si="1"/>
        <v>7</v>
      </c>
      <c r="BD36" s="4">
        <f t="shared" si="1"/>
        <v>8</v>
      </c>
      <c r="BE36" s="4">
        <f t="shared" si="1"/>
        <v>1022</v>
      </c>
      <c r="BF36" s="4">
        <f t="shared" si="1"/>
        <v>2</v>
      </c>
      <c r="BG36" s="4">
        <f t="shared" si="1"/>
        <v>42</v>
      </c>
      <c r="BL36" s="2" t="s">
        <v>1</v>
      </c>
    </row>
    <row r="37" spans="1:64" x14ac:dyDescent="0.2">
      <c r="B37" s="2" t="s">
        <v>107</v>
      </c>
      <c r="C37" s="4">
        <f t="shared" ref="C37:AH37" si="2">C36/365</f>
        <v>4.1808219178082195</v>
      </c>
      <c r="D37" s="4">
        <f t="shared" si="2"/>
        <v>0.17260273972602741</v>
      </c>
      <c r="E37" s="4">
        <f t="shared" si="2"/>
        <v>4.1095890410958902E-2</v>
      </c>
      <c r="F37" s="4">
        <f t="shared" si="2"/>
        <v>0.10136986301369863</v>
      </c>
      <c r="G37" s="4">
        <f t="shared" si="2"/>
        <v>3.5616438356164383E-2</v>
      </c>
      <c r="H37" s="4">
        <f t="shared" si="2"/>
        <v>5.4794520547945202E-2</v>
      </c>
      <c r="I37" s="4">
        <f t="shared" si="2"/>
        <v>2.506849315068493</v>
      </c>
      <c r="J37" s="4">
        <f t="shared" si="2"/>
        <v>8.21917808219178E-3</v>
      </c>
      <c r="K37" s="4">
        <f t="shared" si="2"/>
        <v>0.26849315068493151</v>
      </c>
      <c r="L37" s="4">
        <f t="shared" si="2"/>
        <v>0.93150684931506844</v>
      </c>
      <c r="M37" s="4">
        <f t="shared" si="2"/>
        <v>0.11506849315068493</v>
      </c>
      <c r="N37" s="4">
        <f t="shared" si="2"/>
        <v>3.0136986301369864E-2</v>
      </c>
      <c r="O37" s="4">
        <f t="shared" si="2"/>
        <v>7.9452054794520555E-2</v>
      </c>
      <c r="P37" s="4">
        <f t="shared" si="2"/>
        <v>8.7972602739726025</v>
      </c>
      <c r="Q37" s="4">
        <f t="shared" si="2"/>
        <v>3.2465753424657535</v>
      </c>
      <c r="R37" s="4">
        <f t="shared" si="2"/>
        <v>1.643835616438356E-2</v>
      </c>
      <c r="S37" s="4">
        <f t="shared" si="2"/>
        <v>9.8630136986301367E-2</v>
      </c>
      <c r="T37" s="4">
        <f t="shared" si="2"/>
        <v>0.90136986301369859</v>
      </c>
      <c r="U37" s="4">
        <f t="shared" si="2"/>
        <v>2.4493150684931506</v>
      </c>
      <c r="V37" s="4">
        <f t="shared" si="2"/>
        <v>5.4794520547945202E-2</v>
      </c>
      <c r="W37" s="4">
        <f t="shared" si="2"/>
        <v>2.4657534246575342E-2</v>
      </c>
      <c r="X37" s="4">
        <f t="shared" si="2"/>
        <v>4.9315068493150684E-2</v>
      </c>
      <c r="Y37" s="4">
        <f t="shared" si="2"/>
        <v>0.92876712328767119</v>
      </c>
      <c r="Z37" s="4">
        <f t="shared" si="2"/>
        <v>0.21369863013698631</v>
      </c>
      <c r="AA37" s="4">
        <f t="shared" si="2"/>
        <v>2.2493150684931509</v>
      </c>
      <c r="AB37" s="4">
        <f t="shared" si="2"/>
        <v>1.9178082191780823E-2</v>
      </c>
      <c r="AC37" s="4">
        <f t="shared" si="2"/>
        <v>0.24931506849315069</v>
      </c>
      <c r="AD37" s="4">
        <f t="shared" si="2"/>
        <v>2.7397260273972603E-3</v>
      </c>
      <c r="AE37" s="4">
        <f t="shared" si="2"/>
        <v>0.22191780821917809</v>
      </c>
      <c r="AF37" s="4">
        <f t="shared" si="2"/>
        <v>1.8027397260273972</v>
      </c>
      <c r="AG37" s="4">
        <f t="shared" si="2"/>
        <v>1.7506849315068493</v>
      </c>
      <c r="AH37" s="4">
        <f t="shared" si="2"/>
        <v>1.3698630136986301E-2</v>
      </c>
      <c r="AI37" s="4">
        <f t="shared" ref="AI37:BG37" si="3">AI36/365</f>
        <v>7.3972602739726029E-2</v>
      </c>
      <c r="AJ37" s="4">
        <f t="shared" si="3"/>
        <v>2.0164383561643837</v>
      </c>
      <c r="AK37" s="4">
        <f t="shared" si="3"/>
        <v>3.5616438356164383E-2</v>
      </c>
      <c r="AL37" s="4">
        <f t="shared" si="3"/>
        <v>0.30958904109589042</v>
      </c>
      <c r="AM37" s="4">
        <f t="shared" si="3"/>
        <v>0.17260273972602741</v>
      </c>
      <c r="AN37" s="4">
        <f t="shared" si="3"/>
        <v>7.6712328767123292E-2</v>
      </c>
      <c r="AO37" s="4">
        <f t="shared" si="3"/>
        <v>0.20821917808219179</v>
      </c>
      <c r="AP37" s="4">
        <f t="shared" si="3"/>
        <v>0.12054794520547946</v>
      </c>
      <c r="AQ37" s="4">
        <f t="shared" si="3"/>
        <v>0.15068493150684931</v>
      </c>
      <c r="AR37" s="4">
        <f t="shared" si="3"/>
        <v>5.4794520547945206E-3</v>
      </c>
      <c r="AS37" s="4">
        <f t="shared" si="3"/>
        <v>3.8356164383561646E-2</v>
      </c>
      <c r="AT37" s="4">
        <f t="shared" si="3"/>
        <v>0.11780821917808219</v>
      </c>
      <c r="AU37" s="4">
        <f t="shared" si="3"/>
        <v>0.21917808219178081</v>
      </c>
      <c r="AV37" s="4">
        <f t="shared" si="3"/>
        <v>0.71232876712328763</v>
      </c>
      <c r="AW37" s="4">
        <f t="shared" si="3"/>
        <v>5.2054794520547946E-2</v>
      </c>
      <c r="AX37" s="4">
        <f t="shared" si="3"/>
        <v>1.0054794520547945</v>
      </c>
      <c r="AY37" s="4">
        <f t="shared" si="3"/>
        <v>4.9315068493150684E-2</v>
      </c>
      <c r="AZ37" s="4">
        <f t="shared" si="3"/>
        <v>5.2054794520547946E-2</v>
      </c>
      <c r="BA37" s="4">
        <f t="shared" si="3"/>
        <v>2.7397260273972603E-3</v>
      </c>
      <c r="BB37" s="4">
        <f t="shared" si="3"/>
        <v>0.13150684931506848</v>
      </c>
      <c r="BC37" s="4">
        <f t="shared" si="3"/>
        <v>1.9178082191780823E-2</v>
      </c>
      <c r="BD37" s="4">
        <f t="shared" si="3"/>
        <v>2.1917808219178082E-2</v>
      </c>
      <c r="BE37" s="4">
        <f t="shared" si="3"/>
        <v>2.8</v>
      </c>
      <c r="BF37" s="4">
        <f t="shared" si="3"/>
        <v>5.4794520547945206E-3</v>
      </c>
      <c r="BG37" s="4">
        <f t="shared" si="3"/>
        <v>0.11506849315068493</v>
      </c>
      <c r="BL37" s="2" t="s">
        <v>1</v>
      </c>
    </row>
    <row r="38" spans="1:64" x14ac:dyDescent="0.2">
      <c r="B38" s="2" t="s">
        <v>108</v>
      </c>
      <c r="C38" s="4">
        <f>COUNTA('ALE Tanks'!$A$16:$A$157)</f>
        <v>142</v>
      </c>
      <c r="D38" s="4">
        <f>COUNTA(Alert!$C$9:$C$73)</f>
        <v>65</v>
      </c>
      <c r="E38" s="4">
        <f>COUNTA(Acadia!$D$6:$D$27)</f>
        <v>22</v>
      </c>
      <c r="F38" s="4">
        <f>COUNTA(Africa!$C$9:$C$55)</f>
        <v>47</v>
      </c>
      <c r="G38" s="4">
        <f>COUNTA(Allegheny!$D$6:$D$33)</f>
        <v>28</v>
      </c>
      <c r="H38" s="4">
        <f>COUNTA(Arctic!$C$8:$C$46)</f>
        <v>39</v>
      </c>
      <c r="I38" s="4">
        <f>COUNTA(Arguello!$A$10:$A$122)</f>
        <v>113</v>
      </c>
      <c r="J38" s="4">
        <f>COUNTA(Bahamas!$E$6:$E$11)</f>
        <v>6</v>
      </c>
      <c r="K38" s="4">
        <f>COUNTA(BarrowFlt!$C$11:$C$55)</f>
        <v>45</v>
      </c>
      <c r="L38" s="4">
        <f>COUNTA(Belem!$C$9:$C$59)</f>
        <v>49</v>
      </c>
      <c r="M38" s="4">
        <f>COUNTA(BeavertonOGC!$A$6:$A$32)</f>
        <v>27</v>
      </c>
      <c r="N38" s="4">
        <f>COUNTA(BlackSaddleOR!$B$6:$B$16)</f>
        <v>11</v>
      </c>
      <c r="O38" s="4">
        <f>COUNTA('Beijing Rural'!$A$11:$A$51)</f>
        <v>41</v>
      </c>
      <c r="P38" s="4">
        <f>COUNT(Belem!$C$7:$C$244,BeavertonOGC!$C$7:$C$244,'Beijing Rural'!$C$7:$C$244,BlackSaddleOR!$C$7:$C$244,'Brazil Many'!$C$7:$C$244)</f>
        <v>283</v>
      </c>
      <c r="Q38" s="4">
        <f>COUNT('Brazil Flights1'!$AF$11:$AF$42,'Brazil Flights1'!$C$8:$C$41,'Brazil Flights1'!$M$10:$M$90)</f>
        <v>130</v>
      </c>
      <c r="R38" s="4">
        <f>COUNTA('Brazil Flights2'!$C$10:$C$80)</f>
        <v>71</v>
      </c>
      <c r="S38" s="4">
        <f>COUNTA(CajunPass!$B$6:$B$65)</f>
        <v>60</v>
      </c>
      <c r="T38" s="4">
        <f>COUNT(Cozumel!$G$9:$G$47)</f>
        <v>24</v>
      </c>
      <c r="U38" s="4">
        <f>COUNTA('Chendu Rural'!$D$17:$D$57,'Chendu Rural'!$W$20:$W$32)</f>
        <v>50</v>
      </c>
      <c r="V38" s="4">
        <f>COUNT(DeadHorse!$A$7:$A$53)</f>
        <v>47</v>
      </c>
      <c r="W38" s="4">
        <f>COUNTA(DiscoveryBay!$C$7:$C$22)</f>
        <v>16</v>
      </c>
      <c r="X38" s="4">
        <f>COUNTA('Ducke Brazil'!$A$6:$A$51)</f>
        <v>46</v>
      </c>
      <c r="Y38" s="4">
        <f>COUNTA('Dye3'!$A$10:$A$57)</f>
        <v>48</v>
      </c>
      <c r="Z38" s="4">
        <f>COUNTA(GlenCanyon!$C$6:$C$84)</f>
        <v>79</v>
      </c>
      <c r="AA38" s="4">
        <f>COUNTA(Greenland!$A$6:$A$45)</f>
        <v>30</v>
      </c>
      <c r="AB38" s="4">
        <v>6</v>
      </c>
      <c r="AC38" s="4">
        <f>COUNTA(GuangzhouRural!$A$9:$A$38)</f>
        <v>30</v>
      </c>
      <c r="AD38" s="4">
        <f>COUNTA(Hawaii!$A$6:$A$37)</f>
        <v>32</v>
      </c>
      <c r="AE38" s="4">
        <f>COUNTA(HopiPoint!$C$7:$C$76)</f>
        <v>70</v>
      </c>
      <c r="AF38" s="4">
        <v>16</v>
      </c>
      <c r="AG38" s="4">
        <v>8</v>
      </c>
      <c r="AH38" s="4">
        <v>6</v>
      </c>
      <c r="AI38" s="4">
        <f>COUNTA(Kuwait!$B$12:$B$96)</f>
        <v>73</v>
      </c>
      <c r="AJ38" s="4">
        <v>10</v>
      </c>
      <c r="AK38" s="4">
        <f>COUNTA('LaurelHill PA'!$A$6:$A$35)</f>
        <v>30</v>
      </c>
      <c r="AL38" s="4">
        <v>9</v>
      </c>
      <c r="AM38" s="4">
        <v>10</v>
      </c>
      <c r="AN38" s="4">
        <f>COUNTA(PachecoPass!$B$9:$B$38)</f>
        <v>30</v>
      </c>
      <c r="AO38" s="4">
        <f>COUNTA(SanNicholsIISL!$C$9:$C$40)</f>
        <v>32</v>
      </c>
      <c r="AP38" s="2">
        <f>COUNTA(NorwayShipM!$A$6:$A$24)</f>
        <v>19</v>
      </c>
      <c r="AQ38" s="2">
        <f>COUNTA(NorwayNyAlesund!$A$9:$A$32)</f>
        <v>24</v>
      </c>
      <c r="AR38" s="2">
        <v>8</v>
      </c>
      <c r="AS38" s="2">
        <f>COUNTA(Sondrestrom!$B$6:$B$27)</f>
        <v>20</v>
      </c>
      <c r="AT38" s="2">
        <f>COUNTA(Shenandoah!$A$7:$A$49)</f>
        <v>43</v>
      </c>
      <c r="AU38" s="2">
        <f>COUNTA(SpiritMountain!$C$7:$C$90)</f>
        <v>84</v>
      </c>
      <c r="AV38" s="2">
        <f>COUNTA(CStJames!$A$6:$A$29)</f>
        <v>24</v>
      </c>
      <c r="AW38" s="2">
        <f>COUNTA('Toolik Lake'!$B$10:$B$19)</f>
        <v>10</v>
      </c>
      <c r="AX38" s="2">
        <f>COUNTA(WhiteFaceMtn!$A$8:$A$62)</f>
        <v>55</v>
      </c>
      <c r="AY38" s="2">
        <f>COUNTA(AmazonRiver!$C$8:$C$27)</f>
        <v>20</v>
      </c>
      <c r="AZ38" s="4">
        <f>COUNTA(Cruise83!$A$9:$A$19)</f>
        <v>11</v>
      </c>
      <c r="BA38" s="2">
        <v>11</v>
      </c>
      <c r="BB38" s="2">
        <f>COUNTA(Cruise91!$A$8:$A$97)</f>
        <v>90</v>
      </c>
      <c r="BC38" s="2">
        <v>8</v>
      </c>
      <c r="BD38" s="2">
        <f>COUNTA(Tillamook!$B$10:$B$51)</f>
        <v>36</v>
      </c>
      <c r="BE38" s="2">
        <f>COUNTA('TuZu China'!$B$7:$B$39)</f>
        <v>33</v>
      </c>
      <c r="BF38" s="2">
        <f>COUNTA('Yangtze River'!$A$8:$A$19)</f>
        <v>12</v>
      </c>
      <c r="BG38" s="2">
        <f>COUNTA(Yosemite!$B$9:$B$42)</f>
        <v>34</v>
      </c>
      <c r="BL38" s="2" t="s">
        <v>1</v>
      </c>
    </row>
    <row r="39" spans="1:64" x14ac:dyDescent="0.2">
      <c r="B39" s="2" t="s">
        <v>109</v>
      </c>
      <c r="C39" s="4">
        <f t="shared" ref="C39:Z39" si="4">COUNTA(C42:C81)</f>
        <v>10</v>
      </c>
      <c r="D39" s="4">
        <f t="shared" si="4"/>
        <v>19</v>
      </c>
      <c r="E39" s="4">
        <f t="shared" si="4"/>
        <v>12</v>
      </c>
      <c r="F39" s="4">
        <f t="shared" si="4"/>
        <v>19</v>
      </c>
      <c r="G39" s="4">
        <f t="shared" si="4"/>
        <v>23</v>
      </c>
      <c r="H39" s="4">
        <f t="shared" si="4"/>
        <v>12</v>
      </c>
      <c r="I39" s="4">
        <f t="shared" si="4"/>
        <v>7</v>
      </c>
      <c r="J39" s="4">
        <f t="shared" si="4"/>
        <v>11</v>
      </c>
      <c r="K39" s="4">
        <f t="shared" si="4"/>
        <v>11</v>
      </c>
      <c r="L39" s="4">
        <f t="shared" si="4"/>
        <v>21</v>
      </c>
      <c r="M39" s="4">
        <f t="shared" si="4"/>
        <v>10</v>
      </c>
      <c r="N39" s="4">
        <f t="shared" si="4"/>
        <v>6</v>
      </c>
      <c r="O39" s="4">
        <f t="shared" si="4"/>
        <v>10</v>
      </c>
      <c r="P39" s="4">
        <f t="shared" si="4"/>
        <v>20</v>
      </c>
      <c r="Q39" s="4">
        <f t="shared" si="4"/>
        <v>12</v>
      </c>
      <c r="R39" s="4">
        <f t="shared" si="4"/>
        <v>12</v>
      </c>
      <c r="S39" s="4">
        <f t="shared" si="4"/>
        <v>20</v>
      </c>
      <c r="T39" s="4">
        <f t="shared" si="4"/>
        <v>19</v>
      </c>
      <c r="U39" s="4">
        <f t="shared" si="4"/>
        <v>19</v>
      </c>
      <c r="V39" s="4">
        <f t="shared" si="4"/>
        <v>20</v>
      </c>
      <c r="W39" s="4">
        <f t="shared" si="4"/>
        <v>18</v>
      </c>
      <c r="X39" s="4">
        <f t="shared" si="4"/>
        <v>9</v>
      </c>
      <c r="Y39" s="4">
        <f t="shared" si="4"/>
        <v>11</v>
      </c>
      <c r="Z39" s="4">
        <f t="shared" si="4"/>
        <v>18</v>
      </c>
      <c r="AA39" s="4">
        <f>COUNTA(AA42:AA81)+39</f>
        <v>53</v>
      </c>
      <c r="AB39" s="4">
        <f t="shared" ref="AB39:BG39" si="5">COUNTA(AB42:AB81)</f>
        <v>15</v>
      </c>
      <c r="AC39" s="4">
        <f t="shared" si="5"/>
        <v>9</v>
      </c>
      <c r="AD39" s="4">
        <f t="shared" si="5"/>
        <v>8</v>
      </c>
      <c r="AE39" s="4">
        <f t="shared" si="5"/>
        <v>19</v>
      </c>
      <c r="AF39" s="4">
        <f t="shared" si="5"/>
        <v>10</v>
      </c>
      <c r="AG39" s="4">
        <f t="shared" si="5"/>
        <v>14</v>
      </c>
      <c r="AH39" s="4">
        <f t="shared" si="5"/>
        <v>12</v>
      </c>
      <c r="AI39" s="4">
        <f t="shared" si="5"/>
        <v>12</v>
      </c>
      <c r="AJ39" s="4">
        <f t="shared" si="5"/>
        <v>21</v>
      </c>
      <c r="AK39" s="4">
        <f t="shared" si="5"/>
        <v>25</v>
      </c>
      <c r="AL39" s="4">
        <f t="shared" si="5"/>
        <v>10</v>
      </c>
      <c r="AM39" s="4">
        <f t="shared" si="5"/>
        <v>10</v>
      </c>
      <c r="AN39" s="4">
        <f t="shared" si="5"/>
        <v>9</v>
      </c>
      <c r="AO39" s="4">
        <f t="shared" si="5"/>
        <v>18</v>
      </c>
      <c r="AP39" s="4">
        <f t="shared" si="5"/>
        <v>20</v>
      </c>
      <c r="AQ39" s="4">
        <f t="shared" si="5"/>
        <v>18</v>
      </c>
      <c r="AR39" s="4">
        <f t="shared" si="5"/>
        <v>11</v>
      </c>
      <c r="AS39" s="4">
        <f t="shared" si="5"/>
        <v>14</v>
      </c>
      <c r="AT39" s="4">
        <f t="shared" si="5"/>
        <v>13</v>
      </c>
      <c r="AU39" s="4">
        <f t="shared" si="5"/>
        <v>17</v>
      </c>
      <c r="AV39" s="4">
        <f t="shared" si="5"/>
        <v>11</v>
      </c>
      <c r="AW39" s="4">
        <f t="shared" si="5"/>
        <v>12</v>
      </c>
      <c r="AX39" s="4">
        <f t="shared" si="5"/>
        <v>1</v>
      </c>
      <c r="AY39" s="4">
        <f t="shared" si="5"/>
        <v>12</v>
      </c>
      <c r="AZ39" s="4">
        <f t="shared" si="5"/>
        <v>15</v>
      </c>
      <c r="BA39" s="4">
        <f t="shared" si="5"/>
        <v>21</v>
      </c>
      <c r="BB39" s="4">
        <f t="shared" si="5"/>
        <v>12</v>
      </c>
      <c r="BC39" s="4">
        <f t="shared" si="5"/>
        <v>9</v>
      </c>
      <c r="BD39" s="4">
        <f t="shared" si="5"/>
        <v>11</v>
      </c>
      <c r="BE39" s="4">
        <f t="shared" si="5"/>
        <v>24</v>
      </c>
      <c r="BF39" s="4">
        <f t="shared" si="5"/>
        <v>33</v>
      </c>
      <c r="BG39" s="4">
        <f t="shared" si="5"/>
        <v>9</v>
      </c>
      <c r="BL39" s="2" t="s">
        <v>1</v>
      </c>
    </row>
    <row r="40" spans="1:64" x14ac:dyDescent="0.2">
      <c r="B40" s="2" t="s">
        <v>110</v>
      </c>
      <c r="C40" s="4">
        <f>'ALE Tanks'!$B$270</f>
        <v>1676</v>
      </c>
      <c r="D40" s="4">
        <f>SUM(Acadia!$C$35:$N$35)</f>
        <v>242</v>
      </c>
      <c r="E40" s="4">
        <f>SUM(Acadia!$D$35:$O$35)</f>
        <v>262</v>
      </c>
      <c r="F40" s="4">
        <f>SUM(Acadia!$E$35:$P$35)</f>
        <v>240</v>
      </c>
      <c r="G40" s="4">
        <f>SUM(Allegheny!$D$41:$AE$41)</f>
        <v>730</v>
      </c>
      <c r="H40" s="4">
        <f t="shared" ref="H40:AV40" si="6">H39*H38</f>
        <v>468</v>
      </c>
      <c r="I40" s="4">
        <f t="shared" si="6"/>
        <v>791</v>
      </c>
      <c r="J40" s="4">
        <f t="shared" si="6"/>
        <v>66</v>
      </c>
      <c r="K40" s="4">
        <f t="shared" si="6"/>
        <v>495</v>
      </c>
      <c r="L40" s="4">
        <f t="shared" si="6"/>
        <v>1029</v>
      </c>
      <c r="M40" s="4">
        <f t="shared" si="6"/>
        <v>270</v>
      </c>
      <c r="N40" s="4">
        <f t="shared" si="6"/>
        <v>66</v>
      </c>
      <c r="O40" s="4">
        <f t="shared" si="6"/>
        <v>410</v>
      </c>
      <c r="P40" s="4">
        <f t="shared" si="6"/>
        <v>5660</v>
      </c>
      <c r="Q40" s="4">
        <f t="shared" si="6"/>
        <v>1560</v>
      </c>
      <c r="R40" s="4">
        <f t="shared" si="6"/>
        <v>852</v>
      </c>
      <c r="S40" s="4">
        <f t="shared" si="6"/>
        <v>1200</v>
      </c>
      <c r="T40" s="4">
        <f t="shared" si="6"/>
        <v>456</v>
      </c>
      <c r="U40" s="4">
        <f t="shared" si="6"/>
        <v>950</v>
      </c>
      <c r="V40" s="4">
        <f t="shared" si="6"/>
        <v>940</v>
      </c>
      <c r="W40" s="4">
        <f t="shared" si="6"/>
        <v>288</v>
      </c>
      <c r="X40" s="4">
        <f t="shared" si="6"/>
        <v>414</v>
      </c>
      <c r="Y40" s="4">
        <f t="shared" si="6"/>
        <v>528</v>
      </c>
      <c r="Z40" s="4">
        <f t="shared" si="6"/>
        <v>1422</v>
      </c>
      <c r="AA40" s="4">
        <f t="shared" si="6"/>
        <v>1590</v>
      </c>
      <c r="AB40" s="4">
        <f t="shared" si="6"/>
        <v>90</v>
      </c>
      <c r="AC40" s="4">
        <f t="shared" si="6"/>
        <v>270</v>
      </c>
      <c r="AD40" s="4">
        <f t="shared" si="6"/>
        <v>256</v>
      </c>
      <c r="AE40" s="4">
        <f t="shared" si="6"/>
        <v>1330</v>
      </c>
      <c r="AF40" s="4">
        <f t="shared" si="6"/>
        <v>160</v>
      </c>
      <c r="AG40" s="4">
        <f t="shared" si="6"/>
        <v>112</v>
      </c>
      <c r="AH40" s="4">
        <f t="shared" si="6"/>
        <v>72</v>
      </c>
      <c r="AI40" s="4">
        <f t="shared" si="6"/>
        <v>876</v>
      </c>
      <c r="AJ40" s="4">
        <f t="shared" si="6"/>
        <v>210</v>
      </c>
      <c r="AK40" s="4">
        <f t="shared" si="6"/>
        <v>750</v>
      </c>
      <c r="AL40" s="4">
        <f t="shared" si="6"/>
        <v>90</v>
      </c>
      <c r="AM40" s="4">
        <f t="shared" si="6"/>
        <v>100</v>
      </c>
      <c r="AN40" s="4">
        <f t="shared" si="6"/>
        <v>270</v>
      </c>
      <c r="AO40" s="4">
        <f t="shared" si="6"/>
        <v>576</v>
      </c>
      <c r="AP40" s="4">
        <f t="shared" si="6"/>
        <v>380</v>
      </c>
      <c r="AQ40" s="4">
        <f t="shared" si="6"/>
        <v>432</v>
      </c>
      <c r="AR40" s="4">
        <f t="shared" si="6"/>
        <v>88</v>
      </c>
      <c r="AS40" s="4">
        <f t="shared" si="6"/>
        <v>280</v>
      </c>
      <c r="AT40" s="4">
        <f t="shared" si="6"/>
        <v>559</v>
      </c>
      <c r="AU40" s="4">
        <f t="shared" si="6"/>
        <v>1428</v>
      </c>
      <c r="AV40" s="4">
        <f t="shared" si="6"/>
        <v>264</v>
      </c>
      <c r="AW40" s="4">
        <v>83</v>
      </c>
      <c r="AX40" s="4">
        <f t="shared" ref="AX40:BG40" si="7">AX39*AX38</f>
        <v>55</v>
      </c>
      <c r="AY40" s="4">
        <f t="shared" si="7"/>
        <v>240</v>
      </c>
      <c r="AZ40" s="4">
        <f t="shared" si="7"/>
        <v>165</v>
      </c>
      <c r="BA40" s="4">
        <f t="shared" si="7"/>
        <v>231</v>
      </c>
      <c r="BB40" s="4">
        <f t="shared" si="7"/>
        <v>1080</v>
      </c>
      <c r="BC40" s="4">
        <f t="shared" si="7"/>
        <v>72</v>
      </c>
      <c r="BD40" s="4">
        <f t="shared" si="7"/>
        <v>396</v>
      </c>
      <c r="BE40" s="4">
        <f t="shared" si="7"/>
        <v>792</v>
      </c>
      <c r="BF40" s="4">
        <f t="shared" si="7"/>
        <v>396</v>
      </c>
      <c r="BG40" s="4">
        <f t="shared" si="7"/>
        <v>306</v>
      </c>
      <c r="BL40" s="2" t="s">
        <v>1</v>
      </c>
    </row>
    <row r="41" spans="1:64" x14ac:dyDescent="0.2"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L41" s="2" t="s">
        <v>1</v>
      </c>
    </row>
    <row r="42" spans="1:64" x14ac:dyDescent="0.2">
      <c r="A42" s="2" t="s">
        <v>111</v>
      </c>
      <c r="C42" s="8" t="s">
        <v>112</v>
      </c>
      <c r="D42" s="8" t="s">
        <v>113</v>
      </c>
      <c r="E42" s="9" t="s">
        <v>114</v>
      </c>
      <c r="F42" s="8" t="s">
        <v>113</v>
      </c>
      <c r="G42" s="8" t="s">
        <v>113</v>
      </c>
      <c r="H42" s="10" t="s">
        <v>112</v>
      </c>
      <c r="I42" s="8" t="s">
        <v>112</v>
      </c>
      <c r="J42" s="8" t="s">
        <v>112</v>
      </c>
      <c r="K42" s="8" t="s">
        <v>112</v>
      </c>
      <c r="L42" s="11" t="s">
        <v>113</v>
      </c>
      <c r="M42" s="8" t="s">
        <v>112</v>
      </c>
      <c r="N42" s="8" t="s">
        <v>115</v>
      </c>
      <c r="O42" s="8" t="s">
        <v>112</v>
      </c>
      <c r="P42" s="8" t="s">
        <v>113</v>
      </c>
      <c r="Q42" s="8" t="s">
        <v>112</v>
      </c>
      <c r="R42" s="8" t="s">
        <v>112</v>
      </c>
      <c r="S42" s="8" t="s">
        <v>114</v>
      </c>
      <c r="T42" s="8" t="s">
        <v>113</v>
      </c>
      <c r="U42" s="8" t="s">
        <v>113</v>
      </c>
      <c r="V42" s="8" t="s">
        <v>113</v>
      </c>
      <c r="W42" s="8" t="s">
        <v>113</v>
      </c>
      <c r="X42" s="8" t="s">
        <v>116</v>
      </c>
      <c r="Y42" s="10" t="s">
        <v>112</v>
      </c>
      <c r="Z42" s="8" t="s">
        <v>113</v>
      </c>
      <c r="AA42" s="8" t="s">
        <v>112</v>
      </c>
      <c r="AB42" s="8" t="s">
        <v>116</v>
      </c>
      <c r="AC42" s="8" t="s">
        <v>112</v>
      </c>
      <c r="AD42" s="8" t="s">
        <v>112</v>
      </c>
      <c r="AE42" s="8" t="s">
        <v>113</v>
      </c>
      <c r="AF42" s="8" t="s">
        <v>112</v>
      </c>
      <c r="AG42" s="8" t="s">
        <v>112</v>
      </c>
      <c r="AH42" s="8" t="s">
        <v>112</v>
      </c>
      <c r="AI42" s="8" t="s">
        <v>112</v>
      </c>
      <c r="AJ42" s="8" t="s">
        <v>113</v>
      </c>
      <c r="AK42" s="8" t="s">
        <v>113</v>
      </c>
      <c r="AL42" s="8" t="s">
        <v>112</v>
      </c>
      <c r="AM42" s="8" t="s">
        <v>112</v>
      </c>
      <c r="AN42" s="8" t="s">
        <v>114</v>
      </c>
      <c r="AO42" s="8" t="s">
        <v>113</v>
      </c>
      <c r="AP42" s="8" t="s">
        <v>113</v>
      </c>
      <c r="AQ42" s="8" t="s">
        <v>113</v>
      </c>
      <c r="AR42" s="8" t="s">
        <v>112</v>
      </c>
      <c r="AS42" s="8" t="s">
        <v>112</v>
      </c>
      <c r="AT42" s="8" t="s">
        <v>114</v>
      </c>
      <c r="AU42" s="8" t="s">
        <v>113</v>
      </c>
      <c r="AV42" s="10" t="s">
        <v>112</v>
      </c>
      <c r="AW42" s="8" t="s">
        <v>117</v>
      </c>
      <c r="AX42" s="10" t="s">
        <v>118</v>
      </c>
      <c r="AY42" s="8" t="s">
        <v>116</v>
      </c>
      <c r="AZ42" s="8" t="s">
        <v>119</v>
      </c>
      <c r="BA42" s="8" t="s">
        <v>113</v>
      </c>
      <c r="BB42" s="8" t="s">
        <v>112</v>
      </c>
      <c r="BC42" s="8" t="s">
        <v>112</v>
      </c>
      <c r="BD42" s="8" t="s">
        <v>112</v>
      </c>
      <c r="BE42" s="8" t="s">
        <v>120</v>
      </c>
      <c r="BF42" s="8" t="s">
        <v>120</v>
      </c>
      <c r="BG42" s="8" t="s">
        <v>114</v>
      </c>
      <c r="BL42" s="2" t="s">
        <v>1</v>
      </c>
    </row>
    <row r="43" spans="1:64" x14ac:dyDescent="0.2">
      <c r="C43" s="8" t="s">
        <v>121</v>
      </c>
      <c r="D43" s="8" t="s">
        <v>122</v>
      </c>
      <c r="E43" s="9" t="s">
        <v>112</v>
      </c>
      <c r="F43" s="8" t="s">
        <v>122</v>
      </c>
      <c r="G43" s="8" t="s">
        <v>122</v>
      </c>
      <c r="H43" s="10" t="s">
        <v>121</v>
      </c>
      <c r="I43" s="8" t="s">
        <v>121</v>
      </c>
      <c r="J43" s="8" t="s">
        <v>121</v>
      </c>
      <c r="K43" s="8" t="s">
        <v>121</v>
      </c>
      <c r="L43" s="11" t="s">
        <v>122</v>
      </c>
      <c r="M43" s="8" t="s">
        <v>121</v>
      </c>
      <c r="N43" s="8" t="s">
        <v>123</v>
      </c>
      <c r="O43" s="8" t="s">
        <v>121</v>
      </c>
      <c r="P43" s="8" t="s">
        <v>122</v>
      </c>
      <c r="Q43" s="8" t="s">
        <v>121</v>
      </c>
      <c r="R43" s="8" t="s">
        <v>121</v>
      </c>
      <c r="S43" s="8" t="s">
        <v>113</v>
      </c>
      <c r="T43" s="8" t="s">
        <v>122</v>
      </c>
      <c r="U43" s="8" t="s">
        <v>122</v>
      </c>
      <c r="V43" s="8" t="s">
        <v>122</v>
      </c>
      <c r="W43" s="8" t="s">
        <v>122</v>
      </c>
      <c r="X43" s="8" t="s">
        <v>121</v>
      </c>
      <c r="Y43" s="10" t="s">
        <v>121</v>
      </c>
      <c r="Z43" s="8" t="s">
        <v>122</v>
      </c>
      <c r="AA43" s="8" t="s">
        <v>121</v>
      </c>
      <c r="AB43" s="8" t="s">
        <v>112</v>
      </c>
      <c r="AC43" s="8" t="s">
        <v>121</v>
      </c>
      <c r="AD43" s="8" t="s">
        <v>121</v>
      </c>
      <c r="AE43" s="8" t="s">
        <v>122</v>
      </c>
      <c r="AF43" s="8" t="s">
        <v>121</v>
      </c>
      <c r="AG43" s="8" t="s">
        <v>121</v>
      </c>
      <c r="AH43" s="8" t="s">
        <v>121</v>
      </c>
      <c r="AI43" s="8" t="s">
        <v>121</v>
      </c>
      <c r="AJ43" s="8" t="s">
        <v>122</v>
      </c>
      <c r="AK43" s="8" t="s">
        <v>122</v>
      </c>
      <c r="AL43" s="8" t="s">
        <v>121</v>
      </c>
      <c r="AM43" s="8" t="s">
        <v>121</v>
      </c>
      <c r="AN43" s="8" t="s">
        <v>124</v>
      </c>
      <c r="AO43" s="8" t="s">
        <v>122</v>
      </c>
      <c r="AP43" s="8" t="s">
        <v>122</v>
      </c>
      <c r="AQ43" s="8" t="s">
        <v>122</v>
      </c>
      <c r="AR43" s="8" t="s">
        <v>121</v>
      </c>
      <c r="AS43" s="8" t="s">
        <v>121</v>
      </c>
      <c r="AT43" s="8" t="s">
        <v>124</v>
      </c>
      <c r="AU43" s="8" t="s">
        <v>122</v>
      </c>
      <c r="AV43" s="10" t="s">
        <v>121</v>
      </c>
      <c r="AW43" s="8" t="s">
        <v>118</v>
      </c>
      <c r="AY43" s="8" t="s">
        <v>112</v>
      </c>
      <c r="AZ43" s="8" t="s">
        <v>112</v>
      </c>
      <c r="BA43" s="8" t="s">
        <v>122</v>
      </c>
      <c r="BB43" s="8" t="s">
        <v>121</v>
      </c>
      <c r="BC43" s="8" t="s">
        <v>121</v>
      </c>
      <c r="BD43" s="8" t="s">
        <v>121</v>
      </c>
      <c r="BE43" s="8" t="s">
        <v>113</v>
      </c>
      <c r="BF43" s="8" t="s">
        <v>113</v>
      </c>
      <c r="BG43" s="8" t="s">
        <v>124</v>
      </c>
      <c r="BL43" s="2" t="s">
        <v>1</v>
      </c>
    </row>
    <row r="44" spans="1:64" x14ac:dyDescent="0.2">
      <c r="C44" s="8" t="s">
        <v>125</v>
      </c>
      <c r="D44" s="8" t="s">
        <v>126</v>
      </c>
      <c r="E44" s="9" t="s">
        <v>121</v>
      </c>
      <c r="F44" s="8" t="s">
        <v>126</v>
      </c>
      <c r="G44" s="8" t="s">
        <v>126</v>
      </c>
      <c r="H44" s="10" t="s">
        <v>123</v>
      </c>
      <c r="I44" s="8" t="s">
        <v>127</v>
      </c>
      <c r="J44" s="8" t="s">
        <v>123</v>
      </c>
      <c r="K44" s="8" t="s">
        <v>127</v>
      </c>
      <c r="L44" s="11" t="s">
        <v>126</v>
      </c>
      <c r="M44" s="8" t="s">
        <v>125</v>
      </c>
      <c r="N44" s="8" t="s">
        <v>118</v>
      </c>
      <c r="O44" s="8" t="s">
        <v>123</v>
      </c>
      <c r="P44" s="8" t="s">
        <v>126</v>
      </c>
      <c r="Q44" s="8" t="s">
        <v>123</v>
      </c>
      <c r="R44" s="8" t="s">
        <v>115</v>
      </c>
      <c r="S44" s="8" t="s">
        <v>122</v>
      </c>
      <c r="T44" s="8" t="s">
        <v>126</v>
      </c>
      <c r="U44" s="8" t="s">
        <v>126</v>
      </c>
      <c r="V44" s="8" t="s">
        <v>126</v>
      </c>
      <c r="W44" s="8" t="s">
        <v>126</v>
      </c>
      <c r="X44" s="8" t="s">
        <v>123</v>
      </c>
      <c r="Y44" s="10" t="s">
        <v>123</v>
      </c>
      <c r="Z44" s="8" t="s">
        <v>126</v>
      </c>
      <c r="AA44" s="8" t="s">
        <v>115</v>
      </c>
      <c r="AB44" s="8" t="s">
        <v>121</v>
      </c>
      <c r="AC44" s="8" t="s">
        <v>123</v>
      </c>
      <c r="AD44" s="8" t="s">
        <v>125</v>
      </c>
      <c r="AE44" s="8" t="s">
        <v>126</v>
      </c>
      <c r="AF44" s="8" t="s">
        <v>125</v>
      </c>
      <c r="AG44" s="8" t="s">
        <v>115</v>
      </c>
      <c r="AH44" s="8" t="s">
        <v>123</v>
      </c>
      <c r="AI44" s="8" t="s">
        <v>123</v>
      </c>
      <c r="AJ44" s="8" t="s">
        <v>126</v>
      </c>
      <c r="AK44" s="8" t="s">
        <v>126</v>
      </c>
      <c r="AL44" s="8" t="s">
        <v>125</v>
      </c>
      <c r="AM44" s="8" t="s">
        <v>125</v>
      </c>
      <c r="AN44" s="8" t="s">
        <v>112</v>
      </c>
      <c r="AO44" s="8" t="s">
        <v>126</v>
      </c>
      <c r="AP44" s="8" t="s">
        <v>126</v>
      </c>
      <c r="AQ44" s="8" t="s">
        <v>126</v>
      </c>
      <c r="AR44" s="8" t="s">
        <v>123</v>
      </c>
      <c r="AS44" s="8" t="s">
        <v>115</v>
      </c>
      <c r="AT44" s="8" t="s">
        <v>112</v>
      </c>
      <c r="AU44" s="8" t="s">
        <v>126</v>
      </c>
      <c r="AV44" s="10" t="s">
        <v>123</v>
      </c>
      <c r="AW44" s="8" t="s">
        <v>118</v>
      </c>
      <c r="AY44" s="8" t="s">
        <v>121</v>
      </c>
      <c r="AZ44" s="8" t="s">
        <v>128</v>
      </c>
      <c r="BA44" s="8" t="s">
        <v>126</v>
      </c>
      <c r="BB44" s="8" t="s">
        <v>123</v>
      </c>
      <c r="BC44" s="8" t="s">
        <v>115</v>
      </c>
      <c r="BD44" s="8" t="s">
        <v>123</v>
      </c>
      <c r="BE44" s="8" t="s">
        <v>122</v>
      </c>
      <c r="BF44" s="8" t="s">
        <v>122</v>
      </c>
      <c r="BG44" s="8" t="s">
        <v>112</v>
      </c>
      <c r="BL44" s="2" t="s">
        <v>1</v>
      </c>
    </row>
    <row r="45" spans="1:64" x14ac:dyDescent="0.2">
      <c r="C45" s="8" t="s">
        <v>127</v>
      </c>
      <c r="D45" s="8" t="s">
        <v>129</v>
      </c>
      <c r="E45" s="9" t="s">
        <v>123</v>
      </c>
      <c r="F45" s="8" t="s">
        <v>129</v>
      </c>
      <c r="G45" s="8" t="s">
        <v>116</v>
      </c>
      <c r="H45" s="10" t="s">
        <v>127</v>
      </c>
      <c r="I45" s="8" t="s">
        <v>130</v>
      </c>
      <c r="J45" s="8" t="s">
        <v>127</v>
      </c>
      <c r="K45" s="8" t="s">
        <v>130</v>
      </c>
      <c r="L45" s="11" t="s">
        <v>129</v>
      </c>
      <c r="M45" s="8" t="s">
        <v>127</v>
      </c>
      <c r="N45" s="8" t="s">
        <v>118</v>
      </c>
      <c r="O45" s="8" t="s">
        <v>127</v>
      </c>
      <c r="P45" s="8" t="s">
        <v>129</v>
      </c>
      <c r="Q45" s="8" t="s">
        <v>127</v>
      </c>
      <c r="R45" s="8" t="s">
        <v>123</v>
      </c>
      <c r="S45" s="8" t="s">
        <v>126</v>
      </c>
      <c r="T45" s="8" t="s">
        <v>129</v>
      </c>
      <c r="U45" s="8" t="s">
        <v>129</v>
      </c>
      <c r="V45" s="8" t="s">
        <v>129</v>
      </c>
      <c r="W45" s="8" t="s">
        <v>126</v>
      </c>
      <c r="X45" s="8" t="s">
        <v>118</v>
      </c>
      <c r="Y45" s="10" t="s">
        <v>127</v>
      </c>
      <c r="Z45" s="8" t="s">
        <v>129</v>
      </c>
      <c r="AA45" s="8" t="s">
        <v>123</v>
      </c>
      <c r="AB45" s="8" t="s">
        <v>115</v>
      </c>
      <c r="AC45" s="8" t="s">
        <v>127</v>
      </c>
      <c r="AD45" s="8" t="s">
        <v>130</v>
      </c>
      <c r="AE45" s="8" t="s">
        <v>129</v>
      </c>
      <c r="AF45" s="8" t="s">
        <v>127</v>
      </c>
      <c r="AG45" s="8" t="s">
        <v>123</v>
      </c>
      <c r="AH45" s="8" t="s">
        <v>118</v>
      </c>
      <c r="AI45" s="8" t="s">
        <v>127</v>
      </c>
      <c r="AJ45" s="8" t="s">
        <v>129</v>
      </c>
      <c r="AK45" s="8" t="s">
        <v>129</v>
      </c>
      <c r="AL45" s="8" t="s">
        <v>127</v>
      </c>
      <c r="AM45" s="8" t="s">
        <v>127</v>
      </c>
      <c r="AN45" s="8" t="s">
        <v>121</v>
      </c>
      <c r="AO45" s="8" t="s">
        <v>129</v>
      </c>
      <c r="AP45" s="8" t="s">
        <v>129</v>
      </c>
      <c r="AQ45" s="8" t="s">
        <v>129</v>
      </c>
      <c r="AR45" s="8" t="s">
        <v>127</v>
      </c>
      <c r="AS45" s="8" t="s">
        <v>123</v>
      </c>
      <c r="AT45" s="8" t="s">
        <v>121</v>
      </c>
      <c r="AU45" s="8" t="s">
        <v>129</v>
      </c>
      <c r="AV45" s="10" t="s">
        <v>127</v>
      </c>
      <c r="AW45" s="8" t="s">
        <v>123</v>
      </c>
      <c r="AY45" s="8" t="s">
        <v>115</v>
      </c>
      <c r="AZ45" s="8" t="s">
        <v>121</v>
      </c>
      <c r="BA45" s="8" t="s">
        <v>129</v>
      </c>
      <c r="BB45" s="8" t="s">
        <v>127</v>
      </c>
      <c r="BC45" s="8" t="s">
        <v>123</v>
      </c>
      <c r="BD45" s="8" t="s">
        <v>127</v>
      </c>
      <c r="BE45" s="8" t="s">
        <v>126</v>
      </c>
      <c r="BF45" s="8" t="s">
        <v>126</v>
      </c>
      <c r="BG45" s="8" t="s">
        <v>121</v>
      </c>
      <c r="BL45" s="2" t="s">
        <v>1</v>
      </c>
    </row>
    <row r="46" spans="1:64" x14ac:dyDescent="0.2">
      <c r="C46" s="8" t="s">
        <v>130</v>
      </c>
      <c r="D46" s="8" t="s">
        <v>131</v>
      </c>
      <c r="E46" s="9" t="s">
        <v>127</v>
      </c>
      <c r="F46" s="8" t="s">
        <v>131</v>
      </c>
      <c r="G46" s="8" t="s">
        <v>132</v>
      </c>
      <c r="H46" s="10" t="s">
        <v>118</v>
      </c>
      <c r="I46" s="8" t="s">
        <v>133</v>
      </c>
      <c r="J46" s="8" t="s">
        <v>118</v>
      </c>
      <c r="K46" s="8" t="s">
        <v>133</v>
      </c>
      <c r="L46" s="11" t="s">
        <v>131</v>
      </c>
      <c r="M46" s="8" t="s">
        <v>130</v>
      </c>
      <c r="N46" s="8" t="s">
        <v>134</v>
      </c>
      <c r="O46" s="8" t="s">
        <v>118</v>
      </c>
      <c r="P46" s="8" t="s">
        <v>131</v>
      </c>
      <c r="Q46" s="8" t="s">
        <v>118</v>
      </c>
      <c r="R46" s="8" t="s">
        <v>127</v>
      </c>
      <c r="S46" s="8" t="s">
        <v>124</v>
      </c>
      <c r="T46" s="8" t="s">
        <v>131</v>
      </c>
      <c r="U46" s="8" t="s">
        <v>131</v>
      </c>
      <c r="V46" s="8" t="s">
        <v>131</v>
      </c>
      <c r="W46" s="8" t="s">
        <v>131</v>
      </c>
      <c r="X46" s="8" t="s">
        <v>134</v>
      </c>
      <c r="Y46" s="8" t="s">
        <v>118</v>
      </c>
      <c r="Z46" s="8" t="s">
        <v>131</v>
      </c>
      <c r="AA46" s="8" t="s">
        <v>127</v>
      </c>
      <c r="AB46" s="8" t="s">
        <v>123</v>
      </c>
      <c r="AC46" s="8" t="s">
        <v>130</v>
      </c>
      <c r="AD46" s="8" t="s">
        <v>133</v>
      </c>
      <c r="AE46" s="8" t="s">
        <v>131</v>
      </c>
      <c r="AF46" s="8" t="s">
        <v>130</v>
      </c>
      <c r="AG46" s="8" t="s">
        <v>127</v>
      </c>
      <c r="AH46" s="8" t="s">
        <v>118</v>
      </c>
      <c r="AI46" s="8" t="s">
        <v>118</v>
      </c>
      <c r="AJ46" s="8" t="s">
        <v>131</v>
      </c>
      <c r="AK46" s="8" t="s">
        <v>131</v>
      </c>
      <c r="AL46" s="8" t="s">
        <v>130</v>
      </c>
      <c r="AM46" s="8" t="s">
        <v>130</v>
      </c>
      <c r="AN46" s="8" t="s">
        <v>127</v>
      </c>
      <c r="AO46" s="8" t="s">
        <v>131</v>
      </c>
      <c r="AP46" s="8" t="s">
        <v>131</v>
      </c>
      <c r="AQ46" s="8" t="s">
        <v>131</v>
      </c>
      <c r="AR46" s="8" t="s">
        <v>118</v>
      </c>
      <c r="AS46" s="8" t="s">
        <v>127</v>
      </c>
      <c r="AT46" s="8" t="s">
        <v>123</v>
      </c>
      <c r="AU46" s="8" t="s">
        <v>131</v>
      </c>
      <c r="AV46" s="10" t="s">
        <v>118</v>
      </c>
      <c r="AW46" s="8" t="s">
        <v>134</v>
      </c>
      <c r="AY46" s="8" t="s">
        <v>123</v>
      </c>
      <c r="AZ46" s="8" t="s">
        <v>125</v>
      </c>
      <c r="BA46" s="8" t="s">
        <v>131</v>
      </c>
      <c r="BB46" s="8" t="s">
        <v>118</v>
      </c>
      <c r="BC46" s="8" t="s">
        <v>118</v>
      </c>
      <c r="BD46" s="8" t="s">
        <v>118</v>
      </c>
      <c r="BE46" s="8" t="s">
        <v>129</v>
      </c>
      <c r="BF46" s="8" t="s">
        <v>129</v>
      </c>
      <c r="BG46" s="8" t="s">
        <v>127</v>
      </c>
      <c r="BL46" s="2" t="s">
        <v>1</v>
      </c>
    </row>
    <row r="47" spans="1:64" x14ac:dyDescent="0.2">
      <c r="C47" s="8" t="s">
        <v>133</v>
      </c>
      <c r="D47" s="8" t="s">
        <v>112</v>
      </c>
      <c r="E47" s="9" t="s">
        <v>118</v>
      </c>
      <c r="F47" s="8" t="s">
        <v>112</v>
      </c>
      <c r="G47" s="8" t="s">
        <v>135</v>
      </c>
      <c r="H47" s="10" t="s">
        <v>134</v>
      </c>
      <c r="I47" s="8" t="s">
        <v>136</v>
      </c>
      <c r="J47" s="8" t="s">
        <v>134</v>
      </c>
      <c r="K47" s="8" t="s">
        <v>136</v>
      </c>
      <c r="L47" s="8" t="s">
        <v>116</v>
      </c>
      <c r="M47" s="8" t="s">
        <v>133</v>
      </c>
      <c r="N47" s="8" t="s">
        <v>117</v>
      </c>
      <c r="O47" s="8" t="s">
        <v>134</v>
      </c>
      <c r="P47" s="8" t="s">
        <v>116</v>
      </c>
      <c r="Q47" s="8" t="s">
        <v>134</v>
      </c>
      <c r="R47" s="8" t="s">
        <v>118</v>
      </c>
      <c r="S47" s="8" t="s">
        <v>129</v>
      </c>
      <c r="T47" s="8" t="s">
        <v>116</v>
      </c>
      <c r="U47" s="8" t="s">
        <v>137</v>
      </c>
      <c r="V47" s="8" t="s">
        <v>112</v>
      </c>
      <c r="W47" s="8" t="s">
        <v>112</v>
      </c>
      <c r="X47" s="8" t="s">
        <v>130</v>
      </c>
      <c r="Y47" s="10" t="s">
        <v>134</v>
      </c>
      <c r="Z47" s="8" t="s">
        <v>112</v>
      </c>
      <c r="AA47" s="8" t="s">
        <v>118</v>
      </c>
      <c r="AB47" s="8" t="s">
        <v>127</v>
      </c>
      <c r="AC47" s="8" t="s">
        <v>133</v>
      </c>
      <c r="AD47" s="8" t="s">
        <v>136</v>
      </c>
      <c r="AE47" s="8" t="s">
        <v>112</v>
      </c>
      <c r="AF47" s="8" t="s">
        <v>133</v>
      </c>
      <c r="AG47" s="8" t="s">
        <v>118</v>
      </c>
      <c r="AH47" s="8" t="s">
        <v>134</v>
      </c>
      <c r="AI47" s="8" t="s">
        <v>134</v>
      </c>
      <c r="AJ47" s="8" t="s">
        <v>116</v>
      </c>
      <c r="AK47" s="8" t="s">
        <v>116</v>
      </c>
      <c r="AL47" s="8" t="s">
        <v>133</v>
      </c>
      <c r="AM47" s="8" t="s">
        <v>133</v>
      </c>
      <c r="AN47" s="8" t="s">
        <v>130</v>
      </c>
      <c r="AO47" s="8" t="s">
        <v>112</v>
      </c>
      <c r="AP47" s="8" t="s">
        <v>112</v>
      </c>
      <c r="AQ47" s="8" t="s">
        <v>121</v>
      </c>
      <c r="AR47" s="8" t="s">
        <v>134</v>
      </c>
      <c r="AS47" s="8" t="s">
        <v>118</v>
      </c>
      <c r="AT47" s="8" t="s">
        <v>127</v>
      </c>
      <c r="AU47" s="8" t="s">
        <v>112</v>
      </c>
      <c r="AV47" s="10" t="s">
        <v>134</v>
      </c>
      <c r="AW47" s="8" t="s">
        <v>138</v>
      </c>
      <c r="AY47" s="8" t="s">
        <v>118</v>
      </c>
      <c r="AZ47" s="8" t="s">
        <v>123</v>
      </c>
      <c r="BA47" s="8" t="s">
        <v>112</v>
      </c>
      <c r="BB47" s="8" t="s">
        <v>134</v>
      </c>
      <c r="BC47" s="8" t="s">
        <v>134</v>
      </c>
      <c r="BD47" s="8" t="s">
        <v>134</v>
      </c>
      <c r="BE47" s="8" t="s">
        <v>131</v>
      </c>
      <c r="BF47" s="8" t="s">
        <v>131</v>
      </c>
      <c r="BG47" s="8" t="s">
        <v>130</v>
      </c>
      <c r="BL47" s="2" t="s">
        <v>1</v>
      </c>
    </row>
    <row r="48" spans="1:64" x14ac:dyDescent="0.2">
      <c r="C48" s="8" t="s">
        <v>136</v>
      </c>
      <c r="D48" s="8" t="s">
        <v>121</v>
      </c>
      <c r="E48" s="9" t="s">
        <v>134</v>
      </c>
      <c r="F48" s="8" t="s">
        <v>121</v>
      </c>
      <c r="G48" s="8" t="s">
        <v>112</v>
      </c>
      <c r="H48" s="10" t="s">
        <v>130</v>
      </c>
      <c r="I48" s="8" t="s">
        <v>138</v>
      </c>
      <c r="J48" s="8" t="s">
        <v>130</v>
      </c>
      <c r="K48" s="8" t="s">
        <v>138</v>
      </c>
      <c r="L48" s="8" t="s">
        <v>112</v>
      </c>
      <c r="M48" s="8" t="s">
        <v>136</v>
      </c>
      <c r="O48" s="8" t="s">
        <v>130</v>
      </c>
      <c r="P48" s="8" t="s">
        <v>112</v>
      </c>
      <c r="Q48" s="8" t="s">
        <v>130</v>
      </c>
      <c r="R48" s="8" t="s">
        <v>134</v>
      </c>
      <c r="S48" s="8" t="s">
        <v>131</v>
      </c>
      <c r="T48" s="8" t="s">
        <v>112</v>
      </c>
      <c r="U48" s="8" t="s">
        <v>139</v>
      </c>
      <c r="V48" s="8" t="s">
        <v>121</v>
      </c>
      <c r="W48" s="8" t="s">
        <v>121</v>
      </c>
      <c r="X48" s="8" t="s">
        <v>117</v>
      </c>
      <c r="Y48" s="10" t="s">
        <v>130</v>
      </c>
      <c r="Z48" s="8" t="s">
        <v>121</v>
      </c>
      <c r="AA48" s="8" t="s">
        <v>134</v>
      </c>
      <c r="AB48" s="8" t="s">
        <v>118</v>
      </c>
      <c r="AC48" s="8" t="s">
        <v>136</v>
      </c>
      <c r="AD48" s="8" t="s">
        <v>138</v>
      </c>
      <c r="AE48" s="8" t="s">
        <v>121</v>
      </c>
      <c r="AF48" s="8" t="s">
        <v>136</v>
      </c>
      <c r="AG48" s="8" t="s">
        <v>134</v>
      </c>
      <c r="AH48" s="8" t="s">
        <v>130</v>
      </c>
      <c r="AI48" s="8" t="s">
        <v>130</v>
      </c>
      <c r="AJ48" s="8" t="s">
        <v>112</v>
      </c>
      <c r="AK48" s="8" t="s">
        <v>132</v>
      </c>
      <c r="AL48" s="8" t="s">
        <v>136</v>
      </c>
      <c r="AM48" s="8" t="s">
        <v>136</v>
      </c>
      <c r="AN48" s="8" t="s">
        <v>133</v>
      </c>
      <c r="AO48" s="8" t="s">
        <v>121</v>
      </c>
      <c r="AP48" s="8" t="s">
        <v>121</v>
      </c>
      <c r="AQ48" s="8" t="s">
        <v>115</v>
      </c>
      <c r="AR48" s="8" t="s">
        <v>130</v>
      </c>
      <c r="AS48" s="8" t="s">
        <v>118</v>
      </c>
      <c r="AT48" s="8" t="s">
        <v>118</v>
      </c>
      <c r="AU48" s="8" t="s">
        <v>121</v>
      </c>
      <c r="AV48" s="10" t="s">
        <v>130</v>
      </c>
      <c r="AW48" s="8" t="s">
        <v>136</v>
      </c>
      <c r="AY48" s="8" t="s">
        <v>134</v>
      </c>
      <c r="AZ48" s="8" t="s">
        <v>118</v>
      </c>
      <c r="BA48" s="8" t="s">
        <v>121</v>
      </c>
      <c r="BB48" s="8" t="s">
        <v>130</v>
      </c>
      <c r="BC48" s="8" t="s">
        <v>130</v>
      </c>
      <c r="BD48" s="8" t="s">
        <v>130</v>
      </c>
      <c r="BE48" s="8" t="s">
        <v>112</v>
      </c>
      <c r="BF48" s="8" t="s">
        <v>112</v>
      </c>
      <c r="BG48" s="8" t="s">
        <v>133</v>
      </c>
      <c r="BL48" s="2" t="s">
        <v>1</v>
      </c>
    </row>
    <row r="49" spans="3:64" x14ac:dyDescent="0.2">
      <c r="C49" s="8" t="s">
        <v>138</v>
      </c>
      <c r="D49" s="8" t="s">
        <v>123</v>
      </c>
      <c r="E49" s="9" t="s">
        <v>130</v>
      </c>
      <c r="F49" s="8" t="s">
        <v>115</v>
      </c>
      <c r="G49" s="8" t="s">
        <v>128</v>
      </c>
      <c r="H49" s="10" t="s">
        <v>133</v>
      </c>
      <c r="I49" s="12"/>
      <c r="J49" s="8" t="s">
        <v>133</v>
      </c>
      <c r="K49" s="8" t="s">
        <v>140</v>
      </c>
      <c r="L49" s="8" t="s">
        <v>121</v>
      </c>
      <c r="M49" s="8" t="s">
        <v>141</v>
      </c>
      <c r="O49" s="8" t="s">
        <v>133</v>
      </c>
      <c r="P49" s="8" t="s">
        <v>121</v>
      </c>
      <c r="Q49" s="8" t="s">
        <v>133</v>
      </c>
      <c r="R49" s="8" t="s">
        <v>130</v>
      </c>
      <c r="S49" s="8" t="s">
        <v>112</v>
      </c>
      <c r="T49" s="8" t="s">
        <v>121</v>
      </c>
      <c r="U49" s="8" t="s">
        <v>115</v>
      </c>
      <c r="V49" s="8" t="s">
        <v>123</v>
      </c>
      <c r="W49" s="8" t="s">
        <v>123</v>
      </c>
      <c r="X49" s="8" t="s">
        <v>117</v>
      </c>
      <c r="Y49" s="10" t="s">
        <v>133</v>
      </c>
      <c r="Z49" s="8" t="s">
        <v>123</v>
      </c>
      <c r="AA49" s="8" t="s">
        <v>130</v>
      </c>
      <c r="AB49" s="8" t="s">
        <v>134</v>
      </c>
      <c r="AC49" s="8" t="s">
        <v>117</v>
      </c>
      <c r="AD49" s="8" t="s">
        <v>142</v>
      </c>
      <c r="AE49" s="8" t="s">
        <v>123</v>
      </c>
      <c r="AF49" s="8" t="s">
        <v>138</v>
      </c>
      <c r="AG49" s="8" t="s">
        <v>130</v>
      </c>
      <c r="AH49" s="8" t="s">
        <v>133</v>
      </c>
      <c r="AI49" s="8" t="s">
        <v>133</v>
      </c>
      <c r="AJ49" s="8" t="s">
        <v>121</v>
      </c>
      <c r="AK49" s="8" t="s">
        <v>135</v>
      </c>
      <c r="AL49" s="8" t="s">
        <v>138</v>
      </c>
      <c r="AM49" s="8" t="s">
        <v>138</v>
      </c>
      <c r="AN49" s="8" t="s">
        <v>136</v>
      </c>
      <c r="AO49" s="8" t="s">
        <v>123</v>
      </c>
      <c r="AP49" s="8" t="s">
        <v>115</v>
      </c>
      <c r="AQ49" s="8" t="s">
        <v>123</v>
      </c>
      <c r="AR49" s="8" t="s">
        <v>133</v>
      </c>
      <c r="AS49" s="8" t="s">
        <v>134</v>
      </c>
      <c r="AT49" s="8" t="s">
        <v>134</v>
      </c>
      <c r="AU49" s="8" t="s">
        <v>123</v>
      </c>
      <c r="AV49" s="10" t="s">
        <v>133</v>
      </c>
      <c r="AW49" s="8" t="s">
        <v>130</v>
      </c>
      <c r="AY49" s="8" t="s">
        <v>143</v>
      </c>
      <c r="AZ49" s="8" t="s">
        <v>134</v>
      </c>
      <c r="BA49" s="8" t="s">
        <v>115</v>
      </c>
      <c r="BB49" s="8" t="s">
        <v>133</v>
      </c>
      <c r="BC49" s="8" t="s">
        <v>133</v>
      </c>
      <c r="BD49" s="8" t="s">
        <v>133</v>
      </c>
      <c r="BE49" s="8" t="s">
        <v>121</v>
      </c>
      <c r="BF49" s="8" t="s">
        <v>121</v>
      </c>
      <c r="BG49" s="8" t="s">
        <v>136</v>
      </c>
      <c r="BL49" s="2" t="s">
        <v>1</v>
      </c>
    </row>
    <row r="50" spans="3:64" x14ac:dyDescent="0.2">
      <c r="C50" s="8" t="s">
        <v>140</v>
      </c>
      <c r="D50" s="8" t="s">
        <v>127</v>
      </c>
      <c r="E50" s="9" t="s">
        <v>133</v>
      </c>
      <c r="F50" s="8" t="s">
        <v>123</v>
      </c>
      <c r="G50" s="8" t="s">
        <v>121</v>
      </c>
      <c r="H50" s="10" t="s">
        <v>136</v>
      </c>
      <c r="I50" s="12"/>
      <c r="J50" s="8" t="s">
        <v>136</v>
      </c>
      <c r="K50" s="8" t="s">
        <v>144</v>
      </c>
      <c r="L50" s="8" t="s">
        <v>115</v>
      </c>
      <c r="M50" s="8" t="s">
        <v>140</v>
      </c>
      <c r="O50" s="8" t="s">
        <v>136</v>
      </c>
      <c r="P50" s="8" t="s">
        <v>115</v>
      </c>
      <c r="Q50" s="8" t="s">
        <v>136</v>
      </c>
      <c r="R50" s="8" t="s">
        <v>133</v>
      </c>
      <c r="S50" s="8" t="s">
        <v>121</v>
      </c>
      <c r="T50" s="8" t="s">
        <v>123</v>
      </c>
      <c r="U50" s="8" t="s">
        <v>123</v>
      </c>
      <c r="V50" s="8" t="s">
        <v>145</v>
      </c>
      <c r="W50" s="8" t="s">
        <v>127</v>
      </c>
      <c r="X50" s="8" t="s">
        <v>138</v>
      </c>
      <c r="Y50" s="10" t="s">
        <v>136</v>
      </c>
      <c r="Z50" s="8" t="s">
        <v>127</v>
      </c>
      <c r="AA50" s="8" t="s">
        <v>133</v>
      </c>
      <c r="AB50" s="8" t="s">
        <v>130</v>
      </c>
      <c r="AC50" s="8" t="s">
        <v>138</v>
      </c>
      <c r="AE50" s="8" t="s">
        <v>127</v>
      </c>
      <c r="AF50" s="8" t="s">
        <v>140</v>
      </c>
      <c r="AG50" s="8" t="s">
        <v>133</v>
      </c>
      <c r="AH50" s="8" t="s">
        <v>136</v>
      </c>
      <c r="AI50" s="8" t="s">
        <v>136</v>
      </c>
      <c r="AJ50" s="8" t="s">
        <v>115</v>
      </c>
      <c r="AK50" s="8" t="s">
        <v>112</v>
      </c>
      <c r="AL50" s="8" t="s">
        <v>140</v>
      </c>
      <c r="AM50" s="8" t="s">
        <v>140</v>
      </c>
      <c r="AN50" s="8" t="s">
        <v>138</v>
      </c>
      <c r="AO50" s="8" t="s">
        <v>127</v>
      </c>
      <c r="AP50" s="8" t="s">
        <v>123</v>
      </c>
      <c r="AQ50" s="8" t="s">
        <v>118</v>
      </c>
      <c r="AR50" s="8" t="s">
        <v>136</v>
      </c>
      <c r="AS50" s="8" t="s">
        <v>130</v>
      </c>
      <c r="AT50" s="8" t="s">
        <v>130</v>
      </c>
      <c r="AU50" s="8" t="s">
        <v>118</v>
      </c>
      <c r="AV50" s="10" t="s">
        <v>136</v>
      </c>
      <c r="AW50" s="8" t="s">
        <v>133</v>
      </c>
      <c r="AY50" s="8" t="s">
        <v>130</v>
      </c>
      <c r="AZ50" s="8" t="s">
        <v>130</v>
      </c>
      <c r="BA50" s="8" t="s">
        <v>123</v>
      </c>
      <c r="BB50" s="8" t="s">
        <v>136</v>
      </c>
      <c r="BC50" s="8" t="s">
        <v>136</v>
      </c>
      <c r="BD50" s="8" t="s">
        <v>136</v>
      </c>
      <c r="BE50" s="8" t="s">
        <v>115</v>
      </c>
      <c r="BF50" s="8" t="s">
        <v>115</v>
      </c>
      <c r="BG50" s="8" t="s">
        <v>138</v>
      </c>
      <c r="BL50" s="2" t="s">
        <v>1</v>
      </c>
    </row>
    <row r="51" spans="3:64" x14ac:dyDescent="0.2">
      <c r="C51" s="8" t="s">
        <v>142</v>
      </c>
      <c r="D51" s="8" t="s">
        <v>118</v>
      </c>
      <c r="E51" s="9" t="s">
        <v>136</v>
      </c>
      <c r="F51" s="8" t="s">
        <v>127</v>
      </c>
      <c r="G51" s="8" t="s">
        <v>115</v>
      </c>
      <c r="H51" s="10" t="s">
        <v>117</v>
      </c>
      <c r="I51" s="12"/>
      <c r="J51" s="8" t="s">
        <v>117</v>
      </c>
      <c r="K51" s="8" t="s">
        <v>144</v>
      </c>
      <c r="L51" s="8" t="s">
        <v>123</v>
      </c>
      <c r="M51" s="8" t="s">
        <v>142</v>
      </c>
      <c r="O51" s="8" t="s">
        <v>138</v>
      </c>
      <c r="P51" s="8" t="s">
        <v>123</v>
      </c>
      <c r="Q51" s="8" t="s">
        <v>117</v>
      </c>
      <c r="R51" s="8" t="s">
        <v>136</v>
      </c>
      <c r="S51" s="8" t="s">
        <v>123</v>
      </c>
      <c r="T51" s="8" t="s">
        <v>127</v>
      </c>
      <c r="U51" s="8" t="s">
        <v>127</v>
      </c>
      <c r="V51" s="8" t="s">
        <v>127</v>
      </c>
      <c r="W51" s="8" t="s">
        <v>118</v>
      </c>
      <c r="Y51" s="10" t="s">
        <v>117</v>
      </c>
      <c r="Z51" s="8" t="s">
        <v>118</v>
      </c>
      <c r="AA51" s="8" t="s">
        <v>133</v>
      </c>
      <c r="AB51" s="8" t="s">
        <v>133</v>
      </c>
      <c r="AE51" s="8" t="s">
        <v>118</v>
      </c>
      <c r="AF51" s="8" t="s">
        <v>142</v>
      </c>
      <c r="AG51" s="8" t="s">
        <v>133</v>
      </c>
      <c r="AH51" s="8" t="s">
        <v>138</v>
      </c>
      <c r="AI51" s="8" t="s">
        <v>117</v>
      </c>
      <c r="AJ51" s="8" t="s">
        <v>123</v>
      </c>
      <c r="AK51" s="8" t="s">
        <v>128</v>
      </c>
      <c r="AL51" s="8" t="s">
        <v>142</v>
      </c>
      <c r="AM51" s="8" t="s">
        <v>142</v>
      </c>
      <c r="AO51" s="8" t="s">
        <v>118</v>
      </c>
      <c r="AP51" s="8" t="s">
        <v>127</v>
      </c>
      <c r="AQ51" s="8" t="s">
        <v>134</v>
      </c>
      <c r="AR51" s="8" t="s">
        <v>117</v>
      </c>
      <c r="AS51" s="8" t="s">
        <v>133</v>
      </c>
      <c r="AT51" s="8" t="s">
        <v>133</v>
      </c>
      <c r="AU51" s="8" t="s">
        <v>134</v>
      </c>
      <c r="AV51" s="10" t="s">
        <v>117</v>
      </c>
      <c r="AW51" s="8" t="s">
        <v>127</v>
      </c>
      <c r="AY51" s="8" t="s">
        <v>136</v>
      </c>
      <c r="AZ51" s="8" t="s">
        <v>133</v>
      </c>
      <c r="BA51" s="8" t="s">
        <v>127</v>
      </c>
      <c r="BB51" s="8" t="s">
        <v>117</v>
      </c>
      <c r="BD51" s="8" t="s">
        <v>138</v>
      </c>
      <c r="BE51" s="8" t="s">
        <v>123</v>
      </c>
      <c r="BF51" s="8" t="s">
        <v>123</v>
      </c>
      <c r="BL51" s="2" t="s">
        <v>1</v>
      </c>
    </row>
    <row r="52" spans="3:64" x14ac:dyDescent="0.2">
      <c r="D52" s="8" t="s">
        <v>134</v>
      </c>
      <c r="E52" s="9" t="s">
        <v>138</v>
      </c>
      <c r="F52" s="8" t="s">
        <v>118</v>
      </c>
      <c r="G52" s="8" t="s">
        <v>123</v>
      </c>
      <c r="H52" s="10" t="s">
        <v>138</v>
      </c>
      <c r="I52" s="12"/>
      <c r="J52" s="8" t="s">
        <v>138</v>
      </c>
      <c r="K52" s="8" t="s">
        <v>142</v>
      </c>
      <c r="L52" s="8" t="s">
        <v>127</v>
      </c>
      <c r="P52" s="8" t="s">
        <v>127</v>
      </c>
      <c r="Q52" s="8" t="s">
        <v>138</v>
      </c>
      <c r="R52" s="8" t="s">
        <v>117</v>
      </c>
      <c r="S52" s="8" t="s">
        <v>127</v>
      </c>
      <c r="T52" s="8" t="s">
        <v>118</v>
      </c>
      <c r="U52" s="8" t="s">
        <v>118</v>
      </c>
      <c r="V52" s="8" t="s">
        <v>118</v>
      </c>
      <c r="W52" s="8" t="s">
        <v>134</v>
      </c>
      <c r="Y52" s="10" t="s">
        <v>138</v>
      </c>
      <c r="Z52" s="8" t="s">
        <v>134</v>
      </c>
      <c r="AA52" s="8" t="s">
        <v>136</v>
      </c>
      <c r="AB52" s="8" t="s">
        <v>133</v>
      </c>
      <c r="AE52" s="8" t="s">
        <v>118</v>
      </c>
      <c r="AG52" s="8" t="s">
        <v>136</v>
      </c>
      <c r="AH52" s="8" t="s">
        <v>138</v>
      </c>
      <c r="AI52" s="8" t="s">
        <v>141</v>
      </c>
      <c r="AJ52" s="8" t="s">
        <v>127</v>
      </c>
      <c r="AK52" s="8" t="s">
        <v>121</v>
      </c>
      <c r="AO52" s="8" t="s">
        <v>134</v>
      </c>
      <c r="AP52" s="8" t="s">
        <v>118</v>
      </c>
      <c r="AQ52" s="8" t="s">
        <v>130</v>
      </c>
      <c r="AR52" s="8" t="s">
        <v>138</v>
      </c>
      <c r="AS52" s="8" t="s">
        <v>136</v>
      </c>
      <c r="AT52" s="8" t="s">
        <v>136</v>
      </c>
      <c r="AU52" s="8" t="s">
        <v>130</v>
      </c>
      <c r="AV52" s="10" t="s">
        <v>138</v>
      </c>
      <c r="AW52" s="8" t="s">
        <v>121</v>
      </c>
      <c r="AY52" s="8" t="s">
        <v>117</v>
      </c>
      <c r="AZ52" s="8" t="s">
        <v>136</v>
      </c>
      <c r="BA52" s="8" t="s">
        <v>118</v>
      </c>
      <c r="BB52" s="8" t="s">
        <v>138</v>
      </c>
      <c r="BD52" s="8" t="s">
        <v>146</v>
      </c>
      <c r="BE52" s="8" t="s">
        <v>127</v>
      </c>
      <c r="BF52" s="8" t="s">
        <v>127</v>
      </c>
      <c r="BL52" s="2" t="s">
        <v>1</v>
      </c>
    </row>
    <row r="53" spans="3:64" x14ac:dyDescent="0.2">
      <c r="D53" s="8" t="s">
        <v>130</v>
      </c>
      <c r="E53" s="9" t="s">
        <v>146</v>
      </c>
      <c r="F53" s="8" t="s">
        <v>134</v>
      </c>
      <c r="G53" s="8" t="s">
        <v>118</v>
      </c>
      <c r="H53" s="8" t="s">
        <v>147</v>
      </c>
      <c r="L53" s="8" t="s">
        <v>118</v>
      </c>
      <c r="P53" s="8" t="s">
        <v>118</v>
      </c>
      <c r="Q53" s="8" t="s">
        <v>146</v>
      </c>
      <c r="R53" s="8" t="s">
        <v>138</v>
      </c>
      <c r="S53" s="8" t="s">
        <v>118</v>
      </c>
      <c r="T53" s="8" t="s">
        <v>134</v>
      </c>
      <c r="U53" s="8" t="s">
        <v>134</v>
      </c>
      <c r="V53" s="8" t="s">
        <v>134</v>
      </c>
      <c r="W53" s="8" t="s">
        <v>130</v>
      </c>
      <c r="Z53" s="8" t="s">
        <v>130</v>
      </c>
      <c r="AA53" s="8" t="s">
        <v>148</v>
      </c>
      <c r="AB53" s="8" t="s">
        <v>136</v>
      </c>
      <c r="AE53" s="8" t="s">
        <v>134</v>
      </c>
      <c r="AG53" s="8" t="s">
        <v>148</v>
      </c>
      <c r="AH53" s="8" t="s">
        <v>146</v>
      </c>
      <c r="AI53" s="8" t="s">
        <v>146</v>
      </c>
      <c r="AJ53" s="8" t="s">
        <v>118</v>
      </c>
      <c r="AK53" s="8" t="s">
        <v>115</v>
      </c>
      <c r="AO53" s="8" t="s">
        <v>130</v>
      </c>
      <c r="AP53" s="8" t="s">
        <v>134</v>
      </c>
      <c r="AQ53" s="8" t="s">
        <v>133</v>
      </c>
      <c r="AS53" s="8" t="s">
        <v>148</v>
      </c>
      <c r="AT53" s="8" t="s">
        <v>138</v>
      </c>
      <c r="AU53" s="8" t="s">
        <v>136</v>
      </c>
      <c r="AW53" s="8" t="s">
        <v>112</v>
      </c>
      <c r="AY53" s="8" t="s">
        <v>138</v>
      </c>
      <c r="AZ53" s="8" t="s">
        <v>148</v>
      </c>
      <c r="BA53" s="8" t="s">
        <v>134</v>
      </c>
      <c r="BB53" s="8" t="s">
        <v>146</v>
      </c>
      <c r="BE53" s="8" t="s">
        <v>118</v>
      </c>
      <c r="BF53" s="8" t="s">
        <v>118</v>
      </c>
      <c r="BL53" s="2" t="s">
        <v>1</v>
      </c>
    </row>
    <row r="54" spans="3:64" x14ac:dyDescent="0.2">
      <c r="D54" s="8" t="s">
        <v>133</v>
      </c>
      <c r="F54" s="8" t="s">
        <v>130</v>
      </c>
      <c r="G54" s="8" t="s">
        <v>134</v>
      </c>
      <c r="L54" s="8" t="s">
        <v>118</v>
      </c>
      <c r="P54" s="8" t="s">
        <v>134</v>
      </c>
      <c r="S54" s="8" t="s">
        <v>134</v>
      </c>
      <c r="T54" s="8" t="s">
        <v>130</v>
      </c>
      <c r="U54" s="8" t="s">
        <v>130</v>
      </c>
      <c r="V54" s="8" t="s">
        <v>130</v>
      </c>
      <c r="W54" s="8" t="s">
        <v>133</v>
      </c>
      <c r="Z54" s="8" t="s">
        <v>133</v>
      </c>
      <c r="AA54" s="8" t="s">
        <v>117</v>
      </c>
      <c r="AB54" s="8" t="s">
        <v>148</v>
      </c>
      <c r="AE54" s="8" t="s">
        <v>130</v>
      </c>
      <c r="AG54" s="8" t="s">
        <v>117</v>
      </c>
      <c r="AJ54" s="8" t="s">
        <v>118</v>
      </c>
      <c r="AK54" s="8" t="s">
        <v>123</v>
      </c>
      <c r="AO54" s="8" t="s">
        <v>133</v>
      </c>
      <c r="AP54" s="8" t="s">
        <v>130</v>
      </c>
      <c r="AQ54" s="8" t="s">
        <v>136</v>
      </c>
      <c r="AS54" s="8" t="s">
        <v>117</v>
      </c>
      <c r="AT54" s="8" t="s">
        <v>146</v>
      </c>
      <c r="AU54" s="8" t="s">
        <v>117</v>
      </c>
      <c r="AZ54" s="8" t="s">
        <v>138</v>
      </c>
      <c r="BA54" s="8" t="s">
        <v>130</v>
      </c>
      <c r="BE54" s="8" t="s">
        <v>134</v>
      </c>
      <c r="BF54" s="8" t="s">
        <v>134</v>
      </c>
      <c r="BL54" s="2" t="s">
        <v>1</v>
      </c>
    </row>
    <row r="55" spans="3:64" x14ac:dyDescent="0.2">
      <c r="D55" s="8" t="s">
        <v>136</v>
      </c>
      <c r="F55" s="8" t="s">
        <v>133</v>
      </c>
      <c r="G55" s="8" t="s">
        <v>130</v>
      </c>
      <c r="L55" s="8" t="s">
        <v>134</v>
      </c>
      <c r="P55" s="8" t="s">
        <v>130</v>
      </c>
      <c r="S55" s="8" t="s">
        <v>130</v>
      </c>
      <c r="T55" s="8" t="s">
        <v>133</v>
      </c>
      <c r="U55" s="8" t="s">
        <v>133</v>
      </c>
      <c r="V55" s="8" t="s">
        <v>133</v>
      </c>
      <c r="W55" s="8" t="s">
        <v>136</v>
      </c>
      <c r="Z55" s="8" t="s">
        <v>136</v>
      </c>
      <c r="AA55" s="8" t="s">
        <v>138</v>
      </c>
      <c r="AB55" s="8" t="s">
        <v>117</v>
      </c>
      <c r="AE55" s="8" t="s">
        <v>133</v>
      </c>
      <c r="AG55" s="8" t="s">
        <v>138</v>
      </c>
      <c r="AJ55" s="8" t="s">
        <v>134</v>
      </c>
      <c r="AK55" s="8" t="s">
        <v>118</v>
      </c>
      <c r="AO55" s="8" t="s">
        <v>136</v>
      </c>
      <c r="AP55" s="8" t="s">
        <v>133</v>
      </c>
      <c r="AQ55" s="8" t="s">
        <v>148</v>
      </c>
      <c r="AS55" s="8" t="s">
        <v>138</v>
      </c>
      <c r="AU55" s="8" t="s">
        <v>149</v>
      </c>
      <c r="AZ55" s="8" t="s">
        <v>140</v>
      </c>
      <c r="BA55" s="8" t="s">
        <v>133</v>
      </c>
      <c r="BE55" s="8" t="s">
        <v>130</v>
      </c>
      <c r="BF55" s="8" t="s">
        <v>150</v>
      </c>
      <c r="BL55" s="2" t="s">
        <v>1</v>
      </c>
    </row>
    <row r="56" spans="3:64" x14ac:dyDescent="0.2">
      <c r="D56" s="8" t="s">
        <v>117</v>
      </c>
      <c r="F56" s="8" t="s">
        <v>136</v>
      </c>
      <c r="G56" s="8" t="s">
        <v>133</v>
      </c>
      <c r="L56" s="8" t="s">
        <v>130</v>
      </c>
      <c r="P56" s="8" t="s">
        <v>133</v>
      </c>
      <c r="S56" s="8" t="s">
        <v>133</v>
      </c>
      <c r="T56" s="8" t="s">
        <v>136</v>
      </c>
      <c r="U56" s="8" t="s">
        <v>136</v>
      </c>
      <c r="V56" s="8" t="s">
        <v>136</v>
      </c>
      <c r="W56" s="8" t="s">
        <v>117</v>
      </c>
      <c r="Z56" s="8" t="s">
        <v>117</v>
      </c>
      <c r="AB56" s="8" t="s">
        <v>138</v>
      </c>
      <c r="AE56" s="8" t="s">
        <v>136</v>
      </c>
      <c r="AJ56" s="8" t="s">
        <v>130</v>
      </c>
      <c r="AK56" s="8" t="s">
        <v>134</v>
      </c>
      <c r="AO56" s="8" t="s">
        <v>117</v>
      </c>
      <c r="AP56" s="8" t="s">
        <v>136</v>
      </c>
      <c r="AQ56" s="8" t="s">
        <v>117</v>
      </c>
      <c r="AU56" s="8" t="s">
        <v>138</v>
      </c>
      <c r="AZ56" s="8" t="s">
        <v>142</v>
      </c>
      <c r="BA56" s="8" t="s">
        <v>133</v>
      </c>
      <c r="BE56" s="8" t="s">
        <v>133</v>
      </c>
      <c r="BF56" s="8" t="s">
        <v>150</v>
      </c>
      <c r="BL56" s="2" t="s">
        <v>1</v>
      </c>
    </row>
    <row r="57" spans="3:64" x14ac:dyDescent="0.2">
      <c r="D57" s="8" t="s">
        <v>149</v>
      </c>
      <c r="F57" s="8" t="s">
        <v>117</v>
      </c>
      <c r="G57" s="8" t="s">
        <v>133</v>
      </c>
      <c r="L57" s="8" t="s">
        <v>133</v>
      </c>
      <c r="P57" s="8" t="s">
        <v>136</v>
      </c>
      <c r="S57" s="8" t="s">
        <v>136</v>
      </c>
      <c r="T57" s="8" t="s">
        <v>117</v>
      </c>
      <c r="U57" s="8" t="s">
        <v>117</v>
      </c>
      <c r="V57" s="8" t="s">
        <v>117</v>
      </c>
      <c r="W57" s="8" t="s">
        <v>149</v>
      </c>
      <c r="Z57" s="8" t="s">
        <v>149</v>
      </c>
      <c r="AE57" s="8" t="s">
        <v>117</v>
      </c>
      <c r="AJ57" s="8" t="s">
        <v>133</v>
      </c>
      <c r="AK57" s="8" t="s">
        <v>130</v>
      </c>
      <c r="AO57" s="8" t="s">
        <v>149</v>
      </c>
      <c r="AP57" s="8" t="s">
        <v>148</v>
      </c>
      <c r="AQ57" s="8" t="s">
        <v>149</v>
      </c>
      <c r="AU57" s="8" t="s">
        <v>151</v>
      </c>
      <c r="BA57" s="8" t="s">
        <v>136</v>
      </c>
      <c r="BE57" s="8" t="s">
        <v>136</v>
      </c>
      <c r="BF57" s="8" t="s">
        <v>130</v>
      </c>
      <c r="BL57" s="2" t="s">
        <v>1</v>
      </c>
    </row>
    <row r="58" spans="3:64" x14ac:dyDescent="0.2">
      <c r="D58" s="8" t="s">
        <v>138</v>
      </c>
      <c r="F58" s="8" t="s">
        <v>149</v>
      </c>
      <c r="G58" s="8" t="s">
        <v>136</v>
      </c>
      <c r="L58" s="8" t="s">
        <v>136</v>
      </c>
      <c r="P58" s="8" t="s">
        <v>117</v>
      </c>
      <c r="S58" s="8" t="s">
        <v>117</v>
      </c>
      <c r="T58" s="8" t="s">
        <v>149</v>
      </c>
      <c r="U58" s="8" t="s">
        <v>152</v>
      </c>
      <c r="V58" s="8" t="s">
        <v>153</v>
      </c>
      <c r="W58" s="8" t="s">
        <v>138</v>
      </c>
      <c r="Z58" s="8" t="s">
        <v>138</v>
      </c>
      <c r="AE58" s="8" t="s">
        <v>149</v>
      </c>
      <c r="AJ58" s="8" t="s">
        <v>136</v>
      </c>
      <c r="AK58" s="8" t="s">
        <v>133</v>
      </c>
      <c r="AO58" s="8" t="s">
        <v>138</v>
      </c>
      <c r="AP58" s="8" t="s">
        <v>117</v>
      </c>
      <c r="AQ58" s="8" t="s">
        <v>138</v>
      </c>
      <c r="AU58" s="8" t="s">
        <v>140</v>
      </c>
      <c r="BA58" s="8" t="s">
        <v>148</v>
      </c>
      <c r="BE58" s="8" t="s">
        <v>117</v>
      </c>
      <c r="BF58" s="8" t="s">
        <v>133</v>
      </c>
      <c r="BL58" s="2" t="s">
        <v>1</v>
      </c>
    </row>
    <row r="59" spans="3:64" x14ac:dyDescent="0.2">
      <c r="D59" s="8" t="s">
        <v>151</v>
      </c>
      <c r="F59" s="8" t="s">
        <v>138</v>
      </c>
      <c r="G59" s="8" t="s">
        <v>148</v>
      </c>
      <c r="L59" s="8" t="s">
        <v>117</v>
      </c>
      <c r="P59" s="8" t="s">
        <v>149</v>
      </c>
      <c r="S59" s="8" t="s">
        <v>149</v>
      </c>
      <c r="T59" s="8" t="s">
        <v>138</v>
      </c>
      <c r="U59" s="8" t="s">
        <v>138</v>
      </c>
      <c r="V59" s="8" t="s">
        <v>138</v>
      </c>
      <c r="W59" s="8" t="s">
        <v>151</v>
      </c>
      <c r="Z59" s="8" t="s">
        <v>151</v>
      </c>
      <c r="AE59" s="8" t="s">
        <v>138</v>
      </c>
      <c r="AJ59" s="8" t="s">
        <v>117</v>
      </c>
      <c r="AK59" s="8" t="s">
        <v>133</v>
      </c>
      <c r="AO59" s="8" t="s">
        <v>151</v>
      </c>
      <c r="AP59" s="8" t="s">
        <v>149</v>
      </c>
      <c r="AQ59" s="8" t="s">
        <v>151</v>
      </c>
      <c r="BA59" s="8" t="s">
        <v>117</v>
      </c>
      <c r="BE59" s="8" t="s">
        <v>149</v>
      </c>
      <c r="BF59" s="8" t="s">
        <v>133</v>
      </c>
      <c r="BL59" s="2" t="s">
        <v>1</v>
      </c>
    </row>
    <row r="60" spans="3:64" x14ac:dyDescent="0.2">
      <c r="D60" s="8" t="s">
        <v>140</v>
      </c>
      <c r="F60" s="8" t="s">
        <v>151</v>
      </c>
      <c r="G60" s="8" t="s">
        <v>149</v>
      </c>
      <c r="L60" s="11" t="s">
        <v>149</v>
      </c>
      <c r="M60" s="4"/>
      <c r="N60" s="4"/>
      <c r="O60" s="4"/>
      <c r="P60" s="8" t="s">
        <v>138</v>
      </c>
      <c r="S60" s="8" t="s">
        <v>138</v>
      </c>
      <c r="T60" s="8" t="s">
        <v>151</v>
      </c>
      <c r="U60" s="8" t="s">
        <v>154</v>
      </c>
      <c r="V60" s="8" t="s">
        <v>155</v>
      </c>
      <c r="AE60" s="8" t="s">
        <v>151</v>
      </c>
      <c r="AJ60" s="8" t="s">
        <v>149</v>
      </c>
      <c r="AK60" s="8" t="s">
        <v>136</v>
      </c>
      <c r="AP60" s="8" t="s">
        <v>138</v>
      </c>
      <c r="BA60" s="8" t="s">
        <v>149</v>
      </c>
      <c r="BE60" s="8" t="s">
        <v>156</v>
      </c>
      <c r="BF60" s="8" t="s">
        <v>136</v>
      </c>
      <c r="BL60" s="2" t="s">
        <v>1</v>
      </c>
    </row>
    <row r="61" spans="3:64" x14ac:dyDescent="0.2">
      <c r="G61" s="8" t="s">
        <v>138</v>
      </c>
      <c r="L61" s="8" t="s">
        <v>138</v>
      </c>
      <c r="P61" s="8" t="s">
        <v>151</v>
      </c>
      <c r="S61" s="8" t="s">
        <v>151</v>
      </c>
      <c r="V61" s="8" t="s">
        <v>146</v>
      </c>
      <c r="AJ61" s="8" t="s">
        <v>138</v>
      </c>
      <c r="AK61" s="8" t="s">
        <v>148</v>
      </c>
      <c r="AP61" s="8" t="s">
        <v>151</v>
      </c>
      <c r="BA61" s="8" t="s">
        <v>138</v>
      </c>
      <c r="BE61" s="8" t="s">
        <v>138</v>
      </c>
      <c r="BF61" s="8" t="s">
        <v>148</v>
      </c>
      <c r="BL61" s="2" t="s">
        <v>1</v>
      </c>
    </row>
    <row r="62" spans="3:64" x14ac:dyDescent="0.2">
      <c r="G62" s="8" t="s">
        <v>151</v>
      </c>
      <c r="L62" s="11" t="s">
        <v>151</v>
      </c>
      <c r="M62" s="4"/>
      <c r="N62" s="4"/>
      <c r="O62" s="4"/>
      <c r="AJ62" s="8" t="s">
        <v>151</v>
      </c>
      <c r="AK62" s="8" t="s">
        <v>149</v>
      </c>
      <c r="BA62" s="8" t="s">
        <v>151</v>
      </c>
      <c r="BE62" s="8" t="s">
        <v>151</v>
      </c>
      <c r="BF62" s="8" t="s">
        <v>117</v>
      </c>
      <c r="BL62" s="2" t="s">
        <v>1</v>
      </c>
    </row>
    <row r="63" spans="3:64" x14ac:dyDescent="0.2">
      <c r="G63" s="8" t="s">
        <v>140</v>
      </c>
      <c r="AK63" s="8" t="s">
        <v>138</v>
      </c>
      <c r="BE63" s="8" t="s">
        <v>157</v>
      </c>
      <c r="BF63" s="8" t="s">
        <v>149</v>
      </c>
      <c r="BL63" s="2" t="s">
        <v>1</v>
      </c>
    </row>
    <row r="64" spans="3:64" x14ac:dyDescent="0.2">
      <c r="G64" s="8" t="s">
        <v>142</v>
      </c>
      <c r="AK64" s="8" t="s">
        <v>151</v>
      </c>
      <c r="BE64" s="8" t="s">
        <v>158</v>
      </c>
      <c r="BF64" s="8" t="s">
        <v>159</v>
      </c>
      <c r="BL64" s="2" t="s">
        <v>1</v>
      </c>
    </row>
    <row r="65" spans="1:64" x14ac:dyDescent="0.2">
      <c r="AK65" s="8" t="s">
        <v>140</v>
      </c>
      <c r="BE65" s="8" t="s">
        <v>160</v>
      </c>
      <c r="BF65" s="8" t="s">
        <v>159</v>
      </c>
      <c r="BL65" s="2" t="s">
        <v>1</v>
      </c>
    </row>
    <row r="66" spans="1:64" x14ac:dyDescent="0.2">
      <c r="AK66" s="8" t="s">
        <v>142</v>
      </c>
      <c r="BF66" s="8" t="s">
        <v>161</v>
      </c>
      <c r="BL66" s="2" t="s">
        <v>1</v>
      </c>
    </row>
    <row r="67" spans="1:64" ht="23.25" x14ac:dyDescent="0.35">
      <c r="A67" s="13" t="s">
        <v>162</v>
      </c>
      <c r="BF67" s="8" t="s">
        <v>138</v>
      </c>
      <c r="BL67" s="2" t="s">
        <v>1</v>
      </c>
    </row>
    <row r="68" spans="1:64" x14ac:dyDescent="0.2">
      <c r="A68" s="2" t="s">
        <v>163</v>
      </c>
      <c r="BF68" s="8" t="s">
        <v>151</v>
      </c>
      <c r="BL68" s="2" t="s">
        <v>1</v>
      </c>
    </row>
    <row r="69" spans="1:64" x14ac:dyDescent="0.2">
      <c r="A69" s="2" t="s">
        <v>164</v>
      </c>
    </row>
    <row r="70" spans="1:64" x14ac:dyDescent="0.2">
      <c r="A70" s="2" t="s">
        <v>165</v>
      </c>
      <c r="BF70" s="8" t="s">
        <v>166</v>
      </c>
      <c r="BL70" s="2" t="s">
        <v>1</v>
      </c>
    </row>
    <row r="71" spans="1:64" x14ac:dyDescent="0.2">
      <c r="A71" s="2" t="s">
        <v>167</v>
      </c>
      <c r="BF71" s="8" t="s">
        <v>166</v>
      </c>
    </row>
    <row r="72" spans="1:64" x14ac:dyDescent="0.2">
      <c r="A72" s="2" t="s">
        <v>168</v>
      </c>
      <c r="BF72" s="8" t="s">
        <v>169</v>
      </c>
    </row>
    <row r="73" spans="1:64" x14ac:dyDescent="0.2">
      <c r="A73" s="2" t="s">
        <v>170</v>
      </c>
      <c r="BF73" s="8" t="s">
        <v>171</v>
      </c>
    </row>
    <row r="74" spans="1:64" x14ac:dyDescent="0.2">
      <c r="A74" s="2" t="s">
        <v>172</v>
      </c>
      <c r="BF74" s="8" t="s">
        <v>171</v>
      </c>
    </row>
    <row r="75" spans="1:64" x14ac:dyDescent="0.2">
      <c r="A75" s="2" t="s">
        <v>173</v>
      </c>
      <c r="BF75" s="8" t="s">
        <v>160</v>
      </c>
    </row>
    <row r="76" spans="1:64" x14ac:dyDescent="0.2">
      <c r="A76" s="2" t="s">
        <v>174</v>
      </c>
    </row>
    <row r="77" spans="1:64" x14ac:dyDescent="0.2">
      <c r="A77" s="2" t="s">
        <v>175</v>
      </c>
    </row>
    <row r="78" spans="1:64" x14ac:dyDescent="0.2">
      <c r="A78" s="2" t="s">
        <v>176</v>
      </c>
    </row>
    <row r="79" spans="1:64" x14ac:dyDescent="0.2">
      <c r="A79" s="2" t="s">
        <v>177</v>
      </c>
    </row>
    <row r="81" spans="1:37" x14ac:dyDescent="0.2">
      <c r="A81" s="2" t="s">
        <v>178</v>
      </c>
      <c r="B81" s="12"/>
      <c r="C81" s="12"/>
      <c r="D81" s="12"/>
      <c r="E81" s="12"/>
      <c r="F81" s="12"/>
      <c r="J81" s="14"/>
      <c r="K81" s="14"/>
      <c r="L81" s="14"/>
      <c r="M81" s="14"/>
      <c r="N81" s="14"/>
      <c r="O81" s="14"/>
    </row>
    <row r="82" spans="1:37" x14ac:dyDescent="0.2">
      <c r="B82" s="12"/>
      <c r="C82" s="12"/>
      <c r="D82" s="12"/>
      <c r="E82" s="12"/>
      <c r="F82" s="12"/>
    </row>
    <row r="83" spans="1:37" x14ac:dyDescent="0.2">
      <c r="A83" s="2" t="s">
        <v>179</v>
      </c>
      <c r="B83" s="12">
        <v>82.3</v>
      </c>
      <c r="C83" s="12">
        <v>71.16</v>
      </c>
      <c r="D83" s="12">
        <v>45.5</v>
      </c>
      <c r="E83" s="12">
        <v>43.57</v>
      </c>
      <c r="F83" s="12">
        <v>38.409999999999997</v>
      </c>
      <c r="G83" s="12">
        <v>21.08</v>
      </c>
      <c r="H83" s="12">
        <v>19.3</v>
      </c>
      <c r="I83" s="12">
        <v>17.350000000000001</v>
      </c>
      <c r="J83" s="12">
        <v>13.1</v>
      </c>
      <c r="K83" s="12">
        <v>9</v>
      </c>
      <c r="L83" s="12">
        <v>-38.11</v>
      </c>
      <c r="M83" s="12">
        <v>-42</v>
      </c>
      <c r="N83" s="2">
        <v>-64.459999999999994</v>
      </c>
      <c r="P83" s="2">
        <v>-90</v>
      </c>
      <c r="R83" s="12"/>
      <c r="S83" s="12"/>
      <c r="W83" s="12"/>
      <c r="X83" s="12"/>
      <c r="Y83" s="12"/>
      <c r="Z83" s="12"/>
      <c r="AA83" s="12"/>
      <c r="AD83" s="12"/>
      <c r="AE83" s="12"/>
    </row>
    <row r="84" spans="1:37" x14ac:dyDescent="0.2">
      <c r="A84" s="2" t="s">
        <v>180</v>
      </c>
      <c r="B84" s="12">
        <v>62</v>
      </c>
      <c r="C84" s="12">
        <v>156.5</v>
      </c>
      <c r="D84" s="12">
        <v>124</v>
      </c>
      <c r="E84" s="12">
        <v>60</v>
      </c>
      <c r="F84" s="12">
        <v>-103.11</v>
      </c>
      <c r="G84" s="12">
        <v>157.1</v>
      </c>
      <c r="H84" s="12">
        <v>154.5</v>
      </c>
      <c r="I84" s="12">
        <v>63.4</v>
      </c>
      <c r="J84" s="12">
        <v>59.26</v>
      </c>
      <c r="K84" s="12">
        <v>80</v>
      </c>
      <c r="L84" s="12">
        <v>-146.18</v>
      </c>
      <c r="M84" s="12">
        <v>-145</v>
      </c>
      <c r="N84" s="2">
        <v>64.03</v>
      </c>
      <c r="P84" s="2">
        <v>0</v>
      </c>
      <c r="R84" s="12"/>
      <c r="S84" s="12"/>
      <c r="W84" s="12"/>
      <c r="X84" s="12"/>
      <c r="Y84" s="12"/>
      <c r="Z84" s="12"/>
      <c r="AA84" s="12"/>
      <c r="AD84" s="12"/>
      <c r="AE84" s="12"/>
    </row>
    <row r="87" spans="1:37" x14ac:dyDescent="0.2">
      <c r="A87" s="2" t="s">
        <v>181</v>
      </c>
      <c r="B87" s="2" t="s">
        <v>182</v>
      </c>
      <c r="C87" s="2" t="s">
        <v>183</v>
      </c>
      <c r="D87" s="15" t="s">
        <v>184</v>
      </c>
      <c r="E87" s="2" t="s">
        <v>185</v>
      </c>
      <c r="F87" s="2" t="s">
        <v>186</v>
      </c>
      <c r="G87" s="2" t="s">
        <v>187</v>
      </c>
      <c r="H87" s="2" t="s">
        <v>188</v>
      </c>
      <c r="I87" s="2" t="s">
        <v>189</v>
      </c>
      <c r="J87" s="2" t="s">
        <v>190</v>
      </c>
      <c r="K87" s="2" t="s">
        <v>191</v>
      </c>
      <c r="L87" s="2" t="s">
        <v>192</v>
      </c>
      <c r="M87" s="2" t="s">
        <v>193</v>
      </c>
      <c r="N87" s="15" t="s">
        <v>194</v>
      </c>
      <c r="P87" s="2" t="s">
        <v>195</v>
      </c>
    </row>
    <row r="88" spans="1:37" x14ac:dyDescent="0.2">
      <c r="A88" s="2">
        <v>1</v>
      </c>
      <c r="B88" s="2">
        <v>1.0003</v>
      </c>
      <c r="C88" s="2">
        <v>1.0005189999999999</v>
      </c>
      <c r="D88" s="14">
        <v>1.0077700000000001</v>
      </c>
      <c r="E88" s="2">
        <v>1.0050159999999999</v>
      </c>
      <c r="F88" s="2">
        <v>1.001519</v>
      </c>
      <c r="G88" s="2">
        <v>1.00349</v>
      </c>
      <c r="H88" s="2">
        <v>1.0081899999999999</v>
      </c>
      <c r="I88" s="2">
        <v>1.0082249999999999</v>
      </c>
      <c r="J88" s="2">
        <v>1.0083200000000001</v>
      </c>
      <c r="K88" s="2">
        <v>1.0082260000000001</v>
      </c>
      <c r="L88" s="2">
        <v>1.008222</v>
      </c>
      <c r="M88" s="2">
        <v>1.00804</v>
      </c>
      <c r="N88" s="2">
        <v>1.003522</v>
      </c>
      <c r="P88" s="2">
        <v>1.00068</v>
      </c>
    </row>
    <row r="89" spans="1:37" x14ac:dyDescent="0.2">
      <c r="A89" s="2">
        <v>2</v>
      </c>
      <c r="B89" s="2">
        <v>1.0003010000000001</v>
      </c>
      <c r="C89" s="2">
        <v>1.0004679999999999</v>
      </c>
      <c r="D89" s="14">
        <v>1.0077700000000001</v>
      </c>
      <c r="E89" s="2">
        <v>1.004705</v>
      </c>
      <c r="F89" s="2">
        <v>1.0022040000000001</v>
      </c>
      <c r="G89" s="2">
        <v>1.0036099999999999</v>
      </c>
      <c r="H89" s="2">
        <v>1.0081899999999999</v>
      </c>
      <c r="I89" s="2">
        <v>1.0082230000000001</v>
      </c>
      <c r="J89" s="2">
        <v>1.0083200000000001</v>
      </c>
      <c r="K89" s="2">
        <v>1.008227</v>
      </c>
      <c r="L89" s="2">
        <v>1.0082169999999999</v>
      </c>
      <c r="M89" s="2">
        <v>1.0080499999999999</v>
      </c>
      <c r="N89" s="2">
        <v>1.0026060000000001</v>
      </c>
      <c r="P89" s="2">
        <v>1.0001949999999999</v>
      </c>
    </row>
    <row r="90" spans="1:37" x14ac:dyDescent="0.2">
      <c r="A90" s="2">
        <v>3</v>
      </c>
      <c r="B90" s="2">
        <v>1.0003310000000001</v>
      </c>
      <c r="C90" s="2">
        <v>1.0004759999999999</v>
      </c>
      <c r="D90" s="14">
        <v>1.00779</v>
      </c>
      <c r="E90" s="2">
        <v>1.005336</v>
      </c>
      <c r="F90" s="2">
        <v>1.0032049999999999</v>
      </c>
      <c r="G90" s="2">
        <v>1.0037799999999999</v>
      </c>
      <c r="H90" s="2">
        <v>1.0082</v>
      </c>
      <c r="I90" s="2">
        <v>1.0082249999999999</v>
      </c>
      <c r="J90" s="2">
        <v>1.0083299999999999</v>
      </c>
      <c r="K90" s="2">
        <v>1.0082260000000001</v>
      </c>
      <c r="L90" s="2">
        <v>1.0082059999999999</v>
      </c>
      <c r="M90" s="2">
        <v>1.0080199999999999</v>
      </c>
      <c r="N90" s="2">
        <v>1.001563</v>
      </c>
      <c r="P90" s="2">
        <v>1.0000435000000001</v>
      </c>
    </row>
    <row r="91" spans="1:37" x14ac:dyDescent="0.2">
      <c r="A91" s="2">
        <v>4</v>
      </c>
      <c r="B91" s="2">
        <v>1.000912</v>
      </c>
      <c r="C91" s="2">
        <v>1.0011300000000001</v>
      </c>
      <c r="D91" s="14">
        <v>1.0078199999999999</v>
      </c>
      <c r="E91" s="2">
        <v>1.006626</v>
      </c>
      <c r="F91" s="2">
        <v>1.0041279999999999</v>
      </c>
      <c r="G91" s="2">
        <v>1.0041500000000001</v>
      </c>
      <c r="H91" s="2">
        <v>1.0082100000000001</v>
      </c>
      <c r="I91" s="2">
        <v>1.008227</v>
      </c>
      <c r="J91" s="2">
        <v>1.0083500000000001</v>
      </c>
      <c r="K91" s="2">
        <v>1.008227</v>
      </c>
      <c r="L91" s="2">
        <v>1.0082009999999999</v>
      </c>
      <c r="M91" s="2">
        <v>1.00796</v>
      </c>
      <c r="N91" s="2">
        <v>1.0011969999999999</v>
      </c>
      <c r="P91" s="2">
        <v>1.0000260000000001</v>
      </c>
    </row>
    <row r="92" spans="1:37" x14ac:dyDescent="0.2">
      <c r="A92" s="2">
        <v>5</v>
      </c>
      <c r="B92" s="2">
        <v>1.002175</v>
      </c>
      <c r="C92" s="2">
        <v>1.0031399999999999</v>
      </c>
      <c r="D92" s="14">
        <v>1.0079</v>
      </c>
      <c r="E92" s="2">
        <v>1.0078879999999999</v>
      </c>
      <c r="F92" s="2">
        <v>1.006132</v>
      </c>
      <c r="G92" s="2">
        <v>1.0047900000000001</v>
      </c>
      <c r="H92" s="2">
        <v>1.00823</v>
      </c>
      <c r="I92" s="2">
        <v>1.0082260000000001</v>
      </c>
      <c r="J92" s="2">
        <v>1.00837</v>
      </c>
      <c r="K92" s="2">
        <v>1.008227</v>
      </c>
      <c r="L92" s="2">
        <v>1.008178</v>
      </c>
      <c r="M92" s="2">
        <v>1.00793</v>
      </c>
      <c r="N92" s="2">
        <v>1.000799</v>
      </c>
      <c r="P92" s="16">
        <v>1</v>
      </c>
      <c r="AK92" s="16"/>
    </row>
    <row r="93" spans="1:37" x14ac:dyDescent="0.2">
      <c r="A93" s="2">
        <v>6</v>
      </c>
      <c r="B93" s="2">
        <v>1.0047759999999999</v>
      </c>
      <c r="C93" s="2">
        <v>1.00546</v>
      </c>
      <c r="D93" s="14">
        <v>1.0079400000000001</v>
      </c>
      <c r="E93" s="2">
        <v>1.008208</v>
      </c>
      <c r="F93" s="2">
        <v>1.008446</v>
      </c>
      <c r="G93" s="2">
        <v>1.0045200000000001</v>
      </c>
      <c r="H93" s="2">
        <v>1.0082500000000001</v>
      </c>
      <c r="I93" s="2">
        <v>1.008224</v>
      </c>
      <c r="J93" s="2">
        <v>1.00837</v>
      </c>
      <c r="K93" s="2">
        <v>1.0082279999999999</v>
      </c>
      <c r="L93" s="2">
        <v>1.0080389999999999</v>
      </c>
      <c r="M93" s="2">
        <v>1.0079</v>
      </c>
      <c r="N93" s="2">
        <v>1.0011410000000001</v>
      </c>
      <c r="P93" s="16">
        <v>1</v>
      </c>
      <c r="AK93" s="16"/>
    </row>
    <row r="94" spans="1:37" x14ac:dyDescent="0.2">
      <c r="A94" s="2">
        <v>7</v>
      </c>
      <c r="B94" s="2">
        <v>1.006281</v>
      </c>
      <c r="C94" s="2">
        <v>1.0064500000000001</v>
      </c>
      <c r="D94" s="14">
        <v>1.0080100000000001</v>
      </c>
      <c r="E94" s="2">
        <v>1.0082139999999999</v>
      </c>
      <c r="F94" s="2">
        <v>1.0086569999999999</v>
      </c>
      <c r="G94" s="2">
        <v>1.0057100000000001</v>
      </c>
      <c r="H94" s="2">
        <v>1.0082599999999999</v>
      </c>
      <c r="I94" s="2">
        <v>1.0082249999999999</v>
      </c>
      <c r="J94" s="2">
        <v>1.00837</v>
      </c>
      <c r="K94" s="2">
        <v>1.0082279999999999</v>
      </c>
      <c r="L94" s="2">
        <v>1.0080199999999999</v>
      </c>
      <c r="M94" s="2">
        <v>1.0078800000000001</v>
      </c>
      <c r="N94" s="2">
        <v>1.001123</v>
      </c>
      <c r="P94" s="2">
        <v>1.0000180000000001</v>
      </c>
    </row>
    <row r="95" spans="1:37" x14ac:dyDescent="0.2">
      <c r="A95" s="2">
        <v>8</v>
      </c>
      <c r="B95" s="2">
        <v>1.005234</v>
      </c>
      <c r="C95" s="2">
        <v>1.0065</v>
      </c>
      <c r="D95" s="14">
        <v>1.0080199999999999</v>
      </c>
      <c r="E95" s="2">
        <v>1.008211</v>
      </c>
      <c r="F95" s="2">
        <v>1.0086360000000001</v>
      </c>
      <c r="G95" s="2">
        <v>1.0063</v>
      </c>
      <c r="H95" s="2">
        <v>1.00827</v>
      </c>
      <c r="I95" s="2">
        <v>1.0082279999999999</v>
      </c>
      <c r="J95" s="2">
        <v>1.0083800000000001</v>
      </c>
      <c r="K95" s="2">
        <v>1.008227</v>
      </c>
      <c r="L95" s="2">
        <v>1.0079929999999999</v>
      </c>
      <c r="M95" s="2">
        <v>1.0078800000000001</v>
      </c>
      <c r="N95" s="2">
        <v>1.0009049999999999</v>
      </c>
      <c r="P95" s="2">
        <v>1.000021</v>
      </c>
    </row>
    <row r="96" spans="1:37" x14ac:dyDescent="0.2">
      <c r="A96" s="2">
        <v>9</v>
      </c>
      <c r="B96" s="2">
        <v>1.0028010000000001</v>
      </c>
      <c r="C96" s="2">
        <v>1.0050399999999999</v>
      </c>
      <c r="D96" s="14">
        <v>1.0079899999999999</v>
      </c>
      <c r="E96" s="2">
        <v>1.0082139999999999</v>
      </c>
      <c r="F96" s="2">
        <v>1.0080439999999999</v>
      </c>
      <c r="G96" s="2">
        <v>1.0064900000000001</v>
      </c>
      <c r="H96" s="2">
        <v>1.0082800000000001</v>
      </c>
      <c r="I96" s="2">
        <v>1.0082310000000001</v>
      </c>
      <c r="J96" s="2">
        <v>1.0083800000000001</v>
      </c>
      <c r="K96" s="2">
        <v>1.008229</v>
      </c>
      <c r="L96" s="2">
        <v>1.0081340000000001</v>
      </c>
      <c r="M96" s="2">
        <v>1.0079</v>
      </c>
      <c r="N96" s="2">
        <v>1.000956</v>
      </c>
      <c r="P96" s="2">
        <v>1.000021</v>
      </c>
    </row>
    <row r="97" spans="1:16" x14ac:dyDescent="0.2">
      <c r="A97" s="2">
        <v>10</v>
      </c>
      <c r="B97" s="2">
        <v>1.0011190000000001</v>
      </c>
      <c r="C97" s="2">
        <v>1.00257</v>
      </c>
      <c r="D97" s="14">
        <v>1.00789</v>
      </c>
      <c r="E97" s="2">
        <v>1.0079929999999999</v>
      </c>
      <c r="F97" s="2">
        <v>1.0053460000000001</v>
      </c>
      <c r="G97" s="2">
        <v>1.0056</v>
      </c>
      <c r="H97" s="2">
        <v>1.00827</v>
      </c>
      <c r="I97" s="2">
        <v>1.008235</v>
      </c>
      <c r="J97" s="2">
        <v>1.0083800000000001</v>
      </c>
      <c r="K97" s="2">
        <v>1.008229</v>
      </c>
      <c r="L97" s="2">
        <v>1.0081910000000001</v>
      </c>
      <c r="M97" s="2">
        <v>1.0079199999999999</v>
      </c>
      <c r="N97" s="2">
        <v>1.0012700000000001</v>
      </c>
      <c r="P97" s="2">
        <v>1.0000469999999999</v>
      </c>
    </row>
    <row r="98" spans="1:16" x14ac:dyDescent="0.2">
      <c r="A98" s="2">
        <v>11</v>
      </c>
      <c r="B98" s="2">
        <v>1.0008030000000001</v>
      </c>
      <c r="C98" s="2">
        <v>1.00105</v>
      </c>
      <c r="D98" s="14">
        <v>1.0078199999999999</v>
      </c>
      <c r="E98" s="2">
        <v>1.0070140000000001</v>
      </c>
      <c r="F98" s="2">
        <v>1.003306</v>
      </c>
      <c r="G98" s="2">
        <v>1.0052700000000001</v>
      </c>
      <c r="H98" s="2">
        <v>1.00824</v>
      </c>
      <c r="I98" s="2">
        <v>1.008232</v>
      </c>
      <c r="J98" s="2">
        <v>1.00837</v>
      </c>
      <c r="K98" s="2">
        <v>1.008229</v>
      </c>
      <c r="L98" s="2">
        <v>1.008221</v>
      </c>
      <c r="M98" s="2">
        <v>1.0079499999999999</v>
      </c>
      <c r="N98" s="2">
        <v>1.002208</v>
      </c>
      <c r="P98" s="2">
        <v>1.000259</v>
      </c>
    </row>
    <row r="99" spans="1:16" x14ac:dyDescent="0.2">
      <c r="A99" s="2">
        <v>12</v>
      </c>
      <c r="B99" s="2">
        <v>1.000372</v>
      </c>
      <c r="C99" s="2">
        <v>1.0006520000000001</v>
      </c>
      <c r="D99" s="14">
        <v>1.00773</v>
      </c>
      <c r="E99" s="2">
        <v>1.0060979999999999</v>
      </c>
      <c r="F99" s="2">
        <v>1.002043</v>
      </c>
      <c r="G99" s="2">
        <v>1.0036799999999999</v>
      </c>
      <c r="H99" s="2">
        <v>1.0082100000000001</v>
      </c>
      <c r="I99" s="2">
        <v>1.0082279999999999</v>
      </c>
      <c r="J99" s="2">
        <v>1.0083500000000001</v>
      </c>
      <c r="K99" s="2">
        <v>1.0082279999999999</v>
      </c>
      <c r="L99" s="2">
        <v>1.0082199999999999</v>
      </c>
      <c r="M99" s="2">
        <v>1.0079899999999999</v>
      </c>
      <c r="N99" s="2">
        <v>1.0036160000000001</v>
      </c>
      <c r="P99" s="2">
        <v>1.000686</v>
      </c>
    </row>
    <row r="102" spans="1:16" x14ac:dyDescent="0.2">
      <c r="B102" s="2">
        <f t="shared" ref="B102:N102" si="8">AVERAGE(B88:B99)</f>
        <v>1.0021170833333333</v>
      </c>
      <c r="C102" s="2">
        <f t="shared" si="8"/>
        <v>1.0027879166666667</v>
      </c>
      <c r="D102" s="2">
        <f t="shared" si="8"/>
        <v>1.0078708333333335</v>
      </c>
      <c r="E102" s="2">
        <f t="shared" si="8"/>
        <v>1.0069602499999999</v>
      </c>
      <c r="F102" s="2">
        <f t="shared" si="8"/>
        <v>1.0051388333333333</v>
      </c>
      <c r="G102" s="2">
        <f t="shared" si="8"/>
        <v>1.0047824999999997</v>
      </c>
      <c r="H102" s="2">
        <f t="shared" si="8"/>
        <v>1.0082333333333335</v>
      </c>
      <c r="I102" s="2">
        <f t="shared" si="8"/>
        <v>1.0082274166666665</v>
      </c>
      <c r="J102" s="2">
        <f t="shared" si="8"/>
        <v>1.0083575</v>
      </c>
      <c r="K102" s="2">
        <f t="shared" si="8"/>
        <v>1.0082275833333334</v>
      </c>
      <c r="L102" s="2">
        <f t="shared" si="8"/>
        <v>1.0081535000000001</v>
      </c>
      <c r="M102" s="2">
        <f t="shared" si="8"/>
        <v>1.0079516666666666</v>
      </c>
      <c r="N102" s="2">
        <f t="shared" si="8"/>
        <v>1.0017421666666666</v>
      </c>
      <c r="P102" s="2">
        <f>AVERAGE(P88:P99)</f>
        <v>1.0001663750000001</v>
      </c>
    </row>
    <row r="105" spans="1:16" ht="15.75" x14ac:dyDescent="0.25">
      <c r="A105" s="6" t="s">
        <v>196</v>
      </c>
    </row>
    <row r="108" spans="1:16" ht="15.75" x14ac:dyDescent="0.25">
      <c r="A108" s="6" t="s">
        <v>197</v>
      </c>
    </row>
    <row r="109" spans="1:16" ht="15.75" x14ac:dyDescent="0.25">
      <c r="A109" s="6"/>
    </row>
    <row r="110" spans="1:16" x14ac:dyDescent="0.2">
      <c r="A110" s="2" t="s">
        <v>198</v>
      </c>
    </row>
    <row r="111" spans="1:16" x14ac:dyDescent="0.2">
      <c r="A111" s="2" t="s">
        <v>199</v>
      </c>
    </row>
    <row r="112" spans="1:16" ht="15.75" x14ac:dyDescent="0.25">
      <c r="A112" s="6"/>
    </row>
    <row r="113" spans="1:6" ht="15.75" x14ac:dyDescent="0.25">
      <c r="A113" s="6"/>
      <c r="C113" s="2" t="s">
        <v>200</v>
      </c>
      <c r="D113" s="2" t="s">
        <v>201</v>
      </c>
      <c r="E113" s="2" t="s">
        <v>202</v>
      </c>
      <c r="F113" s="2" t="s">
        <v>203</v>
      </c>
    </row>
    <row r="114" spans="1:6" ht="15.75" x14ac:dyDescent="0.25">
      <c r="A114" s="6"/>
      <c r="C114" s="2" t="s">
        <v>204</v>
      </c>
      <c r="D114" s="2" t="s">
        <v>205</v>
      </c>
    </row>
    <row r="115" spans="1:6" x14ac:dyDescent="0.2">
      <c r="A115" s="2" t="s">
        <v>25</v>
      </c>
      <c r="C115" s="2">
        <v>44.2</v>
      </c>
      <c r="D115" s="2">
        <v>68.2</v>
      </c>
      <c r="E115" s="2" t="s">
        <v>206</v>
      </c>
      <c r="F115" s="2" t="s">
        <v>207</v>
      </c>
    </row>
    <row r="116" spans="1:6" x14ac:dyDescent="0.2">
      <c r="A116" s="2" t="s">
        <v>55</v>
      </c>
      <c r="C116" s="17">
        <v>1</v>
      </c>
      <c r="D116" s="17">
        <v>24</v>
      </c>
      <c r="E116" s="2" t="s">
        <v>208</v>
      </c>
      <c r="F116" s="2" t="s">
        <v>209</v>
      </c>
    </row>
    <row r="117" spans="1:6" x14ac:dyDescent="0.2">
      <c r="A117" s="2" t="s">
        <v>24</v>
      </c>
      <c r="C117" s="17"/>
      <c r="D117" s="17"/>
      <c r="F117" s="2" t="s">
        <v>210</v>
      </c>
    </row>
    <row r="118" spans="1:6" x14ac:dyDescent="0.2">
      <c r="A118" s="2" t="s">
        <v>54</v>
      </c>
      <c r="C118" s="17">
        <v>82.3</v>
      </c>
      <c r="D118" s="17">
        <v>62</v>
      </c>
      <c r="E118" s="2" t="s">
        <v>208</v>
      </c>
      <c r="F118" s="2" t="s">
        <v>211</v>
      </c>
    </row>
    <row r="119" spans="1:6" x14ac:dyDescent="0.2">
      <c r="A119" s="2" t="s">
        <v>26</v>
      </c>
      <c r="C119" s="17">
        <v>40</v>
      </c>
      <c r="D119" s="17">
        <v>80</v>
      </c>
      <c r="E119" s="2" t="s">
        <v>208</v>
      </c>
      <c r="F119" s="2" t="s">
        <v>212</v>
      </c>
    </row>
    <row r="120" spans="1:6" x14ac:dyDescent="0.2">
      <c r="A120" s="2" t="s">
        <v>48</v>
      </c>
      <c r="C120" s="17">
        <v>-2.5</v>
      </c>
      <c r="D120" s="17">
        <v>60</v>
      </c>
      <c r="E120" s="2" t="s">
        <v>208</v>
      </c>
      <c r="F120" s="2" t="s">
        <v>212</v>
      </c>
    </row>
    <row r="121" spans="1:6" x14ac:dyDescent="0.2">
      <c r="A121" s="2" t="s">
        <v>56</v>
      </c>
      <c r="C121" s="17">
        <v>78</v>
      </c>
      <c r="D121" s="17">
        <v>29</v>
      </c>
      <c r="E121" s="2" t="s">
        <v>208</v>
      </c>
      <c r="F121" s="2" t="s">
        <v>213</v>
      </c>
    </row>
    <row r="122" spans="1:6" x14ac:dyDescent="0.2">
      <c r="A122" s="2" t="s">
        <v>27</v>
      </c>
      <c r="C122" s="17">
        <v>34.35</v>
      </c>
      <c r="D122" s="17">
        <v>120.38</v>
      </c>
      <c r="E122" s="2" t="s">
        <v>214</v>
      </c>
      <c r="F122" s="2" t="s">
        <v>215</v>
      </c>
    </row>
    <row r="123" spans="1:6" x14ac:dyDescent="0.2">
      <c r="A123" s="2" t="s">
        <v>57</v>
      </c>
      <c r="C123" s="17">
        <v>25</v>
      </c>
      <c r="D123" s="17">
        <v>77</v>
      </c>
      <c r="E123" s="2" t="s">
        <v>214</v>
      </c>
      <c r="F123" s="2" t="s">
        <v>216</v>
      </c>
    </row>
    <row r="124" spans="1:6" x14ac:dyDescent="0.2">
      <c r="A124" s="2" t="s">
        <v>28</v>
      </c>
      <c r="C124" s="17">
        <v>71.16</v>
      </c>
      <c r="D124" s="17">
        <v>156.5</v>
      </c>
      <c r="E124" s="2" t="s">
        <v>208</v>
      </c>
      <c r="F124" s="2" t="s">
        <v>88</v>
      </c>
    </row>
    <row r="125" spans="1:6" x14ac:dyDescent="0.2">
      <c r="A125" s="2" t="s">
        <v>29</v>
      </c>
      <c r="C125" s="17">
        <v>45.29</v>
      </c>
      <c r="D125" s="17">
        <v>122.49</v>
      </c>
      <c r="E125" s="2" t="s">
        <v>206</v>
      </c>
      <c r="F125" s="2" t="s">
        <v>90</v>
      </c>
    </row>
    <row r="126" spans="1:6" x14ac:dyDescent="0.2">
      <c r="A126" s="2" t="s">
        <v>30</v>
      </c>
      <c r="C126" s="17">
        <v>39.5</v>
      </c>
      <c r="D126" s="17">
        <v>116.3</v>
      </c>
      <c r="E126" s="2" t="s">
        <v>208</v>
      </c>
      <c r="F126" s="2" t="s">
        <v>217</v>
      </c>
    </row>
    <row r="127" spans="1:6" x14ac:dyDescent="0.2">
      <c r="A127" s="2" t="s">
        <v>58</v>
      </c>
      <c r="C127" s="17">
        <v>-1.27</v>
      </c>
      <c r="D127" s="17">
        <v>48.29</v>
      </c>
      <c r="E127" s="2" t="s">
        <v>206</v>
      </c>
      <c r="F127" s="2" t="s">
        <v>89</v>
      </c>
    </row>
    <row r="128" spans="1:6" x14ac:dyDescent="0.2">
      <c r="A128" s="2" t="s">
        <v>59</v>
      </c>
      <c r="C128" s="17">
        <v>42</v>
      </c>
      <c r="D128" s="17">
        <v>123</v>
      </c>
      <c r="E128" s="2" t="s">
        <v>208</v>
      </c>
      <c r="F128" s="2" t="s">
        <v>218</v>
      </c>
    </row>
    <row r="129" spans="1:9" x14ac:dyDescent="0.2">
      <c r="A129" s="2" t="s">
        <v>31</v>
      </c>
      <c r="C129" s="17">
        <v>-2</v>
      </c>
      <c r="D129" s="17">
        <v>64</v>
      </c>
      <c r="E129" s="2" t="s">
        <v>208</v>
      </c>
      <c r="F129" s="2" t="s">
        <v>212</v>
      </c>
    </row>
    <row r="130" spans="1:9" x14ac:dyDescent="0.2">
      <c r="A130" s="2" t="s">
        <v>61</v>
      </c>
      <c r="C130" s="17">
        <v>-2</v>
      </c>
      <c r="D130" s="17">
        <v>64</v>
      </c>
      <c r="E130" s="2" t="s">
        <v>208</v>
      </c>
      <c r="F130" s="2" t="s">
        <v>212</v>
      </c>
    </row>
    <row r="131" spans="1:9" x14ac:dyDescent="0.2">
      <c r="A131" s="2" t="s">
        <v>60</v>
      </c>
      <c r="C131" s="17">
        <v>-4</v>
      </c>
      <c r="D131" s="17">
        <v>60</v>
      </c>
      <c r="E131" s="2" t="s">
        <v>208</v>
      </c>
      <c r="F131" s="2" t="s">
        <v>219</v>
      </c>
    </row>
    <row r="132" spans="1:9" x14ac:dyDescent="0.2">
      <c r="A132" s="2" t="s">
        <v>32</v>
      </c>
      <c r="C132" s="17">
        <v>35</v>
      </c>
      <c r="D132" s="17">
        <v>117</v>
      </c>
      <c r="E132" s="2" t="s">
        <v>208</v>
      </c>
      <c r="F132" s="2" t="s">
        <v>101</v>
      </c>
    </row>
    <row r="133" spans="1:9" x14ac:dyDescent="0.2">
      <c r="A133" s="2" t="s">
        <v>33</v>
      </c>
      <c r="C133" s="17">
        <v>30.37</v>
      </c>
      <c r="D133" s="17">
        <v>-104</v>
      </c>
      <c r="E133" s="2" t="s">
        <v>208</v>
      </c>
      <c r="F133" s="2" t="s">
        <v>220</v>
      </c>
    </row>
    <row r="134" spans="1:9" x14ac:dyDescent="0.2">
      <c r="A134" s="2" t="s">
        <v>62</v>
      </c>
      <c r="C134" s="17">
        <v>20.29</v>
      </c>
      <c r="D134" s="17">
        <v>86.54</v>
      </c>
      <c r="E134" s="2" t="s">
        <v>214</v>
      </c>
      <c r="F134" s="2" t="s">
        <v>93</v>
      </c>
    </row>
    <row r="135" spans="1:9" x14ac:dyDescent="0.2">
      <c r="A135" s="2" t="s">
        <v>76</v>
      </c>
      <c r="C135" s="17">
        <v>52</v>
      </c>
      <c r="D135" s="17">
        <v>131</v>
      </c>
      <c r="E135" s="2" t="s">
        <v>214</v>
      </c>
      <c r="F135" s="2" t="s">
        <v>221</v>
      </c>
    </row>
    <row r="136" spans="1:9" x14ac:dyDescent="0.2">
      <c r="A136" s="2" t="s">
        <v>78</v>
      </c>
      <c r="C136" s="17">
        <v>3</v>
      </c>
      <c r="D136" s="17">
        <v>26</v>
      </c>
      <c r="E136" s="2" t="s">
        <v>214</v>
      </c>
      <c r="F136" s="2" t="s">
        <v>222</v>
      </c>
    </row>
    <row r="137" spans="1:9" x14ac:dyDescent="0.2">
      <c r="A137" s="2" t="s">
        <v>49</v>
      </c>
      <c r="C137" s="17">
        <v>24</v>
      </c>
      <c r="D137" s="17">
        <v>154</v>
      </c>
      <c r="E137" s="2" t="s">
        <v>214</v>
      </c>
    </row>
    <row r="138" spans="1:9" x14ac:dyDescent="0.2">
      <c r="A138" s="2" t="s">
        <v>79</v>
      </c>
      <c r="C138" s="17">
        <v>-13</v>
      </c>
      <c r="D138" s="17">
        <v>24</v>
      </c>
      <c r="E138" s="2" t="s">
        <v>214</v>
      </c>
      <c r="F138" s="2" t="s">
        <v>223</v>
      </c>
    </row>
    <row r="139" spans="1:9" x14ac:dyDescent="0.2">
      <c r="A139" s="2" t="s">
        <v>50</v>
      </c>
      <c r="C139" s="17">
        <v>47</v>
      </c>
      <c r="D139" s="17">
        <v>141</v>
      </c>
      <c r="E139" s="2" t="s">
        <v>214</v>
      </c>
    </row>
    <row r="140" spans="1:9" x14ac:dyDescent="0.2">
      <c r="A140" s="2" t="s">
        <v>63</v>
      </c>
      <c r="C140" s="17">
        <v>70.099999999999994</v>
      </c>
      <c r="D140" s="17">
        <v>-148.30000000000001</v>
      </c>
      <c r="E140" s="2" t="s">
        <v>208</v>
      </c>
      <c r="F140" s="2" t="s">
        <v>224</v>
      </c>
    </row>
    <row r="141" spans="1:9" x14ac:dyDescent="0.2">
      <c r="A141" s="2" t="s">
        <v>34</v>
      </c>
      <c r="C141" s="17">
        <v>47.59</v>
      </c>
      <c r="D141" s="17">
        <v>122.55</v>
      </c>
      <c r="E141" s="2" t="s">
        <v>225</v>
      </c>
      <c r="F141" s="2" t="s">
        <v>226</v>
      </c>
    </row>
    <row r="142" spans="1:9" x14ac:dyDescent="0.2">
      <c r="A142" s="2" t="s">
        <v>64</v>
      </c>
      <c r="C142" s="17">
        <v>-2.5</v>
      </c>
      <c r="D142" s="17">
        <v>60</v>
      </c>
      <c r="E142" s="2" t="s">
        <v>208</v>
      </c>
      <c r="F142" s="2" t="s">
        <v>212</v>
      </c>
      <c r="H142" s="4"/>
      <c r="I142" s="4"/>
    </row>
    <row r="143" spans="1:9" x14ac:dyDescent="0.2">
      <c r="A143" s="2" t="s">
        <v>35</v>
      </c>
      <c r="C143" s="17">
        <v>60</v>
      </c>
      <c r="D143" s="17">
        <v>40</v>
      </c>
      <c r="E143" s="2" t="s">
        <v>208</v>
      </c>
      <c r="F143" s="2" t="s">
        <v>212</v>
      </c>
      <c r="H143" s="4"/>
      <c r="I143" s="4"/>
    </row>
    <row r="144" spans="1:9" x14ac:dyDescent="0.2">
      <c r="A144" s="2" t="s">
        <v>65</v>
      </c>
      <c r="C144" s="17">
        <v>36.6</v>
      </c>
      <c r="D144" s="17">
        <v>111.3</v>
      </c>
      <c r="E144" s="2" t="s">
        <v>208</v>
      </c>
      <c r="F144" s="2" t="s">
        <v>227</v>
      </c>
      <c r="H144" s="4"/>
      <c r="I144" s="4"/>
    </row>
    <row r="145" spans="1:9" x14ac:dyDescent="0.2">
      <c r="A145" s="2" t="s">
        <v>36</v>
      </c>
      <c r="C145" s="17">
        <v>62</v>
      </c>
      <c r="D145" s="17">
        <v>45</v>
      </c>
      <c r="E145" s="2" t="s">
        <v>208</v>
      </c>
      <c r="F145" s="2" t="s">
        <v>228</v>
      </c>
      <c r="I145" s="4"/>
    </row>
    <row r="146" spans="1:9" x14ac:dyDescent="0.2">
      <c r="A146" s="2" t="s">
        <v>66</v>
      </c>
      <c r="C146" s="17">
        <v>13.3</v>
      </c>
      <c r="D146" s="17">
        <v>144.5</v>
      </c>
      <c r="E146" s="2" t="s">
        <v>214</v>
      </c>
      <c r="H146" s="4"/>
      <c r="I146" s="4"/>
    </row>
    <row r="147" spans="1:9" x14ac:dyDescent="0.2">
      <c r="A147" s="2" t="s">
        <v>37</v>
      </c>
      <c r="C147" s="17">
        <v>23</v>
      </c>
      <c r="D147" s="17">
        <v>-113</v>
      </c>
      <c r="E147" s="2" t="s">
        <v>208</v>
      </c>
      <c r="F147" s="2" t="s">
        <v>92</v>
      </c>
    </row>
    <row r="148" spans="1:9" x14ac:dyDescent="0.2">
      <c r="A148" s="2" t="s">
        <v>67</v>
      </c>
      <c r="C148" s="17">
        <v>19</v>
      </c>
      <c r="D148" s="17">
        <v>155</v>
      </c>
      <c r="E148" s="2" t="s">
        <v>214</v>
      </c>
      <c r="F148" s="2" t="s">
        <v>229</v>
      </c>
    </row>
    <row r="149" spans="1:9" x14ac:dyDescent="0.2">
      <c r="A149" s="2" t="s">
        <v>38</v>
      </c>
      <c r="C149" s="17">
        <v>37</v>
      </c>
      <c r="D149" s="17">
        <v>112</v>
      </c>
      <c r="E149" s="2" t="s">
        <v>208</v>
      </c>
      <c r="F149" s="2" t="s">
        <v>230</v>
      </c>
    </row>
    <row r="150" spans="1:9" x14ac:dyDescent="0.2">
      <c r="A150" s="2" t="s">
        <v>68</v>
      </c>
      <c r="C150" s="17">
        <v>65</v>
      </c>
      <c r="D150" s="17">
        <v>17</v>
      </c>
      <c r="E150" s="2" t="s">
        <v>214</v>
      </c>
      <c r="F150" s="2" t="s">
        <v>231</v>
      </c>
    </row>
    <row r="151" spans="1:9" x14ac:dyDescent="0.2">
      <c r="A151" s="2" t="s">
        <v>39</v>
      </c>
      <c r="C151" s="17">
        <v>46.33</v>
      </c>
      <c r="D151" s="17">
        <v>-7.6</v>
      </c>
      <c r="E151" s="2" t="s">
        <v>208</v>
      </c>
      <c r="F151" s="2" t="s">
        <v>232</v>
      </c>
    </row>
    <row r="152" spans="1:9" x14ac:dyDescent="0.2">
      <c r="A152" s="2" t="s">
        <v>233</v>
      </c>
      <c r="C152" s="2">
        <v>21.5</v>
      </c>
      <c r="D152" s="2">
        <v>158</v>
      </c>
      <c r="E152" s="2" t="s">
        <v>214</v>
      </c>
      <c r="F152" s="2" t="s">
        <v>212</v>
      </c>
    </row>
    <row r="153" spans="1:9" x14ac:dyDescent="0.2">
      <c r="A153" s="2" t="s">
        <v>40</v>
      </c>
      <c r="C153" s="17">
        <v>29.2</v>
      </c>
      <c r="D153" s="17">
        <v>48</v>
      </c>
      <c r="E153" s="2" t="s">
        <v>225</v>
      </c>
      <c r="F153" s="2" t="s">
        <v>212</v>
      </c>
    </row>
    <row r="154" spans="1:9" x14ac:dyDescent="0.2">
      <c r="A154" s="2" t="s">
        <v>234</v>
      </c>
      <c r="C154" s="17">
        <v>-17</v>
      </c>
      <c r="D154" s="17">
        <v>152</v>
      </c>
      <c r="E154" s="2" t="s">
        <v>225</v>
      </c>
      <c r="F154" s="2" t="s">
        <v>235</v>
      </c>
    </row>
    <row r="155" spans="1:9" x14ac:dyDescent="0.2">
      <c r="A155" s="2" t="s">
        <v>41</v>
      </c>
      <c r="C155" s="17">
        <v>30.58</v>
      </c>
      <c r="D155" s="17">
        <v>86.29</v>
      </c>
      <c r="E155" s="2" t="s">
        <v>214</v>
      </c>
      <c r="F155" s="2" t="s">
        <v>236</v>
      </c>
    </row>
    <row r="156" spans="1:9" x14ac:dyDescent="0.2">
      <c r="A156" s="2" t="s">
        <v>71</v>
      </c>
      <c r="C156" s="17">
        <v>9</v>
      </c>
      <c r="D156" s="17">
        <v>167</v>
      </c>
      <c r="E156" s="2" t="s">
        <v>214</v>
      </c>
    </row>
    <row r="157" spans="1:9" x14ac:dyDescent="0.2">
      <c r="A157" s="2" t="s">
        <v>42</v>
      </c>
      <c r="C157" s="17">
        <f>40+3/60</f>
        <v>40.049999999999997</v>
      </c>
      <c r="D157" s="17">
        <f>105+35/60</f>
        <v>105.58333333333333</v>
      </c>
      <c r="E157" s="2" t="s">
        <v>208</v>
      </c>
      <c r="F157" s="2" t="s">
        <v>237</v>
      </c>
    </row>
    <row r="158" spans="1:9" x14ac:dyDescent="0.2">
      <c r="A158" s="2" t="s">
        <v>44</v>
      </c>
      <c r="C158" s="17">
        <v>78.55</v>
      </c>
      <c r="D158" s="17">
        <v>-12</v>
      </c>
      <c r="E158" s="2" t="s">
        <v>208</v>
      </c>
      <c r="F158" s="2" t="s">
        <v>238</v>
      </c>
    </row>
    <row r="159" spans="1:9" x14ac:dyDescent="0.2">
      <c r="A159" s="2" t="s">
        <v>72</v>
      </c>
      <c r="C159" s="17">
        <v>37</v>
      </c>
      <c r="D159" s="17">
        <v>121</v>
      </c>
      <c r="E159" s="2" t="s">
        <v>225</v>
      </c>
      <c r="F159" s="2" t="s">
        <v>239</v>
      </c>
    </row>
    <row r="160" spans="1:9" x14ac:dyDescent="0.2">
      <c r="A160" s="2" t="s">
        <v>74</v>
      </c>
      <c r="C160" s="17">
        <v>37.590000000000003</v>
      </c>
      <c r="D160" s="17">
        <v>123</v>
      </c>
      <c r="E160" s="2" t="s">
        <v>214</v>
      </c>
      <c r="F160" s="2" t="s">
        <v>240</v>
      </c>
    </row>
    <row r="161" spans="1:6" x14ac:dyDescent="0.2">
      <c r="A161" s="2" t="s">
        <v>43</v>
      </c>
      <c r="C161" s="17">
        <v>33.200000000000003</v>
      </c>
      <c r="D161" s="17">
        <v>119.5</v>
      </c>
      <c r="E161" s="2" t="s">
        <v>214</v>
      </c>
      <c r="F161" s="2" t="s">
        <v>241</v>
      </c>
    </row>
    <row r="162" spans="1:6" x14ac:dyDescent="0.2">
      <c r="A162" s="2" t="s">
        <v>75</v>
      </c>
      <c r="C162" s="17">
        <v>40</v>
      </c>
      <c r="D162" s="17">
        <v>76</v>
      </c>
      <c r="E162" s="2" t="s">
        <v>225</v>
      </c>
      <c r="F162" s="2" t="s">
        <v>218</v>
      </c>
    </row>
    <row r="163" spans="1:6" x14ac:dyDescent="0.2">
      <c r="A163" s="2" t="s">
        <v>73</v>
      </c>
      <c r="C163" s="17">
        <v>66</v>
      </c>
      <c r="D163" s="17">
        <v>-2</v>
      </c>
      <c r="E163" s="2" t="s">
        <v>214</v>
      </c>
      <c r="F163" s="2" t="s">
        <v>242</v>
      </c>
    </row>
    <row r="164" spans="1:6" x14ac:dyDescent="0.2">
      <c r="A164" s="2" t="s">
        <v>45</v>
      </c>
      <c r="C164" s="17">
        <v>67</v>
      </c>
      <c r="D164" s="17">
        <v>50.3</v>
      </c>
      <c r="E164" s="2" t="s">
        <v>208</v>
      </c>
      <c r="F164" s="2" t="s">
        <v>96</v>
      </c>
    </row>
    <row r="165" spans="1:6" x14ac:dyDescent="0.2">
      <c r="A165" s="2" t="s">
        <v>46</v>
      </c>
      <c r="C165" s="17">
        <v>42</v>
      </c>
      <c r="D165" s="17">
        <v>123</v>
      </c>
      <c r="E165" s="2" t="s">
        <v>208</v>
      </c>
      <c r="F165" s="2" t="s">
        <v>218</v>
      </c>
    </row>
    <row r="166" spans="1:6" x14ac:dyDescent="0.2">
      <c r="A166" s="2" t="s">
        <v>80</v>
      </c>
      <c r="C166" s="17">
        <v>45.28</v>
      </c>
      <c r="D166" s="17">
        <v>124</v>
      </c>
      <c r="E166" s="2" t="s">
        <v>214</v>
      </c>
      <c r="F166" s="2" t="s">
        <v>91</v>
      </c>
    </row>
    <row r="167" spans="1:6" x14ac:dyDescent="0.2">
      <c r="A167" s="2" t="s">
        <v>47</v>
      </c>
      <c r="C167" s="17">
        <v>70</v>
      </c>
      <c r="D167" s="17">
        <v>150</v>
      </c>
      <c r="E167" s="2" t="s">
        <v>208</v>
      </c>
      <c r="F167" s="2" t="s">
        <v>88</v>
      </c>
    </row>
    <row r="168" spans="1:6" x14ac:dyDescent="0.2">
      <c r="A168" s="2" t="s">
        <v>51</v>
      </c>
      <c r="C168" s="17">
        <v>30.5</v>
      </c>
      <c r="D168" s="17">
        <v>-104</v>
      </c>
      <c r="E168" s="2" t="s">
        <v>208</v>
      </c>
      <c r="F168" s="2" t="s">
        <v>243</v>
      </c>
    </row>
    <row r="169" spans="1:6" x14ac:dyDescent="0.2">
      <c r="A169" s="2" t="s">
        <v>77</v>
      </c>
      <c r="C169" s="17">
        <v>44.22</v>
      </c>
      <c r="D169" s="17">
        <v>73.5</v>
      </c>
      <c r="E169" s="2" t="s">
        <v>208</v>
      </c>
    </row>
    <row r="170" spans="1:6" x14ac:dyDescent="0.2">
      <c r="A170" s="2" t="s">
        <v>81</v>
      </c>
      <c r="C170" s="17">
        <v>31</v>
      </c>
      <c r="D170" s="17">
        <v>-121</v>
      </c>
      <c r="E170" s="2" t="s">
        <v>208</v>
      </c>
      <c r="F170" s="2" t="s">
        <v>212</v>
      </c>
    </row>
    <row r="171" spans="1:6" x14ac:dyDescent="0.2">
      <c r="A171" s="2" t="s">
        <v>52</v>
      </c>
      <c r="C171" s="17">
        <v>37</v>
      </c>
      <c r="D171" s="17">
        <v>119</v>
      </c>
      <c r="E171" s="2" t="s">
        <v>225</v>
      </c>
      <c r="F171" s="2" t="s">
        <v>101</v>
      </c>
    </row>
  </sheetData>
  <pageMargins left="0.5" right="0.5" top="0.75" bottom="0.75" header="0.5" footer="0.5"/>
  <pageSetup orientation="portrait" horizontalDpi="0" verticalDpi="0" copies="0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9"/>
  <sheetViews>
    <sheetView showOutlineSymbols="0" defaultGridColor="0" colorId="9" workbookViewId="0">
      <selection activeCell="D17" sqref="D17"/>
    </sheetView>
  </sheetViews>
  <sheetFormatPr defaultColWidth="8.6640625" defaultRowHeight="15" x14ac:dyDescent="0.2"/>
  <cols>
    <col min="1" max="16384" width="8.6640625" style="2"/>
  </cols>
  <sheetData>
    <row r="1" spans="1:26" ht="18" x14ac:dyDescent="0.25">
      <c r="A1" s="18" t="s">
        <v>530</v>
      </c>
      <c r="P1" s="2" t="s">
        <v>1</v>
      </c>
      <c r="Z1" s="2" t="s">
        <v>531</v>
      </c>
    </row>
    <row r="2" spans="1:26" x14ac:dyDescent="0.2">
      <c r="P2" s="2" t="s">
        <v>1</v>
      </c>
    </row>
    <row r="3" spans="1:26" x14ac:dyDescent="0.2">
      <c r="A3" s="2" t="s">
        <v>82</v>
      </c>
      <c r="B3" s="21" t="s">
        <v>253</v>
      </c>
      <c r="C3" s="8" t="s">
        <v>286</v>
      </c>
      <c r="D3" s="8" t="s">
        <v>117</v>
      </c>
      <c r="E3" s="8" t="s">
        <v>118</v>
      </c>
      <c r="F3" s="8" t="s">
        <v>123</v>
      </c>
      <c r="G3" s="8" t="s">
        <v>134</v>
      </c>
      <c r="H3" s="8" t="s">
        <v>138</v>
      </c>
      <c r="I3" s="8" t="s">
        <v>136</v>
      </c>
      <c r="J3" s="8" t="s">
        <v>130</v>
      </c>
      <c r="K3" s="8" t="s">
        <v>133</v>
      </c>
      <c r="L3" s="8" t="s">
        <v>127</v>
      </c>
      <c r="M3" s="8" t="s">
        <v>121</v>
      </c>
      <c r="N3" s="8" t="s">
        <v>112</v>
      </c>
      <c r="P3" s="2" t="s">
        <v>1</v>
      </c>
    </row>
    <row r="4" spans="1:26" x14ac:dyDescent="0.2">
      <c r="D4" s="8" t="s">
        <v>266</v>
      </c>
      <c r="E4" s="8" t="s">
        <v>266</v>
      </c>
      <c r="F4" s="8" t="s">
        <v>266</v>
      </c>
      <c r="G4" s="8" t="s">
        <v>371</v>
      </c>
      <c r="H4" s="8" t="s">
        <v>266</v>
      </c>
      <c r="I4" s="8" t="s">
        <v>144</v>
      </c>
      <c r="J4" s="8" t="s">
        <v>144</v>
      </c>
      <c r="K4" s="8" t="s">
        <v>144</v>
      </c>
      <c r="L4" s="8" t="s">
        <v>144</v>
      </c>
      <c r="M4" s="8" t="s">
        <v>144</v>
      </c>
      <c r="N4" s="8" t="s">
        <v>144</v>
      </c>
      <c r="P4" s="2" t="s">
        <v>1</v>
      </c>
    </row>
    <row r="5" spans="1:26" x14ac:dyDescent="0.2">
      <c r="P5" s="2" t="s">
        <v>1</v>
      </c>
    </row>
    <row r="6" spans="1:26" x14ac:dyDescent="0.2">
      <c r="A6" s="2" t="s">
        <v>532</v>
      </c>
      <c r="B6" s="19">
        <f>DATE(91,3,18)</f>
        <v>33315</v>
      </c>
      <c r="E6" s="2">
        <v>135</v>
      </c>
      <c r="F6" s="2">
        <v>1806</v>
      </c>
      <c r="G6" s="2">
        <v>359</v>
      </c>
      <c r="H6" s="2">
        <v>340.4</v>
      </c>
      <c r="I6" s="2">
        <v>520</v>
      </c>
      <c r="J6" s="2">
        <v>320</v>
      </c>
      <c r="K6" s="2">
        <v>59</v>
      </c>
      <c r="L6" s="2">
        <v>41</v>
      </c>
      <c r="M6" s="2">
        <v>230</v>
      </c>
      <c r="N6" s="2">
        <v>159</v>
      </c>
      <c r="P6" s="2" t="s">
        <v>1</v>
      </c>
    </row>
    <row r="7" spans="1:26" x14ac:dyDescent="0.2">
      <c r="A7" s="2" t="s">
        <v>532</v>
      </c>
      <c r="B7" s="19">
        <f>DATE(91,3,19)</f>
        <v>33316</v>
      </c>
      <c r="E7" s="2">
        <v>137</v>
      </c>
      <c r="F7" s="2">
        <v>1804</v>
      </c>
      <c r="G7" s="2">
        <v>358</v>
      </c>
      <c r="H7" s="2">
        <v>340.4</v>
      </c>
      <c r="I7" s="2">
        <v>525</v>
      </c>
      <c r="J7" s="2">
        <v>327</v>
      </c>
      <c r="K7" s="2">
        <v>61</v>
      </c>
      <c r="L7" s="2">
        <v>52</v>
      </c>
      <c r="M7" s="2">
        <v>235</v>
      </c>
      <c r="N7" s="2">
        <v>158</v>
      </c>
    </row>
    <row r="8" spans="1:26" x14ac:dyDescent="0.2">
      <c r="A8" s="2" t="s">
        <v>532</v>
      </c>
      <c r="B8" s="19">
        <f>DATE(91,3,20)</f>
        <v>33317</v>
      </c>
      <c r="E8" s="2">
        <v>137</v>
      </c>
      <c r="F8" s="2">
        <v>1804</v>
      </c>
      <c r="G8" s="2">
        <v>358</v>
      </c>
      <c r="H8" s="2">
        <v>340.4</v>
      </c>
      <c r="I8" s="2">
        <v>525</v>
      </c>
      <c r="J8" s="2">
        <v>327</v>
      </c>
      <c r="K8" s="2">
        <v>61</v>
      </c>
      <c r="L8" s="2">
        <v>52</v>
      </c>
      <c r="M8" s="2">
        <v>235</v>
      </c>
      <c r="N8" s="2">
        <v>158</v>
      </c>
    </row>
    <row r="9" spans="1:26" x14ac:dyDescent="0.2">
      <c r="A9" s="2" t="s">
        <v>533</v>
      </c>
      <c r="B9" s="19">
        <f>DATE(91,3,21)</f>
        <v>33318</v>
      </c>
      <c r="C9" s="2">
        <v>1720</v>
      </c>
      <c r="D9" s="2">
        <v>530</v>
      </c>
      <c r="E9" s="2">
        <v>145</v>
      </c>
      <c r="F9" s="2">
        <v>1809</v>
      </c>
      <c r="G9" s="2">
        <v>360</v>
      </c>
      <c r="H9" s="2">
        <v>340.5</v>
      </c>
      <c r="I9" s="2">
        <v>519</v>
      </c>
      <c r="J9" s="2">
        <v>795</v>
      </c>
      <c r="K9" s="2">
        <v>60</v>
      </c>
      <c r="L9" s="2">
        <v>203</v>
      </c>
      <c r="M9" s="2">
        <v>239</v>
      </c>
      <c r="N9" s="2">
        <v>158</v>
      </c>
    </row>
    <row r="10" spans="1:26" x14ac:dyDescent="0.2">
      <c r="A10" s="2" t="s">
        <v>534</v>
      </c>
      <c r="B10" s="19">
        <f>DATE(91,3,21)</f>
        <v>33318</v>
      </c>
      <c r="C10" s="2">
        <v>1640</v>
      </c>
      <c r="D10" s="2">
        <v>513</v>
      </c>
      <c r="E10" s="2">
        <v>139</v>
      </c>
      <c r="F10" s="2">
        <v>1807</v>
      </c>
      <c r="G10" s="2">
        <v>359</v>
      </c>
      <c r="H10" s="2">
        <v>340.6</v>
      </c>
      <c r="I10" s="2">
        <v>513</v>
      </c>
      <c r="J10" s="2">
        <v>324</v>
      </c>
      <c r="K10" s="2">
        <v>59</v>
      </c>
      <c r="L10" s="2">
        <v>39</v>
      </c>
      <c r="M10" s="2">
        <v>233</v>
      </c>
      <c r="N10" s="2">
        <v>157</v>
      </c>
    </row>
    <row r="11" spans="1:26" x14ac:dyDescent="0.2">
      <c r="A11" s="2" t="s">
        <v>532</v>
      </c>
      <c r="B11" s="19">
        <f>DATE(91,3,21)</f>
        <v>33318</v>
      </c>
      <c r="D11" s="2">
        <v>535</v>
      </c>
      <c r="E11" s="2">
        <v>158</v>
      </c>
      <c r="F11" s="2">
        <v>1812</v>
      </c>
      <c r="G11" s="2">
        <v>360</v>
      </c>
      <c r="H11" s="2">
        <v>339.3</v>
      </c>
      <c r="I11" s="2">
        <v>532</v>
      </c>
      <c r="J11" s="2">
        <v>925</v>
      </c>
      <c r="K11" s="2">
        <v>60</v>
      </c>
      <c r="L11" s="2">
        <v>348</v>
      </c>
      <c r="M11" s="2">
        <v>299</v>
      </c>
      <c r="N11" s="2">
        <v>154</v>
      </c>
    </row>
    <row r="14" spans="1:26" x14ac:dyDescent="0.2">
      <c r="D14" s="8" t="s">
        <v>117</v>
      </c>
      <c r="E14" s="8" t="s">
        <v>118</v>
      </c>
      <c r="F14" s="8" t="s">
        <v>123</v>
      </c>
      <c r="G14" s="8" t="s">
        <v>134</v>
      </c>
      <c r="H14" s="8" t="s">
        <v>138</v>
      </c>
      <c r="I14" s="8" t="s">
        <v>136</v>
      </c>
      <c r="J14" s="8" t="s">
        <v>130</v>
      </c>
      <c r="K14" s="8" t="s">
        <v>133</v>
      </c>
      <c r="L14" s="8" t="s">
        <v>127</v>
      </c>
      <c r="M14" s="8" t="s">
        <v>121</v>
      </c>
      <c r="N14" s="8" t="s">
        <v>112</v>
      </c>
    </row>
    <row r="15" spans="1:26" x14ac:dyDescent="0.2">
      <c r="D15" s="8" t="s">
        <v>266</v>
      </c>
      <c r="E15" s="8" t="s">
        <v>266</v>
      </c>
      <c r="F15" s="8" t="s">
        <v>266</v>
      </c>
      <c r="G15" s="8" t="s">
        <v>371</v>
      </c>
      <c r="H15" s="8" t="s">
        <v>266</v>
      </c>
      <c r="I15" s="8" t="s">
        <v>144</v>
      </c>
      <c r="J15" s="8" t="s">
        <v>144</v>
      </c>
      <c r="K15" s="8" t="s">
        <v>144</v>
      </c>
      <c r="L15" s="8" t="s">
        <v>144</v>
      </c>
      <c r="M15" s="8" t="s">
        <v>144</v>
      </c>
      <c r="N15" s="8" t="s">
        <v>144</v>
      </c>
    </row>
    <row r="17" spans="2:14" x14ac:dyDescent="0.2">
      <c r="B17" s="7">
        <f>AVERAGE(B6:B11)</f>
        <v>33317</v>
      </c>
      <c r="C17" s="2" t="s">
        <v>363</v>
      </c>
      <c r="D17" s="4">
        <f t="shared" ref="D17:N17" si="0">AVERAGE(D6:D11)</f>
        <v>526</v>
      </c>
      <c r="E17" s="4">
        <f t="shared" si="0"/>
        <v>141.83333333333334</v>
      </c>
      <c r="F17" s="4">
        <f t="shared" si="0"/>
        <v>1807</v>
      </c>
      <c r="G17" s="4">
        <f t="shared" si="0"/>
        <v>359</v>
      </c>
      <c r="H17" s="4">
        <f t="shared" si="0"/>
        <v>340.26666666666659</v>
      </c>
      <c r="I17" s="4">
        <f t="shared" si="0"/>
        <v>522.33333333333337</v>
      </c>
      <c r="J17" s="4">
        <f t="shared" si="0"/>
        <v>503</v>
      </c>
      <c r="K17" s="4">
        <f t="shared" si="0"/>
        <v>60</v>
      </c>
      <c r="L17" s="4">
        <f t="shared" si="0"/>
        <v>122.5</v>
      </c>
      <c r="M17" s="4">
        <f t="shared" si="0"/>
        <v>245.16666666666666</v>
      </c>
      <c r="N17" s="4">
        <f t="shared" si="0"/>
        <v>157.33333333333334</v>
      </c>
    </row>
    <row r="18" spans="2:14" x14ac:dyDescent="0.2">
      <c r="C18" s="2" t="s">
        <v>364</v>
      </c>
      <c r="D18" s="4">
        <f t="shared" ref="D18:N18" si="1">STDEV(D6:D11)</f>
        <v>11.532562594670797</v>
      </c>
      <c r="E18" s="4">
        <f t="shared" si="1"/>
        <v>8.6351992835525611</v>
      </c>
      <c r="F18" s="4">
        <f t="shared" si="1"/>
        <v>3.0983866769659336</v>
      </c>
      <c r="G18" s="4">
        <f t="shared" si="1"/>
        <v>0.89442719099991586</v>
      </c>
      <c r="H18" s="4">
        <f t="shared" si="1"/>
        <v>0.48027769744873811</v>
      </c>
      <c r="I18" s="4">
        <f t="shared" si="1"/>
        <v>6.5012819248719449</v>
      </c>
      <c r="J18" s="4">
        <f t="shared" si="1"/>
        <v>279.58183059705436</v>
      </c>
      <c r="K18" s="4">
        <f t="shared" si="1"/>
        <v>0.89442719099991586</v>
      </c>
      <c r="L18" s="4">
        <f t="shared" si="1"/>
        <v>127.18922910372561</v>
      </c>
      <c r="M18" s="4">
        <f t="shared" si="1"/>
        <v>26.536138880151096</v>
      </c>
      <c r="N18" s="4">
        <f t="shared" si="1"/>
        <v>1.7511900715418263</v>
      </c>
    </row>
    <row r="19" spans="2:14" x14ac:dyDescent="0.2">
      <c r="C19" s="2" t="s">
        <v>365</v>
      </c>
      <c r="D19" s="2">
        <f t="shared" ref="D19:N19" si="2">COUNTA(D6:D11)</f>
        <v>3</v>
      </c>
      <c r="E19" s="2">
        <f t="shared" si="2"/>
        <v>6</v>
      </c>
      <c r="F19" s="2">
        <f t="shared" si="2"/>
        <v>6</v>
      </c>
      <c r="G19" s="2">
        <f t="shared" si="2"/>
        <v>6</v>
      </c>
      <c r="H19" s="2">
        <f t="shared" si="2"/>
        <v>6</v>
      </c>
      <c r="I19" s="2">
        <f t="shared" si="2"/>
        <v>6</v>
      </c>
      <c r="J19" s="2">
        <f t="shared" si="2"/>
        <v>6</v>
      </c>
      <c r="K19" s="2">
        <f t="shared" si="2"/>
        <v>6</v>
      </c>
      <c r="L19" s="2">
        <f t="shared" si="2"/>
        <v>6</v>
      </c>
      <c r="M19" s="2">
        <f t="shared" si="2"/>
        <v>6</v>
      </c>
      <c r="N19" s="2">
        <f t="shared" si="2"/>
        <v>6</v>
      </c>
    </row>
  </sheetData>
  <pageMargins left="0.5" right="0.5" top="0.75" bottom="0.75" header="0.5" footer="0.5"/>
  <pageSetup orientation="portrait" horizontalDpi="0" verticalDpi="0" copies="0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06"/>
  <sheetViews>
    <sheetView showOutlineSymbols="0" defaultGridColor="0" topLeftCell="AP1" colorId="9" workbookViewId="0">
      <selection activeCell="BB1" sqref="BB1"/>
    </sheetView>
  </sheetViews>
  <sheetFormatPr defaultColWidth="8.6640625" defaultRowHeight="15" x14ac:dyDescent="0.2"/>
  <cols>
    <col min="1" max="16384" width="8.6640625" style="2"/>
  </cols>
  <sheetData>
    <row r="1" spans="1:54" x14ac:dyDescent="0.2">
      <c r="AA1" s="2" t="s">
        <v>23</v>
      </c>
      <c r="AB1" s="2" t="s">
        <v>535</v>
      </c>
      <c r="BB1" s="2" t="s">
        <v>1</v>
      </c>
    </row>
    <row r="2" spans="1:54" x14ac:dyDescent="0.2">
      <c r="A2" s="2" t="s">
        <v>536</v>
      </c>
      <c r="AA2" s="2" t="s">
        <v>23</v>
      </c>
      <c r="BB2" s="2" t="s">
        <v>1</v>
      </c>
    </row>
    <row r="3" spans="1:54" ht="18" x14ac:dyDescent="0.25">
      <c r="A3" s="18" t="s">
        <v>537</v>
      </c>
      <c r="AA3" s="2" t="s">
        <v>23</v>
      </c>
      <c r="BB3" s="2" t="s">
        <v>1</v>
      </c>
    </row>
    <row r="4" spans="1:54" x14ac:dyDescent="0.2">
      <c r="A4" s="2" t="s">
        <v>538</v>
      </c>
      <c r="C4" s="2" t="s">
        <v>539</v>
      </c>
      <c r="AA4" s="2" t="s">
        <v>23</v>
      </c>
      <c r="BB4" s="2" t="s">
        <v>1</v>
      </c>
    </row>
    <row r="5" spans="1:54" x14ac:dyDescent="0.2">
      <c r="A5" s="2" t="s">
        <v>540</v>
      </c>
      <c r="AA5" s="2" t="s">
        <v>23</v>
      </c>
      <c r="BB5" s="2" t="s">
        <v>1</v>
      </c>
    </row>
    <row r="6" spans="1:54" x14ac:dyDescent="0.2">
      <c r="A6" s="2" t="s">
        <v>284</v>
      </c>
      <c r="E6" s="8" t="s">
        <v>116</v>
      </c>
      <c r="F6" s="8" t="s">
        <v>117</v>
      </c>
      <c r="G6" s="8" t="s">
        <v>118</v>
      </c>
      <c r="H6" s="8" t="s">
        <v>118</v>
      </c>
      <c r="I6" s="8" t="s">
        <v>123</v>
      </c>
      <c r="J6" s="8" t="s">
        <v>134</v>
      </c>
      <c r="K6" s="8" t="s">
        <v>138</v>
      </c>
      <c r="L6" s="8" t="s">
        <v>136</v>
      </c>
      <c r="M6" s="8" t="s">
        <v>130</v>
      </c>
      <c r="N6" s="8" t="s">
        <v>133</v>
      </c>
      <c r="O6" s="8" t="s">
        <v>127</v>
      </c>
      <c r="P6" s="8" t="s">
        <v>121</v>
      </c>
      <c r="Q6" s="8" t="s">
        <v>112</v>
      </c>
      <c r="R6" s="8" t="s">
        <v>115</v>
      </c>
      <c r="S6" s="11" t="s">
        <v>126</v>
      </c>
      <c r="T6" s="11" t="s">
        <v>122</v>
      </c>
      <c r="U6" s="11" t="s">
        <v>113</v>
      </c>
      <c r="V6" s="11" t="s">
        <v>131</v>
      </c>
      <c r="W6" s="11" t="s">
        <v>129</v>
      </c>
      <c r="X6" s="11" t="s">
        <v>149</v>
      </c>
      <c r="Y6" s="11" t="s">
        <v>151</v>
      </c>
      <c r="AA6" s="2" t="s">
        <v>23</v>
      </c>
      <c r="AB6" s="2" t="s">
        <v>284</v>
      </c>
      <c r="AF6" s="8" t="s">
        <v>116</v>
      </c>
      <c r="AG6" s="8" t="s">
        <v>117</v>
      </c>
      <c r="AH6" s="8" t="s">
        <v>118</v>
      </c>
      <c r="AI6" s="8" t="s">
        <v>118</v>
      </c>
      <c r="AJ6" s="8" t="s">
        <v>123</v>
      </c>
      <c r="AK6" s="8" t="s">
        <v>134</v>
      </c>
      <c r="AL6" s="8" t="s">
        <v>138</v>
      </c>
      <c r="AM6" s="8" t="s">
        <v>136</v>
      </c>
      <c r="AN6" s="8" t="s">
        <v>130</v>
      </c>
      <c r="AO6" s="8" t="s">
        <v>133</v>
      </c>
      <c r="AP6" s="8" t="s">
        <v>127</v>
      </c>
      <c r="AQ6" s="8" t="s">
        <v>121</v>
      </c>
      <c r="AR6" s="8" t="s">
        <v>112</v>
      </c>
      <c r="AS6" s="8" t="s">
        <v>115</v>
      </c>
      <c r="AT6" s="11" t="s">
        <v>126</v>
      </c>
      <c r="AU6" s="11" t="s">
        <v>122</v>
      </c>
      <c r="AV6" s="11" t="s">
        <v>113</v>
      </c>
      <c r="AW6" s="11" t="s">
        <v>131</v>
      </c>
      <c r="AX6" s="11" t="s">
        <v>129</v>
      </c>
      <c r="AY6" s="11" t="s">
        <v>149</v>
      </c>
      <c r="AZ6" s="11" t="s">
        <v>151</v>
      </c>
      <c r="BB6" s="2" t="s">
        <v>1</v>
      </c>
    </row>
    <row r="7" spans="1:54" x14ac:dyDescent="0.2">
      <c r="A7" s="2" t="s">
        <v>289</v>
      </c>
      <c r="B7" s="15" t="s">
        <v>290</v>
      </c>
      <c r="C7" s="21" t="s">
        <v>253</v>
      </c>
      <c r="D7" s="8" t="s">
        <v>286</v>
      </c>
      <c r="E7" s="8" t="s">
        <v>144</v>
      </c>
      <c r="F7" s="8" t="s">
        <v>266</v>
      </c>
      <c r="G7" s="8" t="s">
        <v>266</v>
      </c>
      <c r="H7" s="8" t="s">
        <v>266</v>
      </c>
      <c r="I7" s="8" t="s">
        <v>266</v>
      </c>
      <c r="J7" s="8" t="s">
        <v>371</v>
      </c>
      <c r="K7" s="8" t="s">
        <v>266</v>
      </c>
      <c r="L7" s="8" t="s">
        <v>144</v>
      </c>
      <c r="M7" s="8" t="s">
        <v>144</v>
      </c>
      <c r="N7" s="8" t="s">
        <v>144</v>
      </c>
      <c r="O7" s="8" t="s">
        <v>144</v>
      </c>
      <c r="P7" s="8" t="s">
        <v>144</v>
      </c>
      <c r="Q7" s="8" t="s">
        <v>144</v>
      </c>
      <c r="R7" s="8" t="s">
        <v>144</v>
      </c>
      <c r="S7" s="11" t="s">
        <v>144</v>
      </c>
      <c r="T7" s="11" t="s">
        <v>144</v>
      </c>
      <c r="U7" s="11" t="s">
        <v>144</v>
      </c>
      <c r="V7" s="11" t="s">
        <v>144</v>
      </c>
      <c r="W7" s="11" t="s">
        <v>144</v>
      </c>
      <c r="X7" s="11" t="s">
        <v>144</v>
      </c>
      <c r="Y7" s="11" t="s">
        <v>144</v>
      </c>
      <c r="AA7" s="2" t="s">
        <v>23</v>
      </c>
      <c r="AB7" s="2" t="s">
        <v>289</v>
      </c>
      <c r="AC7" s="15" t="s">
        <v>290</v>
      </c>
      <c r="AD7" s="21" t="s">
        <v>253</v>
      </c>
      <c r="AE7" s="8" t="s">
        <v>286</v>
      </c>
      <c r="AF7" s="8" t="s">
        <v>144</v>
      </c>
      <c r="AG7" s="8" t="s">
        <v>266</v>
      </c>
      <c r="AH7" s="8" t="s">
        <v>266</v>
      </c>
      <c r="AI7" s="8" t="s">
        <v>266</v>
      </c>
      <c r="AJ7" s="8" t="s">
        <v>266</v>
      </c>
      <c r="AK7" s="8" t="s">
        <v>371</v>
      </c>
      <c r="AL7" s="8" t="s">
        <v>266</v>
      </c>
      <c r="AM7" s="8" t="s">
        <v>144</v>
      </c>
      <c r="AN7" s="8" t="s">
        <v>144</v>
      </c>
      <c r="AO7" s="8" t="s">
        <v>144</v>
      </c>
      <c r="AP7" s="8" t="s">
        <v>144</v>
      </c>
      <c r="AQ7" s="8" t="s">
        <v>144</v>
      </c>
      <c r="AR7" s="8" t="s">
        <v>144</v>
      </c>
      <c r="AS7" s="8" t="s">
        <v>144</v>
      </c>
      <c r="AT7" s="8" t="s">
        <v>144</v>
      </c>
      <c r="AU7" s="8" t="s">
        <v>144</v>
      </c>
      <c r="AV7" s="8" t="s">
        <v>144</v>
      </c>
      <c r="AW7" s="8" t="s">
        <v>144</v>
      </c>
      <c r="AX7" s="8" t="s">
        <v>144</v>
      </c>
      <c r="AY7" s="8" t="s">
        <v>144</v>
      </c>
      <c r="AZ7" s="8" t="s">
        <v>144</v>
      </c>
      <c r="BB7" s="2" t="s">
        <v>1</v>
      </c>
    </row>
    <row r="8" spans="1:54" x14ac:dyDescent="0.2">
      <c r="A8" s="2" t="s">
        <v>541</v>
      </c>
      <c r="AA8" s="2" t="s">
        <v>23</v>
      </c>
      <c r="BB8" s="2" t="s">
        <v>1</v>
      </c>
    </row>
    <row r="9" spans="1:54" x14ac:dyDescent="0.2">
      <c r="A9" s="2">
        <v>1</v>
      </c>
      <c r="B9" s="2" t="s">
        <v>542</v>
      </c>
      <c r="C9" s="7">
        <f>DATE(86,12,14)</f>
        <v>31760</v>
      </c>
      <c r="D9" s="2">
        <v>1015</v>
      </c>
      <c r="E9" s="2">
        <v>5.4</v>
      </c>
      <c r="F9" s="4">
        <v>516</v>
      </c>
      <c r="G9" s="4">
        <v>147.1</v>
      </c>
      <c r="H9" s="4">
        <v>151</v>
      </c>
      <c r="I9" s="4">
        <v>1673</v>
      </c>
      <c r="J9" s="4">
        <v>363</v>
      </c>
      <c r="K9" s="4">
        <v>341.6</v>
      </c>
      <c r="L9" s="4">
        <v>428.2</v>
      </c>
      <c r="M9" s="4">
        <v>243.3</v>
      </c>
      <c r="N9" s="4">
        <v>34.299999999999997</v>
      </c>
      <c r="O9" s="4"/>
      <c r="P9" s="4">
        <v>168.4</v>
      </c>
      <c r="Q9" s="4">
        <v>163.69999999999999</v>
      </c>
      <c r="R9" s="4">
        <v>1194</v>
      </c>
      <c r="S9" s="4"/>
      <c r="T9" s="4"/>
      <c r="U9" s="4"/>
      <c r="V9" s="4"/>
      <c r="W9" s="4"/>
      <c r="X9" s="4"/>
      <c r="Y9" s="4"/>
      <c r="Z9" s="4"/>
      <c r="AA9" s="2" t="s">
        <v>23</v>
      </c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2" t="s">
        <v>1</v>
      </c>
    </row>
    <row r="10" spans="1:54" x14ac:dyDescent="0.2">
      <c r="A10" s="2">
        <v>2</v>
      </c>
      <c r="B10" s="2" t="s">
        <v>543</v>
      </c>
      <c r="C10" s="7">
        <f>DATE(86,12,15)</f>
        <v>31761</v>
      </c>
      <c r="E10" s="2">
        <v>14.2</v>
      </c>
      <c r="F10" s="4">
        <v>517</v>
      </c>
      <c r="G10" s="4">
        <v>263.60000000000002</v>
      </c>
      <c r="H10" s="4">
        <v>286</v>
      </c>
      <c r="I10" s="4">
        <v>1660</v>
      </c>
      <c r="J10" s="4">
        <v>355</v>
      </c>
      <c r="K10" s="4">
        <v>339.3</v>
      </c>
      <c r="L10" s="4">
        <v>410.2</v>
      </c>
      <c r="M10" s="4">
        <v>238.3</v>
      </c>
      <c r="N10" s="4">
        <v>36.6</v>
      </c>
      <c r="O10" s="4"/>
      <c r="P10" s="4">
        <v>157.5</v>
      </c>
      <c r="Q10" s="4">
        <v>155.4</v>
      </c>
      <c r="R10" s="4">
        <v>1257</v>
      </c>
      <c r="S10" s="4"/>
      <c r="T10" s="4"/>
      <c r="U10" s="4"/>
      <c r="V10" s="4"/>
      <c r="W10" s="4"/>
      <c r="X10" s="4"/>
      <c r="Y10" s="4"/>
      <c r="Z10" s="4"/>
      <c r="AA10" s="2" t="s">
        <v>23</v>
      </c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2" t="s">
        <v>1</v>
      </c>
    </row>
    <row r="11" spans="1:54" x14ac:dyDescent="0.2">
      <c r="A11" s="2">
        <v>3</v>
      </c>
      <c r="B11" s="2" t="s">
        <v>544</v>
      </c>
      <c r="C11" s="7">
        <f>DATE(86,12,17)</f>
        <v>31763</v>
      </c>
      <c r="D11" s="2">
        <v>1310</v>
      </c>
      <c r="E11" s="2">
        <v>6.5</v>
      </c>
      <c r="F11" s="4">
        <v>532</v>
      </c>
      <c r="G11" s="4">
        <v>194.5</v>
      </c>
      <c r="H11" s="4">
        <v>205</v>
      </c>
      <c r="I11" s="4">
        <v>1685</v>
      </c>
      <c r="J11" s="4">
        <v>363</v>
      </c>
      <c r="K11" s="4">
        <v>342.1</v>
      </c>
      <c r="L11" s="4">
        <v>432.3</v>
      </c>
      <c r="M11" s="4">
        <v>245</v>
      </c>
      <c r="N11" s="4">
        <v>37.6</v>
      </c>
      <c r="O11" s="4"/>
      <c r="P11" s="4">
        <v>168.3</v>
      </c>
      <c r="Q11" s="4">
        <v>162.80000000000001</v>
      </c>
      <c r="R11" s="4">
        <v>1491</v>
      </c>
      <c r="S11" s="4"/>
      <c r="T11" s="4"/>
      <c r="U11" s="4"/>
      <c r="V11" s="4"/>
      <c r="W11" s="4"/>
      <c r="X11" s="4"/>
      <c r="Y11" s="4"/>
      <c r="Z11" s="4"/>
      <c r="AA11" s="2" t="s">
        <v>23</v>
      </c>
      <c r="AB11" s="2">
        <v>1</v>
      </c>
      <c r="AC11" s="2" t="s">
        <v>542</v>
      </c>
      <c r="AD11" s="7">
        <v>31760</v>
      </c>
      <c r="AE11" s="2">
        <v>1015</v>
      </c>
      <c r="AF11" s="2">
        <v>5.4</v>
      </c>
      <c r="AG11" s="4">
        <v>516</v>
      </c>
      <c r="AH11" s="4">
        <v>147.1</v>
      </c>
      <c r="AI11" s="4">
        <v>151</v>
      </c>
      <c r="AJ11" s="4">
        <v>1673</v>
      </c>
      <c r="AK11" s="4">
        <v>363</v>
      </c>
      <c r="AL11" s="4">
        <v>341.6</v>
      </c>
      <c r="AM11" s="4">
        <v>428.2</v>
      </c>
      <c r="AN11" s="4">
        <v>243.3</v>
      </c>
      <c r="AO11" s="4">
        <v>34.299999999999997</v>
      </c>
      <c r="AP11" s="4"/>
      <c r="AQ11" s="4">
        <v>168.4</v>
      </c>
      <c r="AR11" s="4">
        <v>163.69999999999999</v>
      </c>
      <c r="AS11" s="4">
        <v>1194</v>
      </c>
      <c r="AT11" s="4"/>
      <c r="AU11" s="4"/>
      <c r="AV11" s="4"/>
      <c r="AW11" s="4"/>
      <c r="AX11" s="4"/>
      <c r="AY11" s="4"/>
      <c r="AZ11" s="4"/>
      <c r="BA11" s="4"/>
      <c r="BB11" s="2" t="s">
        <v>1</v>
      </c>
    </row>
    <row r="12" spans="1:54" x14ac:dyDescent="0.2">
      <c r="A12" s="2">
        <v>4</v>
      </c>
      <c r="B12" s="2" t="s">
        <v>545</v>
      </c>
      <c r="C12" s="7">
        <f>DATE(86,12,19)</f>
        <v>31765</v>
      </c>
      <c r="D12" s="2">
        <v>1205</v>
      </c>
      <c r="E12" s="2">
        <v>21.4</v>
      </c>
      <c r="F12" s="4">
        <v>515</v>
      </c>
      <c r="G12" s="4">
        <v>140.6</v>
      </c>
      <c r="H12" s="4">
        <v>146</v>
      </c>
      <c r="I12" s="4">
        <v>1660</v>
      </c>
      <c r="J12" s="4">
        <v>349</v>
      </c>
      <c r="K12" s="4">
        <v>341.4</v>
      </c>
      <c r="L12" s="4">
        <v>417.1</v>
      </c>
      <c r="M12" s="4">
        <v>243.6</v>
      </c>
      <c r="N12" s="4">
        <v>43.4</v>
      </c>
      <c r="O12" s="4">
        <v>10.1</v>
      </c>
      <c r="P12" s="4">
        <v>165.1</v>
      </c>
      <c r="Q12" s="4">
        <v>162.6</v>
      </c>
      <c r="R12" s="4">
        <v>953</v>
      </c>
      <c r="S12" s="4"/>
      <c r="T12" s="4"/>
      <c r="U12" s="4"/>
      <c r="V12" s="4"/>
      <c r="W12" s="4"/>
      <c r="X12" s="4"/>
      <c r="Y12" s="4"/>
      <c r="Z12" s="4"/>
      <c r="AA12" s="2" t="s">
        <v>23</v>
      </c>
      <c r="AB12" s="2">
        <v>2</v>
      </c>
      <c r="AC12" s="2" t="s">
        <v>543</v>
      </c>
      <c r="AD12" s="7">
        <v>31761</v>
      </c>
      <c r="AF12" s="2">
        <v>14.2</v>
      </c>
      <c r="AG12" s="4">
        <v>517</v>
      </c>
      <c r="AH12" s="4">
        <v>263.60000000000002</v>
      </c>
      <c r="AI12" s="4">
        <v>286</v>
      </c>
      <c r="AJ12" s="4">
        <v>1660</v>
      </c>
      <c r="AK12" s="4">
        <v>355</v>
      </c>
      <c r="AL12" s="4">
        <v>339.3</v>
      </c>
      <c r="AM12" s="4">
        <v>410.2</v>
      </c>
      <c r="AN12" s="4">
        <v>238.3</v>
      </c>
      <c r="AO12" s="4">
        <v>36.6</v>
      </c>
      <c r="AP12" s="4"/>
      <c r="AQ12" s="4">
        <v>157.5</v>
      </c>
      <c r="AR12" s="4">
        <v>155.4</v>
      </c>
      <c r="AS12" s="4">
        <v>1257</v>
      </c>
      <c r="AT12" s="4"/>
      <c r="AU12" s="4"/>
      <c r="AV12" s="4"/>
      <c r="AW12" s="4"/>
      <c r="AX12" s="4"/>
      <c r="AY12" s="4"/>
      <c r="AZ12" s="4"/>
      <c r="BA12" s="4"/>
      <c r="BB12" s="2" t="s">
        <v>1</v>
      </c>
    </row>
    <row r="13" spans="1:54" x14ac:dyDescent="0.2">
      <c r="A13" s="2">
        <v>5</v>
      </c>
      <c r="B13" s="2" t="s">
        <v>546</v>
      </c>
      <c r="C13" s="7">
        <f>DATE(86,12,20)</f>
        <v>31766</v>
      </c>
      <c r="D13" s="2">
        <v>955</v>
      </c>
      <c r="E13" s="17">
        <v>10</v>
      </c>
      <c r="F13" s="4">
        <v>535</v>
      </c>
      <c r="G13" s="4">
        <v>146.1</v>
      </c>
      <c r="H13" s="4">
        <v>152</v>
      </c>
      <c r="I13" s="4">
        <v>1655</v>
      </c>
      <c r="J13" s="4">
        <v>354</v>
      </c>
      <c r="K13" s="4">
        <v>340.6</v>
      </c>
      <c r="L13" s="4">
        <v>412.4</v>
      </c>
      <c r="M13" s="4">
        <v>241.9</v>
      </c>
      <c r="N13" s="4">
        <v>36.4</v>
      </c>
      <c r="O13" s="4">
        <v>13.5</v>
      </c>
      <c r="P13" s="4">
        <v>163.9</v>
      </c>
      <c r="Q13" s="4">
        <v>162.30000000000001</v>
      </c>
      <c r="R13" s="4">
        <v>1192</v>
      </c>
      <c r="S13" s="4"/>
      <c r="T13" s="4"/>
      <c r="U13" s="4"/>
      <c r="V13" s="4"/>
      <c r="W13" s="4"/>
      <c r="X13" s="4"/>
      <c r="Y13" s="4"/>
      <c r="Z13" s="4"/>
      <c r="AA13" s="2" t="s">
        <v>23</v>
      </c>
      <c r="AB13" s="2">
        <v>3</v>
      </c>
      <c r="AC13" s="2" t="s">
        <v>544</v>
      </c>
      <c r="AD13" s="7">
        <v>31763</v>
      </c>
      <c r="AE13" s="2">
        <v>1310</v>
      </c>
      <c r="AF13" s="2">
        <v>6.5</v>
      </c>
      <c r="AG13" s="4">
        <v>532</v>
      </c>
      <c r="AH13" s="4">
        <v>194.5</v>
      </c>
      <c r="AI13" s="4">
        <v>205</v>
      </c>
      <c r="AJ13" s="4">
        <v>1685</v>
      </c>
      <c r="AK13" s="4">
        <v>363</v>
      </c>
      <c r="AL13" s="4">
        <v>342.1</v>
      </c>
      <c r="AM13" s="4">
        <v>432.3</v>
      </c>
      <c r="AN13" s="4">
        <v>245</v>
      </c>
      <c r="AO13" s="4">
        <v>37.6</v>
      </c>
      <c r="AP13" s="4"/>
      <c r="AQ13" s="4">
        <v>168.3</v>
      </c>
      <c r="AR13" s="4">
        <v>162.80000000000001</v>
      </c>
      <c r="AS13" s="4">
        <v>1491</v>
      </c>
      <c r="AT13" s="4"/>
      <c r="AU13" s="4"/>
      <c r="AV13" s="4"/>
      <c r="AW13" s="4"/>
      <c r="AX13" s="4"/>
      <c r="AY13" s="4"/>
      <c r="AZ13" s="4"/>
      <c r="BA13" s="4"/>
      <c r="BB13" s="2" t="s">
        <v>1</v>
      </c>
    </row>
    <row r="14" spans="1:54" x14ac:dyDescent="0.2">
      <c r="A14" s="2">
        <v>6</v>
      </c>
      <c r="B14" s="2" t="s">
        <v>547</v>
      </c>
      <c r="C14" s="7">
        <f>DATE(86,12,22)</f>
        <v>31768</v>
      </c>
      <c r="D14" s="2">
        <v>1015</v>
      </c>
      <c r="E14" s="17">
        <v>3.5</v>
      </c>
      <c r="F14" s="4">
        <v>515</v>
      </c>
      <c r="G14" s="4">
        <v>175.6</v>
      </c>
      <c r="H14" s="4">
        <v>180</v>
      </c>
      <c r="I14" s="4">
        <v>1712</v>
      </c>
      <c r="J14" s="4">
        <v>365</v>
      </c>
      <c r="K14" s="4">
        <v>341.5</v>
      </c>
      <c r="L14" s="4">
        <v>425.1</v>
      </c>
      <c r="M14" s="4">
        <v>246.1</v>
      </c>
      <c r="N14" s="4">
        <v>34.200000000000003</v>
      </c>
      <c r="O14" s="4">
        <v>13.4</v>
      </c>
      <c r="P14" s="4">
        <v>175.4</v>
      </c>
      <c r="Q14" s="4">
        <v>164.9</v>
      </c>
      <c r="R14" s="4">
        <v>1286</v>
      </c>
      <c r="S14" s="4"/>
      <c r="T14" s="4"/>
      <c r="U14" s="4"/>
      <c r="V14" s="4"/>
      <c r="W14" s="4"/>
      <c r="X14" s="4"/>
      <c r="Y14" s="4"/>
      <c r="Z14" s="4"/>
      <c r="AA14" s="2" t="s">
        <v>23</v>
      </c>
      <c r="AB14" s="2">
        <v>4</v>
      </c>
      <c r="AC14" s="2" t="s">
        <v>545</v>
      </c>
      <c r="AD14" s="7">
        <v>31765</v>
      </c>
      <c r="AE14" s="2">
        <v>1205</v>
      </c>
      <c r="AF14" s="2">
        <v>21.4</v>
      </c>
      <c r="AG14" s="4">
        <v>515</v>
      </c>
      <c r="AH14" s="4">
        <v>140.6</v>
      </c>
      <c r="AI14" s="4">
        <v>146</v>
      </c>
      <c r="AJ14" s="4">
        <v>1660</v>
      </c>
      <c r="AK14" s="4">
        <v>349</v>
      </c>
      <c r="AL14" s="4">
        <v>341.4</v>
      </c>
      <c r="AM14" s="4">
        <v>417.1</v>
      </c>
      <c r="AN14" s="4">
        <v>243.6</v>
      </c>
      <c r="AO14" s="4">
        <v>43.4</v>
      </c>
      <c r="AP14" s="4">
        <v>10.1</v>
      </c>
      <c r="AQ14" s="4">
        <v>165.1</v>
      </c>
      <c r="AR14" s="4">
        <v>162.6</v>
      </c>
      <c r="AS14" s="4">
        <v>953</v>
      </c>
      <c r="AT14" s="4"/>
      <c r="AU14" s="4"/>
      <c r="AV14" s="4"/>
      <c r="AW14" s="4"/>
      <c r="AX14" s="4"/>
      <c r="AY14" s="4"/>
      <c r="AZ14" s="4"/>
      <c r="BA14" s="4"/>
      <c r="BB14" s="2" t="s">
        <v>1</v>
      </c>
    </row>
    <row r="15" spans="1:54" x14ac:dyDescent="0.2">
      <c r="A15" s="2">
        <v>7</v>
      </c>
      <c r="B15" s="2" t="s">
        <v>548</v>
      </c>
      <c r="C15" s="7">
        <f>DATE(86,12,23)</f>
        <v>31769</v>
      </c>
      <c r="D15" s="2">
        <v>1300</v>
      </c>
      <c r="E15" s="17">
        <v>20.8</v>
      </c>
      <c r="F15" s="4">
        <v>562</v>
      </c>
      <c r="G15" s="4">
        <v>288.89999999999998</v>
      </c>
      <c r="H15" s="4">
        <v>302</v>
      </c>
      <c r="I15" s="4">
        <v>1717</v>
      </c>
      <c r="J15" s="4">
        <v>353</v>
      </c>
      <c r="K15" s="4">
        <v>340.6</v>
      </c>
      <c r="L15" s="4">
        <v>450.6</v>
      </c>
      <c r="M15" s="4">
        <v>249.7</v>
      </c>
      <c r="N15" s="4">
        <v>41.1</v>
      </c>
      <c r="O15" s="4">
        <v>15.5</v>
      </c>
      <c r="P15" s="4">
        <v>181</v>
      </c>
      <c r="Q15" s="4">
        <v>165.6</v>
      </c>
      <c r="R15" s="4">
        <v>1053</v>
      </c>
      <c r="S15" s="4"/>
      <c r="T15" s="4"/>
      <c r="U15" s="4"/>
      <c r="V15" s="4"/>
      <c r="W15" s="4"/>
      <c r="X15" s="4"/>
      <c r="Y15" s="4"/>
      <c r="Z15" s="4"/>
      <c r="AA15" s="2" t="s">
        <v>23</v>
      </c>
      <c r="AB15" s="2">
        <v>5</v>
      </c>
      <c r="AC15" s="2" t="s">
        <v>546</v>
      </c>
      <c r="AD15" s="7">
        <v>31766</v>
      </c>
      <c r="AE15" s="2">
        <v>955</v>
      </c>
      <c r="AF15" s="17">
        <v>10</v>
      </c>
      <c r="AG15" s="4">
        <v>535</v>
      </c>
      <c r="AH15" s="4">
        <v>146.1</v>
      </c>
      <c r="AI15" s="4">
        <v>152</v>
      </c>
      <c r="AJ15" s="4">
        <v>1655</v>
      </c>
      <c r="AK15" s="4">
        <v>354</v>
      </c>
      <c r="AL15" s="4">
        <v>340.6</v>
      </c>
      <c r="AM15" s="4">
        <v>412.4</v>
      </c>
      <c r="AN15" s="4">
        <v>241.9</v>
      </c>
      <c r="AO15" s="4">
        <v>36.4</v>
      </c>
      <c r="AP15" s="4">
        <v>13.5</v>
      </c>
      <c r="AQ15" s="4">
        <v>163.9</v>
      </c>
      <c r="AR15" s="4">
        <v>162.30000000000001</v>
      </c>
      <c r="AS15" s="4">
        <v>1192</v>
      </c>
      <c r="AT15" s="4"/>
      <c r="AU15" s="4"/>
      <c r="AV15" s="4"/>
      <c r="AW15" s="4"/>
      <c r="AX15" s="4"/>
      <c r="AY15" s="4"/>
      <c r="AZ15" s="4"/>
      <c r="BA15" s="4"/>
      <c r="BB15" s="2" t="s">
        <v>1</v>
      </c>
    </row>
    <row r="16" spans="1:54" x14ac:dyDescent="0.2">
      <c r="A16" s="2">
        <v>8</v>
      </c>
      <c r="B16" s="2" t="s">
        <v>549</v>
      </c>
      <c r="C16" s="7">
        <f>DATE(87,2,3)</f>
        <v>31811</v>
      </c>
      <c r="D16" s="2">
        <v>1115</v>
      </c>
      <c r="E16" s="17">
        <v>25.8</v>
      </c>
      <c r="F16" s="4">
        <v>520</v>
      </c>
      <c r="G16" s="4">
        <v>117.6</v>
      </c>
      <c r="H16" s="4">
        <v>125</v>
      </c>
      <c r="I16" s="4">
        <v>1692</v>
      </c>
      <c r="J16" s="4">
        <v>356</v>
      </c>
      <c r="K16" s="4">
        <v>340.2</v>
      </c>
      <c r="L16" s="4">
        <v>425.6</v>
      </c>
      <c r="M16" s="4">
        <v>247.2</v>
      </c>
      <c r="N16" s="4">
        <v>43.8</v>
      </c>
      <c r="O16" s="4"/>
      <c r="P16" s="4">
        <v>166.2</v>
      </c>
      <c r="Q16" s="4">
        <v>162.5</v>
      </c>
      <c r="R16" s="4">
        <v>875</v>
      </c>
      <c r="S16" s="4"/>
      <c r="T16" s="4"/>
      <c r="U16" s="4"/>
      <c r="V16" s="4"/>
      <c r="W16" s="4"/>
      <c r="X16" s="4"/>
      <c r="Y16" s="4"/>
      <c r="Z16" s="4"/>
      <c r="AA16" s="2" t="s">
        <v>23</v>
      </c>
      <c r="AB16" s="2">
        <v>6</v>
      </c>
      <c r="AC16" s="2" t="s">
        <v>547</v>
      </c>
      <c r="AD16" s="7">
        <v>31768</v>
      </c>
      <c r="AE16" s="2">
        <v>1015</v>
      </c>
      <c r="AF16" s="17">
        <v>3.5</v>
      </c>
      <c r="AG16" s="4">
        <v>515</v>
      </c>
      <c r="AH16" s="4">
        <v>175.6</v>
      </c>
      <c r="AI16" s="4">
        <v>180</v>
      </c>
      <c r="AJ16" s="4">
        <v>1712</v>
      </c>
      <c r="AK16" s="4">
        <v>365</v>
      </c>
      <c r="AL16" s="4">
        <v>341.5</v>
      </c>
      <c r="AM16" s="4">
        <v>425.1</v>
      </c>
      <c r="AN16" s="4">
        <v>246.1</v>
      </c>
      <c r="AO16" s="4">
        <v>34.200000000000003</v>
      </c>
      <c r="AP16" s="4">
        <v>13.4</v>
      </c>
      <c r="AQ16" s="4">
        <v>175.4</v>
      </c>
      <c r="AR16" s="4">
        <v>164.9</v>
      </c>
      <c r="AS16" s="4">
        <v>1286</v>
      </c>
      <c r="AT16" s="4"/>
      <c r="AU16" s="4"/>
      <c r="AV16" s="4"/>
      <c r="AW16" s="4"/>
      <c r="AX16" s="4"/>
      <c r="AY16" s="4"/>
      <c r="AZ16" s="4"/>
      <c r="BA16" s="4"/>
      <c r="BB16" s="2" t="s">
        <v>1</v>
      </c>
    </row>
    <row r="17" spans="1:54" x14ac:dyDescent="0.2">
      <c r="A17" s="2">
        <v>9</v>
      </c>
      <c r="B17" s="2" t="s">
        <v>550</v>
      </c>
      <c r="C17" s="7">
        <f>DATE(87,4,7)</f>
        <v>31874</v>
      </c>
      <c r="D17" s="2">
        <v>945</v>
      </c>
      <c r="E17" s="17">
        <v>5.0999999999999996</v>
      </c>
      <c r="F17" s="4">
        <v>526</v>
      </c>
      <c r="G17" s="4">
        <v>161.4</v>
      </c>
      <c r="H17" s="4">
        <v>172.1</v>
      </c>
      <c r="I17" s="4">
        <v>1799.1</v>
      </c>
      <c r="J17" s="4">
        <v>368.3</v>
      </c>
      <c r="K17" s="4">
        <v>344</v>
      </c>
      <c r="L17" s="4">
        <v>438</v>
      </c>
      <c r="M17" s="4">
        <v>249</v>
      </c>
      <c r="N17" s="4">
        <v>39</v>
      </c>
      <c r="O17" s="4">
        <v>6</v>
      </c>
      <c r="P17" s="4">
        <v>201</v>
      </c>
      <c r="Q17" s="4">
        <v>171</v>
      </c>
      <c r="R17" s="4">
        <v>1229</v>
      </c>
      <c r="S17" s="4"/>
      <c r="T17" s="4"/>
      <c r="U17" s="4"/>
      <c r="V17" s="4"/>
      <c r="W17" s="4"/>
      <c r="X17" s="4"/>
      <c r="Y17" s="4"/>
      <c r="Z17" s="4"/>
      <c r="AA17" s="2" t="s">
        <v>23</v>
      </c>
      <c r="AB17" s="2">
        <v>7</v>
      </c>
      <c r="AC17" s="2" t="s">
        <v>548</v>
      </c>
      <c r="AD17" s="7">
        <v>31769</v>
      </c>
      <c r="AE17" s="2">
        <v>1300</v>
      </c>
      <c r="AF17" s="17">
        <v>20.8</v>
      </c>
      <c r="AG17" s="4">
        <v>562</v>
      </c>
      <c r="AH17" s="4">
        <v>288.89999999999998</v>
      </c>
      <c r="AI17" s="4">
        <v>302</v>
      </c>
      <c r="AJ17" s="4">
        <v>1717</v>
      </c>
      <c r="AK17" s="4">
        <v>353</v>
      </c>
      <c r="AL17" s="4">
        <v>340.6</v>
      </c>
      <c r="AM17" s="4">
        <v>450.6</v>
      </c>
      <c r="AN17" s="4">
        <v>249.7</v>
      </c>
      <c r="AO17" s="4">
        <v>41.1</v>
      </c>
      <c r="AP17" s="4">
        <v>15.5</v>
      </c>
      <c r="AQ17" s="4">
        <v>181</v>
      </c>
      <c r="AR17" s="4">
        <v>165.6</v>
      </c>
      <c r="AS17" s="4">
        <v>1053</v>
      </c>
      <c r="AT17" s="4"/>
      <c r="AU17" s="4"/>
      <c r="AV17" s="4"/>
      <c r="AW17" s="4"/>
      <c r="AX17" s="4"/>
      <c r="AY17" s="4"/>
      <c r="AZ17" s="4"/>
      <c r="BA17" s="4"/>
      <c r="BB17" s="2" t="s">
        <v>1</v>
      </c>
    </row>
    <row r="18" spans="1:54" x14ac:dyDescent="0.2">
      <c r="A18" s="2">
        <v>10</v>
      </c>
      <c r="B18" s="2" t="s">
        <v>551</v>
      </c>
      <c r="C18" s="7">
        <f>DATE(87,4,9)</f>
        <v>31876</v>
      </c>
      <c r="D18" s="2">
        <v>945</v>
      </c>
      <c r="E18" s="17">
        <v>10.8</v>
      </c>
      <c r="F18" s="4">
        <v>518</v>
      </c>
      <c r="G18" s="4">
        <v>106.1</v>
      </c>
      <c r="H18" s="4">
        <v>111.9</v>
      </c>
      <c r="I18" s="4">
        <v>1699.5</v>
      </c>
      <c r="J18" s="4">
        <v>353.9</v>
      </c>
      <c r="K18" s="4">
        <v>349</v>
      </c>
      <c r="L18" s="4">
        <v>434</v>
      </c>
      <c r="M18" s="4">
        <v>245</v>
      </c>
      <c r="N18" s="4">
        <v>40</v>
      </c>
      <c r="O18" s="4"/>
      <c r="P18" s="4">
        <v>174</v>
      </c>
      <c r="Q18" s="4">
        <v>147</v>
      </c>
      <c r="R18" s="4">
        <v>894</v>
      </c>
      <c r="S18" s="4"/>
      <c r="T18" s="4"/>
      <c r="U18" s="4"/>
      <c r="V18" s="4"/>
      <c r="W18" s="4"/>
      <c r="X18" s="4"/>
      <c r="Y18" s="4"/>
      <c r="Z18" s="4"/>
      <c r="AA18" s="2" t="s">
        <v>23</v>
      </c>
      <c r="AB18" s="2">
        <v>8</v>
      </c>
      <c r="AC18" s="2" t="s">
        <v>549</v>
      </c>
      <c r="AD18" s="7">
        <v>31811</v>
      </c>
      <c r="AE18" s="2">
        <v>1115</v>
      </c>
      <c r="AF18" s="17">
        <v>25.8</v>
      </c>
      <c r="AG18" s="4">
        <v>520</v>
      </c>
      <c r="AH18" s="4">
        <v>117.6</v>
      </c>
      <c r="AI18" s="4">
        <v>125</v>
      </c>
      <c r="AJ18" s="4">
        <v>1692</v>
      </c>
      <c r="AK18" s="4">
        <v>356</v>
      </c>
      <c r="AL18" s="4">
        <v>340.2</v>
      </c>
      <c r="AM18" s="4">
        <v>425.6</v>
      </c>
      <c r="AN18" s="4">
        <v>247.2</v>
      </c>
      <c r="AO18" s="4">
        <v>43.8</v>
      </c>
      <c r="AP18" s="4"/>
      <c r="AQ18" s="4">
        <v>166.2</v>
      </c>
      <c r="AR18" s="4">
        <v>162.5</v>
      </c>
      <c r="AS18" s="4">
        <v>875</v>
      </c>
      <c r="AT18" s="4"/>
      <c r="AU18" s="4"/>
      <c r="AV18" s="4"/>
      <c r="AW18" s="4"/>
      <c r="AX18" s="4"/>
      <c r="AY18" s="4"/>
      <c r="AZ18" s="4"/>
      <c r="BA18" s="4"/>
      <c r="BB18" s="2" t="s">
        <v>1</v>
      </c>
    </row>
    <row r="19" spans="1:54" x14ac:dyDescent="0.2">
      <c r="A19" s="2">
        <v>11</v>
      </c>
      <c r="B19" s="2" t="s">
        <v>552</v>
      </c>
      <c r="C19" s="7">
        <f>DATE(87,4,14)</f>
        <v>31881</v>
      </c>
      <c r="D19" s="2">
        <v>1040</v>
      </c>
      <c r="E19" s="17">
        <v>15</v>
      </c>
      <c r="F19" s="4">
        <v>517</v>
      </c>
      <c r="G19" s="4">
        <v>111.1</v>
      </c>
      <c r="H19" s="4">
        <v>117.8</v>
      </c>
      <c r="I19" s="4">
        <v>1718.7</v>
      </c>
      <c r="J19" s="4">
        <v>381</v>
      </c>
      <c r="K19" s="4">
        <v>343</v>
      </c>
      <c r="L19" s="4">
        <v>435</v>
      </c>
      <c r="M19" s="4">
        <v>247</v>
      </c>
      <c r="N19" s="4">
        <v>45</v>
      </c>
      <c r="O19" s="4"/>
      <c r="P19" s="4">
        <v>176</v>
      </c>
      <c r="Q19" s="4">
        <v>167</v>
      </c>
      <c r="R19" s="4">
        <v>983</v>
      </c>
      <c r="S19" s="4"/>
      <c r="T19" s="4"/>
      <c r="U19" s="4"/>
      <c r="V19" s="4"/>
      <c r="W19" s="4"/>
      <c r="X19" s="4"/>
      <c r="Y19" s="4"/>
      <c r="Z19" s="4"/>
      <c r="AA19" s="2" t="s">
        <v>23</v>
      </c>
      <c r="AB19" s="2">
        <v>24</v>
      </c>
      <c r="AC19" s="2" t="s">
        <v>553</v>
      </c>
      <c r="AD19" s="7">
        <v>31813</v>
      </c>
      <c r="AE19" s="2">
        <v>1120</v>
      </c>
      <c r="AF19" s="17">
        <v>2.1</v>
      </c>
      <c r="AG19" s="2">
        <v>557</v>
      </c>
      <c r="AH19" s="2">
        <v>205</v>
      </c>
      <c r="AJ19" s="2">
        <v>1671</v>
      </c>
      <c r="AK19" s="2">
        <v>355</v>
      </c>
      <c r="AL19" s="2">
        <v>340</v>
      </c>
      <c r="AM19" s="2">
        <v>404</v>
      </c>
      <c r="AN19" s="2">
        <v>250</v>
      </c>
      <c r="AO19" s="2">
        <v>45</v>
      </c>
      <c r="AQ19" s="2">
        <v>163</v>
      </c>
      <c r="AR19" s="2">
        <v>161</v>
      </c>
      <c r="AS19" s="2">
        <v>1002</v>
      </c>
      <c r="AT19" s="2">
        <v>607</v>
      </c>
      <c r="AU19" s="2">
        <v>2540</v>
      </c>
      <c r="AV19" s="2">
        <v>508</v>
      </c>
      <c r="AW19" s="2">
        <v>132</v>
      </c>
      <c r="AX19" s="2">
        <v>1100</v>
      </c>
      <c r="AY19" s="2">
        <v>43</v>
      </c>
      <c r="AZ19" s="2">
        <v>51</v>
      </c>
      <c r="BA19" s="4"/>
      <c r="BB19" s="2" t="s">
        <v>1</v>
      </c>
    </row>
    <row r="20" spans="1:54" x14ac:dyDescent="0.2">
      <c r="A20" s="2">
        <v>12</v>
      </c>
      <c r="B20" s="2" t="s">
        <v>554</v>
      </c>
      <c r="C20" s="7">
        <f>DATE(87,4,16)</f>
        <v>31883</v>
      </c>
      <c r="D20" s="2">
        <v>945</v>
      </c>
      <c r="E20" s="17">
        <v>5</v>
      </c>
      <c r="F20" s="4">
        <v>499</v>
      </c>
      <c r="G20" s="4">
        <v>205.4</v>
      </c>
      <c r="H20" s="4">
        <v>212</v>
      </c>
      <c r="I20" s="4">
        <v>1807</v>
      </c>
      <c r="J20" s="4">
        <v>401.4</v>
      </c>
      <c r="K20" s="4">
        <v>343</v>
      </c>
      <c r="L20" s="4">
        <v>433</v>
      </c>
      <c r="M20" s="4">
        <v>237</v>
      </c>
      <c r="N20" s="4">
        <v>38</v>
      </c>
      <c r="O20" s="4">
        <v>21</v>
      </c>
      <c r="P20" s="4">
        <v>168</v>
      </c>
      <c r="Q20" s="4">
        <v>165</v>
      </c>
      <c r="R20" s="4">
        <v>1124</v>
      </c>
      <c r="S20" s="4"/>
      <c r="T20" s="4"/>
      <c r="U20" s="4"/>
      <c r="V20" s="4"/>
      <c r="W20" s="4"/>
      <c r="X20" s="4"/>
      <c r="Y20" s="4"/>
      <c r="Z20" s="4"/>
      <c r="AA20" s="2" t="s">
        <v>23</v>
      </c>
      <c r="AB20" s="2">
        <v>25</v>
      </c>
      <c r="AC20" s="2" t="s">
        <v>555</v>
      </c>
      <c r="AD20" s="7">
        <v>31818</v>
      </c>
      <c r="AE20" s="2">
        <v>1515</v>
      </c>
      <c r="AF20" s="17">
        <v>1.6</v>
      </c>
      <c r="AG20" s="2">
        <v>634</v>
      </c>
      <c r="AH20" s="2">
        <v>251</v>
      </c>
      <c r="AJ20" s="2">
        <v>1805</v>
      </c>
      <c r="AK20" s="2">
        <v>383</v>
      </c>
      <c r="AL20" s="2">
        <v>340</v>
      </c>
      <c r="AM20" s="2">
        <v>429</v>
      </c>
      <c r="AN20" s="2">
        <v>252</v>
      </c>
      <c r="AO20" s="2">
        <v>35</v>
      </c>
      <c r="AQ20" s="2">
        <v>177</v>
      </c>
      <c r="AR20" s="2">
        <v>163</v>
      </c>
      <c r="AS20" s="2">
        <v>1020</v>
      </c>
      <c r="AT20" s="2">
        <v>1020</v>
      </c>
      <c r="AU20" s="2">
        <v>2400</v>
      </c>
      <c r="AV20" s="2">
        <v>1550</v>
      </c>
      <c r="AW20" s="2">
        <v>1670</v>
      </c>
      <c r="AX20" s="2">
        <v>432</v>
      </c>
      <c r="AY20" s="2">
        <v>815</v>
      </c>
      <c r="AZ20" s="2">
        <v>1050</v>
      </c>
      <c r="BA20" s="4"/>
      <c r="BB20" s="2" t="s">
        <v>1</v>
      </c>
    </row>
    <row r="21" spans="1:54" x14ac:dyDescent="0.2">
      <c r="A21" s="2">
        <v>13</v>
      </c>
      <c r="B21" s="2" t="s">
        <v>556</v>
      </c>
      <c r="C21" s="7">
        <f>DATE(87,4,21)</f>
        <v>31888</v>
      </c>
      <c r="D21" s="2">
        <v>9360</v>
      </c>
      <c r="E21" s="17">
        <v>11.2</v>
      </c>
      <c r="F21" s="4">
        <v>502</v>
      </c>
      <c r="G21" s="4">
        <v>106.6</v>
      </c>
      <c r="H21" s="4">
        <v>106.9</v>
      </c>
      <c r="I21" s="4">
        <v>1811.2</v>
      </c>
      <c r="J21" s="4">
        <v>399.4</v>
      </c>
      <c r="K21" s="4">
        <v>345</v>
      </c>
      <c r="L21" s="4">
        <v>420</v>
      </c>
      <c r="M21" s="4">
        <v>255</v>
      </c>
      <c r="N21" s="4">
        <v>41</v>
      </c>
      <c r="O21" s="4">
        <v>15</v>
      </c>
      <c r="P21" s="4">
        <v>174</v>
      </c>
      <c r="Q21" s="4">
        <v>170</v>
      </c>
      <c r="R21" s="4">
        <v>1073</v>
      </c>
      <c r="S21" s="4"/>
      <c r="T21" s="4"/>
      <c r="U21" s="4"/>
      <c r="V21" s="4"/>
      <c r="W21" s="4"/>
      <c r="X21" s="4"/>
      <c r="Y21" s="4"/>
      <c r="Z21" s="4"/>
      <c r="AA21" s="2" t="s">
        <v>23</v>
      </c>
      <c r="AB21" s="2">
        <v>26</v>
      </c>
      <c r="AC21" s="2" t="s">
        <v>557</v>
      </c>
      <c r="AD21" s="7">
        <v>31820</v>
      </c>
      <c r="AE21" s="2">
        <v>1220</v>
      </c>
      <c r="AF21" s="17">
        <v>6.1</v>
      </c>
      <c r="AG21" s="2">
        <v>572</v>
      </c>
      <c r="AH21" s="2">
        <v>240</v>
      </c>
      <c r="AJ21" s="2">
        <v>1752</v>
      </c>
      <c r="AK21" s="2">
        <v>363</v>
      </c>
      <c r="AL21" s="2">
        <v>340</v>
      </c>
      <c r="AM21" s="2">
        <v>424</v>
      </c>
      <c r="AN21" s="2">
        <v>251</v>
      </c>
      <c r="AO21" s="2">
        <v>37</v>
      </c>
      <c r="AQ21" s="2">
        <v>179</v>
      </c>
      <c r="AR21" s="2">
        <v>162</v>
      </c>
      <c r="AS21" s="2">
        <v>901</v>
      </c>
      <c r="AT21" s="2">
        <v>1130</v>
      </c>
      <c r="AU21" s="2">
        <v>2230</v>
      </c>
      <c r="AV21" s="2">
        <v>1040</v>
      </c>
      <c r="AW21" s="2">
        <v>1240</v>
      </c>
      <c r="AX21" s="2">
        <v>661</v>
      </c>
      <c r="AY21" s="2">
        <v>556</v>
      </c>
      <c r="AZ21" s="2">
        <v>680</v>
      </c>
      <c r="BA21" s="4"/>
      <c r="BB21" s="2" t="s">
        <v>1</v>
      </c>
    </row>
    <row r="22" spans="1:54" x14ac:dyDescent="0.2">
      <c r="A22" s="2">
        <v>14</v>
      </c>
      <c r="B22" s="2" t="s">
        <v>558</v>
      </c>
      <c r="C22" s="7">
        <f>DATE(87,4,23)</f>
        <v>31890</v>
      </c>
      <c r="D22" s="2">
        <v>1005</v>
      </c>
      <c r="E22" s="17">
        <v>9.8000000000000007</v>
      </c>
      <c r="F22" s="4">
        <v>513</v>
      </c>
      <c r="G22" s="4">
        <v>116.2</v>
      </c>
      <c r="H22" s="4">
        <v>117.8</v>
      </c>
      <c r="I22" s="4">
        <v>1698.9</v>
      </c>
      <c r="J22" s="4">
        <v>362.8</v>
      </c>
      <c r="K22" s="4">
        <v>343</v>
      </c>
      <c r="L22" s="4">
        <v>424</v>
      </c>
      <c r="M22" s="4">
        <v>248</v>
      </c>
      <c r="N22" s="4">
        <v>38</v>
      </c>
      <c r="O22" s="4"/>
      <c r="P22" s="4">
        <v>191</v>
      </c>
      <c r="Q22" s="4">
        <v>170</v>
      </c>
      <c r="R22" s="4">
        <v>895</v>
      </c>
      <c r="S22" s="4"/>
      <c r="T22" s="4"/>
      <c r="U22" s="4"/>
      <c r="V22" s="4"/>
      <c r="W22" s="4"/>
      <c r="X22" s="4"/>
      <c r="Y22" s="4"/>
      <c r="Z22" s="4"/>
      <c r="AA22" s="2" t="s">
        <v>23</v>
      </c>
      <c r="AB22" s="2">
        <v>27</v>
      </c>
      <c r="AC22" s="2" t="s">
        <v>559</v>
      </c>
      <c r="AD22" s="7">
        <v>31832</v>
      </c>
      <c r="AE22" s="8" t="s">
        <v>560</v>
      </c>
      <c r="AF22" s="17">
        <v>2.5</v>
      </c>
      <c r="AG22" s="2">
        <v>544</v>
      </c>
      <c r="AH22" s="2">
        <v>137</v>
      </c>
      <c r="AJ22" s="2">
        <v>1726</v>
      </c>
      <c r="AK22" s="2">
        <v>381</v>
      </c>
      <c r="AL22" s="2">
        <v>341</v>
      </c>
      <c r="AM22" s="2">
        <v>406</v>
      </c>
      <c r="AN22" s="2">
        <v>246</v>
      </c>
      <c r="AO22" s="2">
        <v>34</v>
      </c>
      <c r="AQ22" s="2">
        <v>163</v>
      </c>
      <c r="AR22" s="2">
        <v>159</v>
      </c>
      <c r="AS22" s="2">
        <v>1033</v>
      </c>
      <c r="AT22" s="2">
        <v>728</v>
      </c>
      <c r="AU22" s="2">
        <v>834</v>
      </c>
      <c r="AV22" s="2">
        <v>150</v>
      </c>
      <c r="AW22" s="2">
        <v>133</v>
      </c>
      <c r="AX22" s="2">
        <v>242</v>
      </c>
      <c r="AY22" s="2">
        <v>40</v>
      </c>
      <c r="AZ22" s="2">
        <v>56</v>
      </c>
      <c r="BA22" s="4"/>
      <c r="BB22" s="2" t="s">
        <v>1</v>
      </c>
    </row>
    <row r="23" spans="1:54" x14ac:dyDescent="0.2">
      <c r="A23" s="2">
        <v>15</v>
      </c>
      <c r="B23" s="2" t="s">
        <v>561</v>
      </c>
      <c r="C23" s="7">
        <f>DATE(87,4,28)</f>
        <v>31895</v>
      </c>
      <c r="D23" s="2">
        <v>950</v>
      </c>
      <c r="E23" s="17">
        <v>7.9</v>
      </c>
      <c r="F23" s="4">
        <v>510</v>
      </c>
      <c r="G23" s="4">
        <v>140</v>
      </c>
      <c r="H23" s="4">
        <v>140.5</v>
      </c>
      <c r="I23" s="4">
        <v>1879.8</v>
      </c>
      <c r="J23" s="4">
        <v>416.2</v>
      </c>
      <c r="K23" s="4">
        <v>347</v>
      </c>
      <c r="L23" s="4">
        <v>424</v>
      </c>
      <c r="M23" s="4">
        <v>264</v>
      </c>
      <c r="N23" s="4">
        <v>38</v>
      </c>
      <c r="O23" s="4"/>
      <c r="P23" s="4">
        <v>170</v>
      </c>
      <c r="Q23" s="4">
        <v>167</v>
      </c>
      <c r="R23" s="4">
        <v>1139</v>
      </c>
      <c r="S23" s="4"/>
      <c r="T23" s="4"/>
      <c r="U23" s="4"/>
      <c r="V23" s="4"/>
      <c r="W23" s="4"/>
      <c r="X23" s="4"/>
      <c r="Y23" s="4"/>
      <c r="Z23" s="4"/>
      <c r="AA23" s="2" t="s">
        <v>23</v>
      </c>
      <c r="AB23" s="2">
        <v>28</v>
      </c>
      <c r="AC23" s="2" t="s">
        <v>562</v>
      </c>
      <c r="AD23" s="7">
        <v>31833</v>
      </c>
      <c r="AE23" s="2">
        <v>1115</v>
      </c>
      <c r="AF23" s="17">
        <v>19.7</v>
      </c>
      <c r="AG23" s="2">
        <v>528</v>
      </c>
      <c r="AH23" s="2">
        <v>133</v>
      </c>
      <c r="AJ23" s="2">
        <v>1689</v>
      </c>
      <c r="AK23" s="2">
        <v>363</v>
      </c>
      <c r="AL23" s="2">
        <v>340</v>
      </c>
      <c r="AM23" s="2">
        <v>408</v>
      </c>
      <c r="AN23" s="2">
        <v>249</v>
      </c>
      <c r="AO23" s="2">
        <v>44</v>
      </c>
      <c r="AQ23" s="2">
        <v>160</v>
      </c>
      <c r="AR23" s="2">
        <v>156</v>
      </c>
      <c r="AS23" s="2">
        <v>563</v>
      </c>
      <c r="AT23" s="2">
        <v>769</v>
      </c>
      <c r="AU23" s="2">
        <v>740</v>
      </c>
      <c r="AV23" s="2">
        <v>178</v>
      </c>
      <c r="AW23" s="2">
        <v>199</v>
      </c>
      <c r="AX23" s="2">
        <v>317</v>
      </c>
      <c r="AY23" s="2">
        <v>54</v>
      </c>
      <c r="AZ23" s="2">
        <v>108</v>
      </c>
      <c r="BA23" s="4"/>
      <c r="BB23" s="2" t="s">
        <v>1</v>
      </c>
    </row>
    <row r="24" spans="1:54" x14ac:dyDescent="0.2">
      <c r="A24" s="2">
        <v>16</v>
      </c>
      <c r="B24" s="2" t="s">
        <v>563</v>
      </c>
      <c r="C24" s="7">
        <f>DATE(87,4,30)</f>
        <v>31897</v>
      </c>
      <c r="D24" s="2">
        <v>840</v>
      </c>
      <c r="E24" s="17">
        <v>6.5</v>
      </c>
      <c r="F24" s="4">
        <v>530</v>
      </c>
      <c r="G24" s="4">
        <v>182.2</v>
      </c>
      <c r="H24" s="4">
        <v>186.1</v>
      </c>
      <c r="I24" s="4">
        <v>1791.3</v>
      </c>
      <c r="J24" s="4">
        <v>387.7</v>
      </c>
      <c r="K24" s="4">
        <v>345</v>
      </c>
      <c r="L24" s="4">
        <v>423</v>
      </c>
      <c r="M24" s="4">
        <v>274</v>
      </c>
      <c r="N24" s="4">
        <v>37</v>
      </c>
      <c r="O24" s="4"/>
      <c r="P24" s="4">
        <v>170</v>
      </c>
      <c r="Q24" s="4">
        <v>166</v>
      </c>
      <c r="R24" s="4">
        <v>1091</v>
      </c>
      <c r="S24" s="4"/>
      <c r="T24" s="4"/>
      <c r="U24" s="4"/>
      <c r="V24" s="4"/>
      <c r="W24" s="4"/>
      <c r="X24" s="4"/>
      <c r="Y24" s="4"/>
      <c r="Z24" s="4"/>
      <c r="AA24" s="2" t="s">
        <v>23</v>
      </c>
      <c r="AB24" s="2">
        <v>29</v>
      </c>
      <c r="AC24" s="2" t="s">
        <v>564</v>
      </c>
      <c r="AD24" s="7">
        <v>31834</v>
      </c>
      <c r="AE24" s="8" t="s">
        <v>560</v>
      </c>
      <c r="AF24" s="17">
        <v>5.6</v>
      </c>
      <c r="AG24" s="2">
        <v>525</v>
      </c>
      <c r="AH24" s="2">
        <v>141</v>
      </c>
      <c r="AJ24" s="2">
        <v>1768</v>
      </c>
      <c r="AK24" s="2">
        <v>378</v>
      </c>
      <c r="AL24" s="2">
        <v>340</v>
      </c>
      <c r="AM24" s="2">
        <v>414</v>
      </c>
      <c r="AN24" s="2">
        <v>250</v>
      </c>
      <c r="AO24" s="2">
        <v>37</v>
      </c>
      <c r="AQ24" s="2">
        <v>169</v>
      </c>
      <c r="AR24" s="2">
        <v>158</v>
      </c>
      <c r="AS24" s="2">
        <v>1215</v>
      </c>
      <c r="AT24" s="2">
        <v>803</v>
      </c>
      <c r="AU24" s="2">
        <v>475</v>
      </c>
      <c r="AV24" s="2">
        <v>191</v>
      </c>
      <c r="AW24" s="2">
        <v>135</v>
      </c>
      <c r="AX24" s="2">
        <v>353</v>
      </c>
      <c r="AY24" s="2">
        <v>64</v>
      </c>
      <c r="AZ24" s="2">
        <v>100</v>
      </c>
      <c r="BA24" s="4"/>
      <c r="BB24" s="2" t="s">
        <v>1</v>
      </c>
    </row>
    <row r="25" spans="1:54" x14ac:dyDescent="0.2">
      <c r="A25" s="2" t="s">
        <v>565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</v>
      </c>
      <c r="AB25" s="2">
        <v>30</v>
      </c>
      <c r="AC25" s="2" t="s">
        <v>566</v>
      </c>
      <c r="AD25" s="7">
        <v>31839</v>
      </c>
      <c r="AE25" s="2">
        <v>1155</v>
      </c>
      <c r="AF25" s="17">
        <v>26.7</v>
      </c>
      <c r="AG25" s="2">
        <v>538</v>
      </c>
      <c r="AH25" s="2">
        <v>144</v>
      </c>
      <c r="AJ25" s="2">
        <v>1668</v>
      </c>
      <c r="AK25" s="2">
        <v>361</v>
      </c>
      <c r="AL25" s="2">
        <v>340</v>
      </c>
      <c r="AM25" s="2">
        <v>415</v>
      </c>
      <c r="AN25" s="2">
        <v>254</v>
      </c>
      <c r="AO25" s="2">
        <v>46</v>
      </c>
      <c r="AQ25" s="2">
        <v>166</v>
      </c>
      <c r="AR25" s="2">
        <v>154</v>
      </c>
      <c r="AS25" s="2">
        <v>1097</v>
      </c>
      <c r="BA25" s="4"/>
      <c r="BB25" s="2" t="s">
        <v>1</v>
      </c>
    </row>
    <row r="26" spans="1:54" x14ac:dyDescent="0.2">
      <c r="A26" s="2">
        <v>24</v>
      </c>
      <c r="B26" s="2" t="s">
        <v>553</v>
      </c>
      <c r="C26" s="7">
        <f>DATE(87,2,5)</f>
        <v>31813</v>
      </c>
      <c r="D26" s="2">
        <v>1120</v>
      </c>
      <c r="E26" s="17">
        <v>2.1</v>
      </c>
      <c r="F26" s="2">
        <v>557</v>
      </c>
      <c r="G26" s="2">
        <v>205</v>
      </c>
      <c r="I26" s="2">
        <v>1671</v>
      </c>
      <c r="J26" s="2">
        <v>355</v>
      </c>
      <c r="K26" s="2">
        <v>340</v>
      </c>
      <c r="L26" s="2">
        <v>404</v>
      </c>
      <c r="M26" s="2">
        <v>250</v>
      </c>
      <c r="N26" s="2">
        <v>45</v>
      </c>
      <c r="P26" s="2">
        <v>163</v>
      </c>
      <c r="Q26" s="2">
        <v>161</v>
      </c>
      <c r="R26" s="2">
        <v>1002</v>
      </c>
      <c r="S26" s="2">
        <v>607</v>
      </c>
      <c r="T26" s="2">
        <v>2540</v>
      </c>
      <c r="U26" s="2">
        <v>508</v>
      </c>
      <c r="V26" s="2">
        <v>132</v>
      </c>
      <c r="W26" s="2">
        <v>1100</v>
      </c>
      <c r="X26" s="2">
        <v>43</v>
      </c>
      <c r="Y26" s="2">
        <v>51</v>
      </c>
      <c r="Z26" s="4"/>
      <c r="AA26" s="2" t="s">
        <v>23</v>
      </c>
      <c r="AB26" s="2">
        <v>31</v>
      </c>
      <c r="AC26" s="2" t="s">
        <v>567</v>
      </c>
      <c r="AD26" s="7">
        <v>31842</v>
      </c>
      <c r="AE26" s="8" t="s">
        <v>568</v>
      </c>
      <c r="AF26" s="17">
        <v>7.6</v>
      </c>
      <c r="AG26" s="2">
        <v>543</v>
      </c>
      <c r="AH26" s="2">
        <v>181</v>
      </c>
      <c r="AJ26" s="2">
        <v>1722</v>
      </c>
      <c r="AK26" s="2">
        <v>353</v>
      </c>
      <c r="AL26" s="2">
        <v>341</v>
      </c>
      <c r="AM26" s="2">
        <v>434</v>
      </c>
      <c r="AN26" s="2">
        <v>254</v>
      </c>
      <c r="AO26" s="2">
        <v>39</v>
      </c>
      <c r="AQ26" s="2">
        <v>178</v>
      </c>
      <c r="AR26" s="2">
        <v>160</v>
      </c>
      <c r="AS26" s="2">
        <v>1212</v>
      </c>
      <c r="AT26" s="2">
        <v>956</v>
      </c>
      <c r="AU26" s="2">
        <v>1440</v>
      </c>
      <c r="AV26" s="2">
        <v>372</v>
      </c>
      <c r="AW26" s="2">
        <v>466</v>
      </c>
      <c r="AX26" s="2">
        <v>664</v>
      </c>
      <c r="AY26" s="2">
        <v>161</v>
      </c>
      <c r="AZ26" s="2">
        <v>254</v>
      </c>
      <c r="BA26" s="4"/>
      <c r="BB26" s="2" t="s">
        <v>1</v>
      </c>
    </row>
    <row r="27" spans="1:54" x14ac:dyDescent="0.2">
      <c r="A27" s="2">
        <v>25</v>
      </c>
      <c r="B27" s="2" t="s">
        <v>555</v>
      </c>
      <c r="C27" s="7">
        <f>DATE(87,2,10)</f>
        <v>31818</v>
      </c>
      <c r="D27" s="2">
        <v>1515</v>
      </c>
      <c r="E27" s="17">
        <v>1.6</v>
      </c>
      <c r="F27" s="2">
        <v>634</v>
      </c>
      <c r="G27" s="2">
        <v>251</v>
      </c>
      <c r="I27" s="2">
        <v>1805</v>
      </c>
      <c r="J27" s="2">
        <v>383</v>
      </c>
      <c r="K27" s="2">
        <v>340</v>
      </c>
      <c r="L27" s="2">
        <v>429</v>
      </c>
      <c r="M27" s="2">
        <v>252</v>
      </c>
      <c r="N27" s="2">
        <v>35</v>
      </c>
      <c r="P27" s="2">
        <v>177</v>
      </c>
      <c r="Q27" s="2">
        <v>163</v>
      </c>
      <c r="R27" s="2">
        <v>1020</v>
      </c>
      <c r="S27" s="2">
        <v>1020</v>
      </c>
      <c r="T27" s="2">
        <v>2400</v>
      </c>
      <c r="U27" s="2">
        <v>1550</v>
      </c>
      <c r="V27" s="2">
        <v>1670</v>
      </c>
      <c r="W27" s="2">
        <v>432</v>
      </c>
      <c r="X27" s="2">
        <v>815</v>
      </c>
      <c r="Y27" s="2">
        <v>1050</v>
      </c>
      <c r="Z27" s="4"/>
      <c r="AA27" s="2" t="s">
        <v>23</v>
      </c>
      <c r="AB27" s="2">
        <v>32</v>
      </c>
      <c r="AC27" s="2" t="s">
        <v>569</v>
      </c>
      <c r="AD27" s="7">
        <v>31848</v>
      </c>
      <c r="AE27" s="2">
        <v>1640</v>
      </c>
      <c r="AF27" s="17">
        <v>5.3</v>
      </c>
      <c r="AG27" s="2">
        <v>825</v>
      </c>
      <c r="AH27" s="2">
        <v>199</v>
      </c>
      <c r="AJ27" s="2">
        <v>1745</v>
      </c>
      <c r="AK27" s="2">
        <v>367</v>
      </c>
      <c r="AL27" s="2">
        <v>345</v>
      </c>
      <c r="AM27" s="2">
        <v>476</v>
      </c>
      <c r="AN27" s="2">
        <v>252</v>
      </c>
      <c r="AO27" s="2">
        <v>36</v>
      </c>
      <c r="AQ27" s="2">
        <v>173</v>
      </c>
      <c r="AR27" s="2">
        <v>158</v>
      </c>
      <c r="AS27" s="2">
        <v>904</v>
      </c>
      <c r="AT27" s="2">
        <v>2780</v>
      </c>
      <c r="AU27" s="2">
        <v>3050</v>
      </c>
      <c r="AV27" s="2">
        <v>957</v>
      </c>
      <c r="AW27" s="2">
        <v>1260</v>
      </c>
      <c r="AX27" s="2">
        <v>1120</v>
      </c>
      <c r="AY27" s="2">
        <v>310</v>
      </c>
      <c r="AZ27" s="2">
        <v>682</v>
      </c>
      <c r="BA27" s="4"/>
      <c r="BB27" s="2" t="s">
        <v>1</v>
      </c>
    </row>
    <row r="28" spans="1:54" x14ac:dyDescent="0.2">
      <c r="A28" s="2">
        <v>26</v>
      </c>
      <c r="B28" s="2" t="s">
        <v>557</v>
      </c>
      <c r="C28" s="7">
        <f>DATE(87,2,12)</f>
        <v>31820</v>
      </c>
      <c r="D28" s="2">
        <v>1220</v>
      </c>
      <c r="E28" s="17">
        <v>6.1</v>
      </c>
      <c r="F28" s="2">
        <v>572</v>
      </c>
      <c r="G28" s="2">
        <v>240</v>
      </c>
      <c r="I28" s="2">
        <v>1752</v>
      </c>
      <c r="J28" s="2">
        <v>363</v>
      </c>
      <c r="K28" s="2">
        <v>340</v>
      </c>
      <c r="L28" s="2">
        <v>424</v>
      </c>
      <c r="M28" s="2">
        <v>251</v>
      </c>
      <c r="N28" s="2">
        <v>37</v>
      </c>
      <c r="P28" s="2">
        <v>179</v>
      </c>
      <c r="Q28" s="2">
        <v>162</v>
      </c>
      <c r="R28" s="2">
        <v>901</v>
      </c>
      <c r="S28" s="2">
        <v>1130</v>
      </c>
      <c r="T28" s="2">
        <v>2230</v>
      </c>
      <c r="U28" s="2">
        <v>1040</v>
      </c>
      <c r="V28" s="2">
        <v>1240</v>
      </c>
      <c r="W28" s="2">
        <v>661</v>
      </c>
      <c r="X28" s="2">
        <v>556</v>
      </c>
      <c r="Y28" s="2">
        <v>680</v>
      </c>
      <c r="Z28" s="4"/>
      <c r="AA28" s="2" t="s">
        <v>23</v>
      </c>
      <c r="AB28" s="2">
        <v>33</v>
      </c>
      <c r="AC28" s="2" t="s">
        <v>570</v>
      </c>
      <c r="AD28" s="7">
        <v>31849</v>
      </c>
      <c r="AE28" s="8" t="s">
        <v>571</v>
      </c>
      <c r="AF28" s="17">
        <v>4</v>
      </c>
      <c r="AG28" s="2">
        <v>581</v>
      </c>
      <c r="AH28" s="2">
        <v>339</v>
      </c>
      <c r="AJ28" s="2">
        <v>1769</v>
      </c>
      <c r="AK28" s="2">
        <v>370</v>
      </c>
      <c r="AL28" s="2">
        <v>340</v>
      </c>
      <c r="AM28" s="2">
        <v>449</v>
      </c>
      <c r="AN28" s="2">
        <v>249</v>
      </c>
      <c r="AO28" s="2">
        <v>36</v>
      </c>
      <c r="AQ28" s="2">
        <v>198</v>
      </c>
      <c r="AR28" s="2">
        <v>158</v>
      </c>
      <c r="AS28" s="2">
        <v>657</v>
      </c>
      <c r="AT28" s="2">
        <v>1070</v>
      </c>
      <c r="AU28" s="2">
        <v>5280</v>
      </c>
      <c r="AV28" s="2">
        <v>1480</v>
      </c>
      <c r="AW28" s="2">
        <v>2550</v>
      </c>
      <c r="AX28" s="2">
        <v>1310</v>
      </c>
      <c r="AY28" s="2">
        <v>874</v>
      </c>
      <c r="AZ28" s="2">
        <v>1890</v>
      </c>
      <c r="BA28" s="4"/>
      <c r="BB28" s="2" t="s">
        <v>1</v>
      </c>
    </row>
    <row r="29" spans="1:54" x14ac:dyDescent="0.2">
      <c r="A29" s="2">
        <v>27</v>
      </c>
      <c r="B29" s="2" t="s">
        <v>559</v>
      </c>
      <c r="C29" s="7">
        <f>DATE(87,2,24)</f>
        <v>31832</v>
      </c>
      <c r="D29" s="8" t="s">
        <v>560</v>
      </c>
      <c r="E29" s="17">
        <v>2.5</v>
      </c>
      <c r="F29" s="2">
        <v>544</v>
      </c>
      <c r="G29" s="2">
        <v>137</v>
      </c>
      <c r="I29" s="2">
        <v>1726</v>
      </c>
      <c r="J29" s="2">
        <v>381</v>
      </c>
      <c r="K29" s="2">
        <v>341</v>
      </c>
      <c r="L29" s="2">
        <v>406</v>
      </c>
      <c r="M29" s="2">
        <v>246</v>
      </c>
      <c r="N29" s="2">
        <v>34</v>
      </c>
      <c r="P29" s="2">
        <v>163</v>
      </c>
      <c r="Q29" s="2">
        <v>159</v>
      </c>
      <c r="R29" s="2">
        <v>1033</v>
      </c>
      <c r="S29" s="2">
        <v>728</v>
      </c>
      <c r="T29" s="2">
        <v>834</v>
      </c>
      <c r="U29" s="2">
        <v>150</v>
      </c>
      <c r="V29" s="2">
        <v>133</v>
      </c>
      <c r="W29" s="2">
        <v>242</v>
      </c>
      <c r="X29" s="2">
        <v>40</v>
      </c>
      <c r="Y29" s="2">
        <v>56</v>
      </c>
      <c r="Z29" s="4"/>
      <c r="AA29" s="2" t="s">
        <v>23</v>
      </c>
      <c r="AB29" s="2">
        <v>34</v>
      </c>
      <c r="AC29" s="2" t="s">
        <v>572</v>
      </c>
      <c r="AD29" s="7">
        <v>31853</v>
      </c>
      <c r="AE29" s="8" t="s">
        <v>573</v>
      </c>
      <c r="AF29" s="17">
        <v>8.8000000000000007</v>
      </c>
      <c r="AG29" s="2">
        <v>533</v>
      </c>
      <c r="AH29" s="2">
        <v>170</v>
      </c>
      <c r="AJ29" s="2">
        <v>1712</v>
      </c>
      <c r="AK29" s="2">
        <v>367</v>
      </c>
      <c r="AL29" s="2">
        <v>340</v>
      </c>
      <c r="AM29" s="2">
        <v>421</v>
      </c>
      <c r="AN29" s="2">
        <v>247</v>
      </c>
      <c r="AO29" s="2">
        <v>39</v>
      </c>
      <c r="AQ29" s="2">
        <v>170</v>
      </c>
      <c r="AR29" s="2">
        <v>155</v>
      </c>
      <c r="AS29" s="2">
        <v>1372</v>
      </c>
      <c r="AT29" s="2">
        <v>700</v>
      </c>
      <c r="AU29" s="2">
        <v>1970</v>
      </c>
      <c r="AV29" s="2">
        <v>129</v>
      </c>
      <c r="AW29" s="2">
        <v>99</v>
      </c>
      <c r="AX29" s="2">
        <v>799</v>
      </c>
      <c r="AY29" s="2">
        <v>26</v>
      </c>
      <c r="AZ29" s="2">
        <v>37</v>
      </c>
      <c r="BA29" s="4"/>
      <c r="BB29" s="2" t="s">
        <v>1</v>
      </c>
    </row>
    <row r="30" spans="1:54" x14ac:dyDescent="0.2">
      <c r="A30" s="2">
        <v>28</v>
      </c>
      <c r="B30" s="2" t="s">
        <v>562</v>
      </c>
      <c r="C30" s="7">
        <f>DATE(87,2,25)</f>
        <v>31833</v>
      </c>
      <c r="D30" s="2">
        <v>1115</v>
      </c>
      <c r="E30" s="17">
        <v>19.7</v>
      </c>
      <c r="F30" s="2">
        <v>528</v>
      </c>
      <c r="G30" s="2">
        <v>133</v>
      </c>
      <c r="I30" s="2">
        <v>1689</v>
      </c>
      <c r="J30" s="2">
        <v>363</v>
      </c>
      <c r="K30" s="2">
        <v>340</v>
      </c>
      <c r="L30" s="2">
        <v>408</v>
      </c>
      <c r="M30" s="2">
        <v>249</v>
      </c>
      <c r="N30" s="2">
        <v>44</v>
      </c>
      <c r="P30" s="2">
        <v>160</v>
      </c>
      <c r="Q30" s="2">
        <v>156</v>
      </c>
      <c r="R30" s="2">
        <v>563</v>
      </c>
      <c r="S30" s="2">
        <v>769</v>
      </c>
      <c r="T30" s="2">
        <v>740</v>
      </c>
      <c r="U30" s="2">
        <v>178</v>
      </c>
      <c r="V30" s="2">
        <v>199</v>
      </c>
      <c r="W30" s="2">
        <v>317</v>
      </c>
      <c r="X30" s="2">
        <v>54</v>
      </c>
      <c r="Y30" s="2">
        <v>108</v>
      </c>
      <c r="Z30" s="4"/>
      <c r="AA30" s="2" t="s">
        <v>23</v>
      </c>
      <c r="AB30" s="2">
        <v>35</v>
      </c>
      <c r="AC30" s="2" t="s">
        <v>574</v>
      </c>
      <c r="AD30" s="7">
        <v>31855</v>
      </c>
      <c r="AE30" s="8" t="s">
        <v>575</v>
      </c>
      <c r="AF30" s="17">
        <v>1.5</v>
      </c>
      <c r="AG30" s="2">
        <v>534</v>
      </c>
      <c r="AH30" s="2">
        <v>234</v>
      </c>
      <c r="AJ30" s="2">
        <v>1900</v>
      </c>
      <c r="AK30" s="2">
        <v>436</v>
      </c>
      <c r="AL30" s="2">
        <v>342</v>
      </c>
      <c r="AM30" s="2">
        <v>415</v>
      </c>
      <c r="AN30" s="2">
        <v>248</v>
      </c>
      <c r="AO30" s="2">
        <v>35</v>
      </c>
      <c r="AQ30" s="2">
        <v>171</v>
      </c>
      <c r="AR30" s="2">
        <v>155</v>
      </c>
      <c r="AS30" s="2">
        <v>1351</v>
      </c>
      <c r="AT30" s="2">
        <v>808</v>
      </c>
      <c r="AU30" s="2">
        <v>3150</v>
      </c>
      <c r="AV30" s="2">
        <v>339</v>
      </c>
      <c r="AW30" s="2">
        <v>186</v>
      </c>
      <c r="AX30" s="2">
        <v>876</v>
      </c>
      <c r="AY30" s="2">
        <v>58</v>
      </c>
      <c r="AZ30" s="2">
        <v>102</v>
      </c>
      <c r="BA30" s="4"/>
      <c r="BB30" s="2" t="s">
        <v>1</v>
      </c>
    </row>
    <row r="31" spans="1:54" x14ac:dyDescent="0.2">
      <c r="A31" s="2">
        <v>29</v>
      </c>
      <c r="B31" s="2" t="s">
        <v>564</v>
      </c>
      <c r="C31" s="7">
        <f>DATE(87,2,26)</f>
        <v>31834</v>
      </c>
      <c r="D31" s="8" t="s">
        <v>560</v>
      </c>
      <c r="E31" s="17">
        <v>5.6</v>
      </c>
      <c r="F31" s="2">
        <v>525</v>
      </c>
      <c r="G31" s="2">
        <v>141</v>
      </c>
      <c r="I31" s="2">
        <v>1768</v>
      </c>
      <c r="J31" s="2">
        <v>378</v>
      </c>
      <c r="K31" s="2">
        <v>340</v>
      </c>
      <c r="L31" s="2">
        <v>414</v>
      </c>
      <c r="M31" s="2">
        <v>250</v>
      </c>
      <c r="N31" s="2">
        <v>37</v>
      </c>
      <c r="P31" s="2">
        <v>169</v>
      </c>
      <c r="Q31" s="2">
        <v>158</v>
      </c>
      <c r="R31" s="2">
        <v>1215</v>
      </c>
      <c r="S31" s="2">
        <v>803</v>
      </c>
      <c r="T31" s="2">
        <v>475</v>
      </c>
      <c r="U31" s="2">
        <v>191</v>
      </c>
      <c r="V31" s="2">
        <v>135</v>
      </c>
      <c r="W31" s="2">
        <v>353</v>
      </c>
      <c r="X31" s="2">
        <v>64</v>
      </c>
      <c r="Y31" s="2">
        <v>100</v>
      </c>
      <c r="Z31" s="4"/>
      <c r="AA31" s="2" t="s">
        <v>23</v>
      </c>
      <c r="AB31" s="2">
        <v>36</v>
      </c>
      <c r="AC31" s="2" t="s">
        <v>576</v>
      </c>
      <c r="AD31" s="7">
        <v>31860</v>
      </c>
      <c r="AE31" s="8" t="s">
        <v>568</v>
      </c>
      <c r="AF31" s="17">
        <v>9.4</v>
      </c>
      <c r="AG31" s="2">
        <v>531</v>
      </c>
      <c r="AH31" s="2">
        <v>192</v>
      </c>
      <c r="AJ31" s="2">
        <v>1734</v>
      </c>
      <c r="AK31" s="2">
        <v>376</v>
      </c>
      <c r="AL31" s="2">
        <v>342</v>
      </c>
      <c r="AM31" s="2">
        <v>419</v>
      </c>
      <c r="AN31" s="2">
        <v>250</v>
      </c>
      <c r="AO31" s="2">
        <v>40</v>
      </c>
      <c r="AQ31" s="2">
        <v>174</v>
      </c>
      <c r="AR31" s="2">
        <v>156</v>
      </c>
      <c r="AS31" s="2">
        <v>911</v>
      </c>
      <c r="AT31" s="2">
        <v>898</v>
      </c>
      <c r="AU31" s="2">
        <v>1340</v>
      </c>
      <c r="AV31" s="2">
        <v>189</v>
      </c>
      <c r="AW31" s="2">
        <v>107</v>
      </c>
      <c r="AX31" s="2">
        <v>627</v>
      </c>
      <c r="AY31" s="2">
        <v>25</v>
      </c>
      <c r="AZ31" s="2">
        <v>28</v>
      </c>
      <c r="BA31" s="4"/>
      <c r="BB31" s="2" t="s">
        <v>1</v>
      </c>
    </row>
    <row r="32" spans="1:54" x14ac:dyDescent="0.2">
      <c r="A32" s="2">
        <v>30</v>
      </c>
      <c r="B32" s="2" t="s">
        <v>566</v>
      </c>
      <c r="C32" s="7">
        <f>DATE(87,3,3)</f>
        <v>31839</v>
      </c>
      <c r="D32" s="2">
        <v>1155</v>
      </c>
      <c r="E32" s="17">
        <v>26.7</v>
      </c>
      <c r="F32" s="2">
        <v>538</v>
      </c>
      <c r="G32" s="2">
        <v>144</v>
      </c>
      <c r="I32" s="2">
        <v>1668</v>
      </c>
      <c r="J32" s="2">
        <v>361</v>
      </c>
      <c r="K32" s="2">
        <v>340</v>
      </c>
      <c r="L32" s="2">
        <v>415</v>
      </c>
      <c r="M32" s="2">
        <v>254</v>
      </c>
      <c r="N32" s="2">
        <v>46</v>
      </c>
      <c r="P32" s="2">
        <v>166</v>
      </c>
      <c r="Q32" s="2">
        <v>154</v>
      </c>
      <c r="R32" s="2">
        <v>1097</v>
      </c>
      <c r="Z32" s="4"/>
      <c r="AA32" s="2" t="s">
        <v>23</v>
      </c>
      <c r="AB32" s="2">
        <v>37</v>
      </c>
      <c r="AC32" s="2" t="s">
        <v>577</v>
      </c>
      <c r="AD32" s="7">
        <v>31862</v>
      </c>
      <c r="AE32" s="8" t="s">
        <v>560</v>
      </c>
      <c r="AF32" s="17">
        <v>1.4</v>
      </c>
      <c r="AG32" s="2">
        <v>704</v>
      </c>
      <c r="AH32" s="2">
        <v>593</v>
      </c>
      <c r="AJ32" s="2">
        <v>2204</v>
      </c>
      <c r="AK32" s="2">
        <v>451</v>
      </c>
      <c r="AL32" s="2">
        <v>341</v>
      </c>
      <c r="AM32" s="2">
        <v>493</v>
      </c>
      <c r="AN32" s="2">
        <v>262</v>
      </c>
      <c r="AO32" s="2">
        <v>36</v>
      </c>
      <c r="AQ32" s="2">
        <v>180</v>
      </c>
      <c r="AR32" s="2">
        <v>162</v>
      </c>
      <c r="AS32" s="2">
        <v>1125</v>
      </c>
      <c r="AT32" s="2">
        <v>1480</v>
      </c>
      <c r="AU32" s="2">
        <v>9440</v>
      </c>
      <c r="AV32" s="2">
        <v>3500</v>
      </c>
      <c r="AW32" s="2">
        <v>8520</v>
      </c>
      <c r="AX32" s="2">
        <v>2680</v>
      </c>
      <c r="AY32" s="2">
        <v>4420</v>
      </c>
      <c r="AZ32" s="2">
        <v>8720</v>
      </c>
      <c r="BA32" s="4"/>
      <c r="BB32" s="2" t="s">
        <v>1</v>
      </c>
    </row>
    <row r="33" spans="1:54" x14ac:dyDescent="0.2">
      <c r="A33" s="2">
        <v>31</v>
      </c>
      <c r="B33" s="2" t="s">
        <v>567</v>
      </c>
      <c r="C33" s="7">
        <f>DATE(87,3,6)</f>
        <v>31842</v>
      </c>
      <c r="D33" s="8" t="s">
        <v>568</v>
      </c>
      <c r="E33" s="17">
        <v>7.6</v>
      </c>
      <c r="F33" s="2">
        <v>543</v>
      </c>
      <c r="G33" s="2">
        <v>181</v>
      </c>
      <c r="I33" s="2">
        <v>1722</v>
      </c>
      <c r="J33" s="2">
        <v>353</v>
      </c>
      <c r="K33" s="2">
        <v>341</v>
      </c>
      <c r="L33" s="2">
        <v>434</v>
      </c>
      <c r="M33" s="2">
        <v>254</v>
      </c>
      <c r="N33" s="2">
        <v>39</v>
      </c>
      <c r="P33" s="2">
        <v>178</v>
      </c>
      <c r="Q33" s="2">
        <v>160</v>
      </c>
      <c r="R33" s="2">
        <v>1212</v>
      </c>
      <c r="S33" s="2">
        <v>956</v>
      </c>
      <c r="T33" s="2">
        <v>1440</v>
      </c>
      <c r="U33" s="2">
        <v>372</v>
      </c>
      <c r="V33" s="2">
        <v>466</v>
      </c>
      <c r="W33" s="2">
        <v>664</v>
      </c>
      <c r="X33" s="2">
        <v>161</v>
      </c>
      <c r="Y33" s="2">
        <v>254</v>
      </c>
      <c r="Z33" s="4"/>
      <c r="AA33" s="2" t="s">
        <v>23</v>
      </c>
      <c r="AB33" s="2">
        <v>38</v>
      </c>
      <c r="AC33" s="2" t="s">
        <v>578</v>
      </c>
      <c r="AD33" s="7">
        <v>31867</v>
      </c>
      <c r="AE33" s="2">
        <v>1000</v>
      </c>
      <c r="AF33" s="17">
        <v>12.9</v>
      </c>
      <c r="AG33" s="2">
        <v>543</v>
      </c>
      <c r="AH33" s="2">
        <v>158</v>
      </c>
      <c r="AJ33" s="2">
        <v>1702</v>
      </c>
      <c r="AK33" s="2">
        <v>351</v>
      </c>
      <c r="AL33" s="2">
        <v>341</v>
      </c>
      <c r="AM33" s="2">
        <v>420</v>
      </c>
      <c r="AN33" s="2">
        <v>255</v>
      </c>
      <c r="AO33" s="2">
        <v>43</v>
      </c>
      <c r="AQ33" s="2">
        <v>174</v>
      </c>
      <c r="AR33" s="2">
        <v>156</v>
      </c>
      <c r="AS33" s="2">
        <v>1034</v>
      </c>
      <c r="AT33" s="2">
        <v>828</v>
      </c>
      <c r="AU33" s="2">
        <v>2160</v>
      </c>
      <c r="AV33" s="2">
        <v>835</v>
      </c>
      <c r="AW33" s="2">
        <v>177</v>
      </c>
      <c r="AX33" s="2">
        <v>932</v>
      </c>
      <c r="AY33" s="2">
        <v>66</v>
      </c>
      <c r="AZ33" s="2">
        <v>94</v>
      </c>
      <c r="BA33" s="4"/>
      <c r="BB33" s="2" t="s">
        <v>1</v>
      </c>
    </row>
    <row r="34" spans="1:54" x14ac:dyDescent="0.2">
      <c r="A34" s="2">
        <v>32</v>
      </c>
      <c r="B34" s="2" t="s">
        <v>569</v>
      </c>
      <c r="C34" s="7">
        <f>DATE(87,3,12)</f>
        <v>31848</v>
      </c>
      <c r="D34" s="2">
        <v>1640</v>
      </c>
      <c r="E34" s="17">
        <v>5.3</v>
      </c>
      <c r="F34" s="2">
        <v>825</v>
      </c>
      <c r="G34" s="2">
        <v>199</v>
      </c>
      <c r="I34" s="2">
        <v>1745</v>
      </c>
      <c r="J34" s="2">
        <v>367</v>
      </c>
      <c r="K34" s="2">
        <v>345</v>
      </c>
      <c r="L34" s="2">
        <v>476</v>
      </c>
      <c r="M34" s="2">
        <v>252</v>
      </c>
      <c r="N34" s="2">
        <v>36</v>
      </c>
      <c r="P34" s="2">
        <v>173</v>
      </c>
      <c r="Q34" s="2">
        <v>158</v>
      </c>
      <c r="R34" s="2">
        <v>904</v>
      </c>
      <c r="S34" s="2">
        <v>2780</v>
      </c>
      <c r="T34" s="2">
        <v>3050</v>
      </c>
      <c r="U34" s="2">
        <v>957</v>
      </c>
      <c r="V34" s="2">
        <v>1260</v>
      </c>
      <c r="W34" s="2">
        <v>1120</v>
      </c>
      <c r="X34" s="2">
        <v>310</v>
      </c>
      <c r="Y34" s="2">
        <v>682</v>
      </c>
      <c r="Z34" s="4"/>
      <c r="AA34" s="2" t="s">
        <v>23</v>
      </c>
      <c r="AB34" s="2">
        <v>39</v>
      </c>
      <c r="AC34" s="2" t="s">
        <v>579</v>
      </c>
      <c r="AD34" s="7">
        <v>31869</v>
      </c>
      <c r="AE34" s="8" t="s">
        <v>580</v>
      </c>
      <c r="AF34" s="17">
        <v>7.7</v>
      </c>
      <c r="AG34" s="2">
        <v>559</v>
      </c>
      <c r="AH34" s="2">
        <v>143</v>
      </c>
      <c r="AJ34" s="2">
        <v>1717</v>
      </c>
      <c r="AK34" s="2">
        <v>379</v>
      </c>
      <c r="AL34" s="2">
        <v>340</v>
      </c>
      <c r="AM34" s="2">
        <v>417</v>
      </c>
      <c r="AN34" s="2">
        <v>244</v>
      </c>
      <c r="AO34" s="2">
        <v>42</v>
      </c>
      <c r="AQ34" s="2">
        <v>165</v>
      </c>
      <c r="AR34" s="2">
        <v>156</v>
      </c>
      <c r="AS34" s="2">
        <v>1098</v>
      </c>
      <c r="AT34" s="2">
        <v>819</v>
      </c>
      <c r="AU34" s="2">
        <v>1200</v>
      </c>
      <c r="AV34" s="2">
        <v>407</v>
      </c>
      <c r="AW34" s="2">
        <v>167</v>
      </c>
      <c r="AX34" s="2">
        <v>479</v>
      </c>
      <c r="AY34" s="2">
        <v>45</v>
      </c>
      <c r="AZ34" s="2">
        <v>91</v>
      </c>
      <c r="BA34" s="4"/>
      <c r="BB34" s="2" t="s">
        <v>1</v>
      </c>
    </row>
    <row r="35" spans="1:54" x14ac:dyDescent="0.2">
      <c r="A35" s="2">
        <v>33</v>
      </c>
      <c r="B35" s="2" t="s">
        <v>570</v>
      </c>
      <c r="C35" s="7">
        <f>DATE(87,3,13)</f>
        <v>31849</v>
      </c>
      <c r="D35" s="8" t="s">
        <v>571</v>
      </c>
      <c r="E35" s="17">
        <v>4</v>
      </c>
      <c r="F35" s="2">
        <v>581</v>
      </c>
      <c r="G35" s="2">
        <v>339</v>
      </c>
      <c r="I35" s="2">
        <v>1769</v>
      </c>
      <c r="J35" s="2">
        <v>370</v>
      </c>
      <c r="K35" s="2">
        <v>340</v>
      </c>
      <c r="L35" s="2">
        <v>449</v>
      </c>
      <c r="M35" s="2">
        <v>249</v>
      </c>
      <c r="N35" s="2">
        <v>36</v>
      </c>
      <c r="P35" s="2">
        <v>198</v>
      </c>
      <c r="Q35" s="2">
        <v>158</v>
      </c>
      <c r="R35" s="2">
        <v>657</v>
      </c>
      <c r="S35" s="2">
        <v>1070</v>
      </c>
      <c r="T35" s="2">
        <v>5280</v>
      </c>
      <c r="U35" s="2">
        <v>1480</v>
      </c>
      <c r="V35" s="2">
        <v>2550</v>
      </c>
      <c r="W35" s="2">
        <v>1310</v>
      </c>
      <c r="X35" s="2">
        <v>874</v>
      </c>
      <c r="Y35" s="2">
        <v>1890</v>
      </c>
      <c r="Z35" s="4"/>
      <c r="AA35" s="2" t="s">
        <v>23</v>
      </c>
      <c r="AB35" s="2">
        <v>9</v>
      </c>
      <c r="AC35" s="2" t="s">
        <v>550</v>
      </c>
      <c r="AD35" s="7">
        <v>31874</v>
      </c>
      <c r="AE35" s="2">
        <v>945</v>
      </c>
      <c r="AF35" s="17">
        <v>5.0999999999999996</v>
      </c>
      <c r="AG35" s="4">
        <v>526</v>
      </c>
      <c r="AH35" s="4">
        <v>161.4</v>
      </c>
      <c r="AI35" s="4">
        <v>172.1</v>
      </c>
      <c r="AJ35" s="4">
        <v>1799.1</v>
      </c>
      <c r="AK35" s="4">
        <v>368.3</v>
      </c>
      <c r="AL35" s="4">
        <v>344</v>
      </c>
      <c r="AM35" s="4">
        <v>438</v>
      </c>
      <c r="AN35" s="4">
        <v>249</v>
      </c>
      <c r="AO35" s="4">
        <v>39</v>
      </c>
      <c r="AP35" s="4">
        <v>6</v>
      </c>
      <c r="AQ35" s="4">
        <v>201</v>
      </c>
      <c r="AR35" s="4">
        <v>171</v>
      </c>
      <c r="AS35" s="4">
        <v>1229</v>
      </c>
      <c r="AT35" s="4"/>
      <c r="AU35" s="4"/>
      <c r="AV35" s="4"/>
      <c r="AW35" s="4"/>
      <c r="AX35" s="4"/>
      <c r="AY35" s="4"/>
      <c r="AZ35" s="4"/>
      <c r="BA35" s="4"/>
      <c r="BB35" s="2" t="s">
        <v>1</v>
      </c>
    </row>
    <row r="36" spans="1:54" x14ac:dyDescent="0.2">
      <c r="A36" s="2">
        <v>34</v>
      </c>
      <c r="B36" s="2" t="s">
        <v>572</v>
      </c>
      <c r="C36" s="7">
        <f>DATE(87,3,17)</f>
        <v>31853</v>
      </c>
      <c r="D36" s="8" t="s">
        <v>573</v>
      </c>
      <c r="E36" s="17">
        <v>8.8000000000000007</v>
      </c>
      <c r="F36" s="2">
        <v>533</v>
      </c>
      <c r="G36" s="2">
        <v>170</v>
      </c>
      <c r="I36" s="2">
        <v>1712</v>
      </c>
      <c r="J36" s="2">
        <v>367</v>
      </c>
      <c r="K36" s="2">
        <v>340</v>
      </c>
      <c r="L36" s="2">
        <v>421</v>
      </c>
      <c r="M36" s="2">
        <v>247</v>
      </c>
      <c r="N36" s="2">
        <v>39</v>
      </c>
      <c r="P36" s="2">
        <v>170</v>
      </c>
      <c r="Q36" s="2">
        <v>155</v>
      </c>
      <c r="R36" s="2">
        <v>1372</v>
      </c>
      <c r="S36" s="2">
        <v>700</v>
      </c>
      <c r="T36" s="2">
        <v>1970</v>
      </c>
      <c r="U36" s="2">
        <v>129</v>
      </c>
      <c r="V36" s="2">
        <v>99</v>
      </c>
      <c r="W36" s="2">
        <v>799</v>
      </c>
      <c r="X36" s="2">
        <v>26</v>
      </c>
      <c r="Y36" s="2">
        <v>37</v>
      </c>
      <c r="Z36" s="4"/>
      <c r="AA36" s="2" t="s">
        <v>23</v>
      </c>
      <c r="AB36" s="2">
        <v>10</v>
      </c>
      <c r="AC36" s="2" t="s">
        <v>551</v>
      </c>
      <c r="AD36" s="7">
        <v>31876</v>
      </c>
      <c r="AE36" s="2">
        <v>945</v>
      </c>
      <c r="AF36" s="17">
        <v>10.8</v>
      </c>
      <c r="AG36" s="4">
        <v>518</v>
      </c>
      <c r="AH36" s="4">
        <v>106.1</v>
      </c>
      <c r="AI36" s="4">
        <v>111.9</v>
      </c>
      <c r="AJ36" s="4">
        <v>1699.5</v>
      </c>
      <c r="AK36" s="4">
        <v>353.9</v>
      </c>
      <c r="AL36" s="4">
        <v>349</v>
      </c>
      <c r="AM36" s="4">
        <v>434</v>
      </c>
      <c r="AN36" s="4">
        <v>245</v>
      </c>
      <c r="AO36" s="4">
        <v>40</v>
      </c>
      <c r="AP36" s="4"/>
      <c r="AQ36" s="4">
        <v>174</v>
      </c>
      <c r="AR36" s="4">
        <v>147</v>
      </c>
      <c r="AS36" s="4">
        <v>894</v>
      </c>
      <c r="AT36" s="4"/>
      <c r="AU36" s="4"/>
      <c r="AV36" s="4"/>
      <c r="AW36" s="4"/>
      <c r="AX36" s="4"/>
      <c r="AY36" s="4"/>
      <c r="AZ36" s="4"/>
      <c r="BA36" s="4"/>
      <c r="BB36" s="2" t="s">
        <v>1</v>
      </c>
    </row>
    <row r="37" spans="1:54" x14ac:dyDescent="0.2">
      <c r="A37" s="2">
        <v>35</v>
      </c>
      <c r="B37" s="2" t="s">
        <v>574</v>
      </c>
      <c r="C37" s="7">
        <f>DATE(87,3,19)</f>
        <v>31855</v>
      </c>
      <c r="D37" s="8" t="s">
        <v>575</v>
      </c>
      <c r="E37" s="17">
        <v>1.5</v>
      </c>
      <c r="F37" s="2">
        <v>534</v>
      </c>
      <c r="G37" s="2">
        <v>234</v>
      </c>
      <c r="I37" s="2">
        <v>1900</v>
      </c>
      <c r="J37" s="2">
        <v>436</v>
      </c>
      <c r="K37" s="2">
        <v>342</v>
      </c>
      <c r="L37" s="2">
        <v>415</v>
      </c>
      <c r="M37" s="2">
        <v>248</v>
      </c>
      <c r="N37" s="2">
        <v>35</v>
      </c>
      <c r="P37" s="2">
        <v>171</v>
      </c>
      <c r="Q37" s="2">
        <v>155</v>
      </c>
      <c r="R37" s="2">
        <v>1351</v>
      </c>
      <c r="S37" s="2">
        <v>808</v>
      </c>
      <c r="T37" s="2">
        <v>3150</v>
      </c>
      <c r="U37" s="2">
        <v>339</v>
      </c>
      <c r="V37" s="2">
        <v>186</v>
      </c>
      <c r="W37" s="2">
        <v>876</v>
      </c>
      <c r="X37" s="2">
        <v>58</v>
      </c>
      <c r="Y37" s="2">
        <v>102</v>
      </c>
      <c r="Z37" s="4"/>
      <c r="AA37" s="2" t="s">
        <v>23</v>
      </c>
      <c r="AB37" s="2">
        <v>11</v>
      </c>
      <c r="AC37" s="2" t="s">
        <v>552</v>
      </c>
      <c r="AD37" s="7">
        <v>31881</v>
      </c>
      <c r="AE37" s="2">
        <v>1040</v>
      </c>
      <c r="AF37" s="17">
        <v>15</v>
      </c>
      <c r="AG37" s="4">
        <v>517</v>
      </c>
      <c r="AH37" s="4">
        <v>111.1</v>
      </c>
      <c r="AI37" s="4">
        <v>117.8</v>
      </c>
      <c r="AJ37" s="4">
        <v>1718.7</v>
      </c>
      <c r="AK37" s="4">
        <v>381</v>
      </c>
      <c r="AL37" s="4">
        <v>343</v>
      </c>
      <c r="AM37" s="4">
        <v>435</v>
      </c>
      <c r="AN37" s="4">
        <v>247</v>
      </c>
      <c r="AO37" s="4">
        <v>45</v>
      </c>
      <c r="AP37" s="4"/>
      <c r="AQ37" s="4">
        <v>176</v>
      </c>
      <c r="AR37" s="4">
        <v>167</v>
      </c>
      <c r="AS37" s="4">
        <v>983</v>
      </c>
      <c r="AT37" s="4"/>
      <c r="AU37" s="4"/>
      <c r="AV37" s="4"/>
      <c r="AW37" s="4"/>
      <c r="AX37" s="4"/>
      <c r="AY37" s="4"/>
      <c r="AZ37" s="4"/>
      <c r="BA37" s="4"/>
      <c r="BB37" s="2" t="s">
        <v>1</v>
      </c>
    </row>
    <row r="38" spans="1:54" x14ac:dyDescent="0.2">
      <c r="A38" s="2">
        <v>36</v>
      </c>
      <c r="B38" s="2" t="s">
        <v>576</v>
      </c>
      <c r="C38" s="7">
        <f>DATE(87,3,24)</f>
        <v>31860</v>
      </c>
      <c r="D38" s="8" t="s">
        <v>568</v>
      </c>
      <c r="E38" s="17">
        <v>9.4</v>
      </c>
      <c r="F38" s="2">
        <v>531</v>
      </c>
      <c r="G38" s="2">
        <v>192</v>
      </c>
      <c r="I38" s="2">
        <v>1734</v>
      </c>
      <c r="J38" s="2">
        <v>376</v>
      </c>
      <c r="K38" s="2">
        <v>342</v>
      </c>
      <c r="L38" s="2">
        <v>419</v>
      </c>
      <c r="M38" s="2">
        <v>250</v>
      </c>
      <c r="N38" s="2">
        <v>40</v>
      </c>
      <c r="P38" s="2">
        <v>174</v>
      </c>
      <c r="Q38" s="2">
        <v>156</v>
      </c>
      <c r="R38" s="2">
        <v>911</v>
      </c>
      <c r="S38" s="2">
        <v>898</v>
      </c>
      <c r="T38" s="2">
        <v>1340</v>
      </c>
      <c r="U38" s="2">
        <v>189</v>
      </c>
      <c r="V38" s="2">
        <v>107</v>
      </c>
      <c r="W38" s="2">
        <v>627</v>
      </c>
      <c r="X38" s="2">
        <v>25</v>
      </c>
      <c r="Y38" s="2">
        <v>28</v>
      </c>
      <c r="Z38" s="4"/>
      <c r="AA38" s="2" t="s">
        <v>23</v>
      </c>
      <c r="AB38" s="2">
        <v>12</v>
      </c>
      <c r="AC38" s="2" t="s">
        <v>554</v>
      </c>
      <c r="AD38" s="7">
        <v>31883</v>
      </c>
      <c r="AE38" s="2">
        <v>945</v>
      </c>
      <c r="AF38" s="17">
        <v>5</v>
      </c>
      <c r="AG38" s="4">
        <v>499</v>
      </c>
      <c r="AH38" s="4">
        <v>205.4</v>
      </c>
      <c r="AI38" s="4">
        <v>212</v>
      </c>
      <c r="AJ38" s="4">
        <v>1807</v>
      </c>
      <c r="AK38" s="4">
        <v>401.4</v>
      </c>
      <c r="AL38" s="4">
        <v>343</v>
      </c>
      <c r="AM38" s="4">
        <v>433</v>
      </c>
      <c r="AN38" s="4">
        <v>237</v>
      </c>
      <c r="AO38" s="4">
        <v>38</v>
      </c>
      <c r="AP38" s="4">
        <v>21</v>
      </c>
      <c r="AQ38" s="4">
        <v>168</v>
      </c>
      <c r="AR38" s="4">
        <v>165</v>
      </c>
      <c r="AS38" s="4">
        <v>1124</v>
      </c>
      <c r="AT38" s="4"/>
      <c r="AU38" s="4"/>
      <c r="AV38" s="4"/>
      <c r="AW38" s="4"/>
      <c r="AX38" s="4"/>
      <c r="AY38" s="4"/>
      <c r="AZ38" s="4"/>
      <c r="BA38" s="4"/>
      <c r="BB38" s="2" t="s">
        <v>1</v>
      </c>
    </row>
    <row r="39" spans="1:54" x14ac:dyDescent="0.2">
      <c r="A39" s="2">
        <v>37</v>
      </c>
      <c r="B39" s="2" t="s">
        <v>577</v>
      </c>
      <c r="C39" s="7">
        <f>DATE(87,3,26)</f>
        <v>31862</v>
      </c>
      <c r="D39" s="8" t="s">
        <v>560</v>
      </c>
      <c r="E39" s="17">
        <v>1.4</v>
      </c>
      <c r="F39" s="2">
        <v>704</v>
      </c>
      <c r="G39" s="2">
        <v>593</v>
      </c>
      <c r="I39" s="2">
        <v>2204</v>
      </c>
      <c r="J39" s="2">
        <v>451</v>
      </c>
      <c r="K39" s="2">
        <v>341</v>
      </c>
      <c r="L39" s="2">
        <v>493</v>
      </c>
      <c r="M39" s="2">
        <v>262</v>
      </c>
      <c r="N39" s="2">
        <v>36</v>
      </c>
      <c r="P39" s="2">
        <v>180</v>
      </c>
      <c r="Q39" s="2">
        <v>162</v>
      </c>
      <c r="R39" s="2">
        <v>1125</v>
      </c>
      <c r="S39" s="2">
        <v>1480</v>
      </c>
      <c r="T39" s="2">
        <v>9440</v>
      </c>
      <c r="U39" s="2">
        <v>3500</v>
      </c>
      <c r="V39" s="2">
        <v>8520</v>
      </c>
      <c r="W39" s="2">
        <v>2680</v>
      </c>
      <c r="X39" s="2">
        <v>4420</v>
      </c>
      <c r="Y39" s="2">
        <v>8720</v>
      </c>
      <c r="Z39" s="4"/>
      <c r="AA39" s="2" t="s">
        <v>23</v>
      </c>
      <c r="AB39" s="2">
        <v>13</v>
      </c>
      <c r="AC39" s="2" t="s">
        <v>556</v>
      </c>
      <c r="AD39" s="7">
        <v>31888</v>
      </c>
      <c r="AE39" s="2">
        <v>9360</v>
      </c>
      <c r="AF39" s="17">
        <v>11.2</v>
      </c>
      <c r="AG39" s="4">
        <v>502</v>
      </c>
      <c r="AH39" s="4">
        <v>106.6</v>
      </c>
      <c r="AI39" s="4">
        <v>106.9</v>
      </c>
      <c r="AJ39" s="4">
        <v>1811.2</v>
      </c>
      <c r="AK39" s="4">
        <v>399.4</v>
      </c>
      <c r="AL39" s="4">
        <v>345</v>
      </c>
      <c r="AM39" s="4">
        <v>420</v>
      </c>
      <c r="AN39" s="4">
        <v>255</v>
      </c>
      <c r="AO39" s="4">
        <v>41</v>
      </c>
      <c r="AP39" s="4">
        <v>15</v>
      </c>
      <c r="AQ39" s="4">
        <v>174</v>
      </c>
      <c r="AR39" s="4">
        <v>170</v>
      </c>
      <c r="AS39" s="4">
        <v>1073</v>
      </c>
      <c r="AT39" s="4"/>
      <c r="AU39" s="4"/>
      <c r="AV39" s="4"/>
      <c r="AW39" s="4"/>
      <c r="AX39" s="4"/>
      <c r="AY39" s="4"/>
      <c r="AZ39" s="4"/>
      <c r="BA39" s="4"/>
      <c r="BB39" s="2" t="s">
        <v>1</v>
      </c>
    </row>
    <row r="40" spans="1:54" x14ac:dyDescent="0.2">
      <c r="A40" s="2">
        <v>38</v>
      </c>
      <c r="B40" s="2" t="s">
        <v>578</v>
      </c>
      <c r="C40" s="7">
        <f>DATE(87,3,31)</f>
        <v>31867</v>
      </c>
      <c r="D40" s="2">
        <v>1000</v>
      </c>
      <c r="E40" s="17">
        <v>12.9</v>
      </c>
      <c r="F40" s="2">
        <v>543</v>
      </c>
      <c r="G40" s="2">
        <v>158</v>
      </c>
      <c r="I40" s="2">
        <v>1702</v>
      </c>
      <c r="J40" s="2">
        <v>351</v>
      </c>
      <c r="K40" s="2">
        <v>341</v>
      </c>
      <c r="L40" s="2">
        <v>420</v>
      </c>
      <c r="M40" s="2">
        <v>255</v>
      </c>
      <c r="N40" s="2">
        <v>43</v>
      </c>
      <c r="P40" s="2">
        <v>174</v>
      </c>
      <c r="Q40" s="2">
        <v>156</v>
      </c>
      <c r="R40" s="2">
        <v>1034</v>
      </c>
      <c r="S40" s="2">
        <v>828</v>
      </c>
      <c r="T40" s="2">
        <v>2160</v>
      </c>
      <c r="U40" s="2">
        <v>835</v>
      </c>
      <c r="V40" s="2">
        <v>177</v>
      </c>
      <c r="W40" s="2">
        <v>932</v>
      </c>
      <c r="X40" s="2">
        <v>66</v>
      </c>
      <c r="Y40" s="2">
        <v>94</v>
      </c>
      <c r="Z40" s="4"/>
      <c r="AA40" s="2" t="s">
        <v>23</v>
      </c>
      <c r="AB40" s="2">
        <v>14</v>
      </c>
      <c r="AC40" s="2" t="s">
        <v>558</v>
      </c>
      <c r="AD40" s="7">
        <v>31890</v>
      </c>
      <c r="AE40" s="2">
        <v>1005</v>
      </c>
      <c r="AF40" s="17">
        <v>9.8000000000000007</v>
      </c>
      <c r="AG40" s="4">
        <v>513</v>
      </c>
      <c r="AH40" s="4">
        <v>116.2</v>
      </c>
      <c r="AI40" s="4">
        <v>117.8</v>
      </c>
      <c r="AJ40" s="4">
        <v>1698.9</v>
      </c>
      <c r="AK40" s="4">
        <v>362.8</v>
      </c>
      <c r="AL40" s="4">
        <v>343</v>
      </c>
      <c r="AM40" s="4">
        <v>424</v>
      </c>
      <c r="AN40" s="4">
        <v>248</v>
      </c>
      <c r="AO40" s="4">
        <v>38</v>
      </c>
      <c r="AP40" s="4"/>
      <c r="AQ40" s="4">
        <v>191</v>
      </c>
      <c r="AR40" s="4">
        <v>170</v>
      </c>
      <c r="AS40" s="4">
        <v>895</v>
      </c>
      <c r="AT40" s="4"/>
      <c r="AU40" s="4"/>
      <c r="AV40" s="4"/>
      <c r="AW40" s="4"/>
      <c r="AX40" s="4"/>
      <c r="AY40" s="4"/>
      <c r="AZ40" s="4"/>
      <c r="BA40" s="4"/>
      <c r="BB40" s="2" t="s">
        <v>1</v>
      </c>
    </row>
    <row r="41" spans="1:54" x14ac:dyDescent="0.2">
      <c r="A41" s="2">
        <v>39</v>
      </c>
      <c r="B41" s="2" t="s">
        <v>579</v>
      </c>
      <c r="C41" s="7">
        <f>DATE(87,4,2)</f>
        <v>31869</v>
      </c>
      <c r="D41" s="8" t="s">
        <v>580</v>
      </c>
      <c r="E41" s="17">
        <v>7.7</v>
      </c>
      <c r="F41" s="2">
        <v>559</v>
      </c>
      <c r="G41" s="2">
        <v>143</v>
      </c>
      <c r="I41" s="2">
        <v>1717</v>
      </c>
      <c r="J41" s="2">
        <v>379</v>
      </c>
      <c r="K41" s="2">
        <v>340</v>
      </c>
      <c r="L41" s="2">
        <v>417</v>
      </c>
      <c r="M41" s="2">
        <v>244</v>
      </c>
      <c r="N41" s="2">
        <v>42</v>
      </c>
      <c r="P41" s="2">
        <v>165</v>
      </c>
      <c r="Q41" s="2">
        <v>156</v>
      </c>
      <c r="R41" s="2">
        <v>1098</v>
      </c>
      <c r="S41" s="2">
        <v>819</v>
      </c>
      <c r="T41" s="2">
        <v>1200</v>
      </c>
      <c r="U41" s="2">
        <v>407</v>
      </c>
      <c r="V41" s="2">
        <v>167</v>
      </c>
      <c r="W41" s="2">
        <v>479</v>
      </c>
      <c r="X41" s="2">
        <v>45</v>
      </c>
      <c r="Y41" s="2">
        <v>91</v>
      </c>
      <c r="Z41" s="4"/>
      <c r="AA41" s="2" t="s">
        <v>23</v>
      </c>
      <c r="AB41" s="2">
        <v>15</v>
      </c>
      <c r="AC41" s="2" t="s">
        <v>561</v>
      </c>
      <c r="AD41" s="7">
        <v>31895</v>
      </c>
      <c r="AE41" s="2">
        <v>950</v>
      </c>
      <c r="AF41" s="17">
        <v>7.9</v>
      </c>
      <c r="AG41" s="4">
        <v>510</v>
      </c>
      <c r="AH41" s="4">
        <v>140</v>
      </c>
      <c r="AI41" s="4">
        <v>140.5</v>
      </c>
      <c r="AJ41" s="4">
        <v>1879.8</v>
      </c>
      <c r="AK41" s="4">
        <v>416.2</v>
      </c>
      <c r="AL41" s="4">
        <v>347</v>
      </c>
      <c r="AM41" s="4">
        <v>424</v>
      </c>
      <c r="AN41" s="4">
        <v>264</v>
      </c>
      <c r="AO41" s="4">
        <v>38</v>
      </c>
      <c r="AP41" s="4"/>
      <c r="AQ41" s="4">
        <v>170</v>
      </c>
      <c r="AR41" s="4">
        <v>167</v>
      </c>
      <c r="AS41" s="4">
        <v>1139</v>
      </c>
      <c r="AT41" s="4"/>
      <c r="AU41" s="4"/>
      <c r="AV41" s="4"/>
      <c r="AW41" s="4"/>
      <c r="AX41" s="4"/>
      <c r="AY41" s="4"/>
      <c r="AZ41" s="4"/>
      <c r="BA41" s="4"/>
      <c r="BB41" s="2" t="s">
        <v>1</v>
      </c>
    </row>
    <row r="42" spans="1:54" x14ac:dyDescent="0.2">
      <c r="A42" s="2">
        <v>40</v>
      </c>
      <c r="B42" s="2" t="s">
        <v>581</v>
      </c>
      <c r="C42" s="7">
        <f>DATE(87,5,5)</f>
        <v>31902</v>
      </c>
      <c r="D42" s="8" t="s">
        <v>430</v>
      </c>
      <c r="E42" s="17">
        <v>11.2</v>
      </c>
      <c r="F42" s="2">
        <v>531</v>
      </c>
      <c r="G42" s="2">
        <v>146</v>
      </c>
      <c r="I42" s="2">
        <v>1766</v>
      </c>
      <c r="J42" s="2">
        <v>375</v>
      </c>
      <c r="K42" s="2">
        <v>342</v>
      </c>
      <c r="L42" s="2">
        <v>415</v>
      </c>
      <c r="M42" s="2">
        <v>237</v>
      </c>
      <c r="N42" s="2">
        <v>40</v>
      </c>
      <c r="P42" s="2">
        <v>162</v>
      </c>
      <c r="Q42" s="2">
        <v>155</v>
      </c>
      <c r="R42" s="2">
        <v>889</v>
      </c>
      <c r="S42" s="2">
        <v>567</v>
      </c>
      <c r="T42" s="2">
        <v>1240</v>
      </c>
      <c r="U42" s="2">
        <v>632</v>
      </c>
      <c r="V42" s="2">
        <v>105</v>
      </c>
      <c r="W42" s="2">
        <v>511</v>
      </c>
      <c r="X42" s="2">
        <v>67</v>
      </c>
      <c r="Y42" s="2">
        <v>103</v>
      </c>
      <c r="Z42" s="4"/>
      <c r="AA42" s="2" t="s">
        <v>23</v>
      </c>
      <c r="AB42" s="2">
        <v>16</v>
      </c>
      <c r="AC42" s="2" t="s">
        <v>563</v>
      </c>
      <c r="AD42" s="7">
        <v>31897</v>
      </c>
      <c r="AE42" s="2">
        <v>840</v>
      </c>
      <c r="AF42" s="17">
        <v>6.5</v>
      </c>
      <c r="AG42" s="4">
        <v>530</v>
      </c>
      <c r="AH42" s="4">
        <v>182.2</v>
      </c>
      <c r="AI42" s="4">
        <v>186.1</v>
      </c>
      <c r="AJ42" s="4">
        <v>1791.3</v>
      </c>
      <c r="AK42" s="4">
        <v>387.7</v>
      </c>
      <c r="AL42" s="4">
        <v>345</v>
      </c>
      <c r="AM42" s="4">
        <v>423</v>
      </c>
      <c r="AN42" s="4">
        <v>274</v>
      </c>
      <c r="AO42" s="4">
        <v>37</v>
      </c>
      <c r="AP42" s="4"/>
      <c r="AQ42" s="4">
        <v>170</v>
      </c>
      <c r="AR42" s="4">
        <v>166</v>
      </c>
      <c r="AS42" s="4">
        <v>1091</v>
      </c>
      <c r="AT42" s="4"/>
      <c r="AU42" s="4"/>
      <c r="AV42" s="4"/>
      <c r="AW42" s="4"/>
      <c r="AX42" s="4"/>
      <c r="AY42" s="4"/>
      <c r="AZ42" s="4"/>
      <c r="BA42" s="4"/>
      <c r="BB42" s="2" t="s">
        <v>1</v>
      </c>
    </row>
    <row r="43" spans="1:54" x14ac:dyDescent="0.2">
      <c r="A43" s="2" t="s">
        <v>582</v>
      </c>
      <c r="B43" s="2" t="s">
        <v>583</v>
      </c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2" t="s">
        <v>23</v>
      </c>
      <c r="AB43" s="2">
        <v>40</v>
      </c>
      <c r="AC43" s="2" t="s">
        <v>581</v>
      </c>
      <c r="AD43" s="7">
        <v>31902</v>
      </c>
      <c r="AE43" s="8" t="s">
        <v>430</v>
      </c>
      <c r="AF43" s="17">
        <v>11.2</v>
      </c>
      <c r="AG43" s="2">
        <v>531</v>
      </c>
      <c r="AH43" s="2">
        <v>146</v>
      </c>
      <c r="AJ43" s="2">
        <v>1766</v>
      </c>
      <c r="AK43" s="2">
        <v>375</v>
      </c>
      <c r="AL43" s="2">
        <v>342</v>
      </c>
      <c r="AM43" s="2">
        <v>415</v>
      </c>
      <c r="AN43" s="2">
        <v>237</v>
      </c>
      <c r="AO43" s="2">
        <v>40</v>
      </c>
      <c r="AQ43" s="2">
        <v>162</v>
      </c>
      <c r="AR43" s="2">
        <v>155</v>
      </c>
      <c r="AS43" s="2">
        <v>889</v>
      </c>
      <c r="AT43" s="2">
        <v>567</v>
      </c>
      <c r="AU43" s="2">
        <v>1240</v>
      </c>
      <c r="AV43" s="2">
        <v>632</v>
      </c>
      <c r="AW43" s="2">
        <v>105</v>
      </c>
      <c r="AX43" s="2">
        <v>511</v>
      </c>
      <c r="AY43" s="2">
        <v>67</v>
      </c>
      <c r="AZ43" s="2">
        <v>103</v>
      </c>
      <c r="BA43" s="4"/>
      <c r="BB43" s="2" t="s">
        <v>1</v>
      </c>
    </row>
    <row r="44" spans="1:54" x14ac:dyDescent="0.2">
      <c r="A44" s="2">
        <v>1</v>
      </c>
      <c r="B44" s="2" t="s">
        <v>584</v>
      </c>
      <c r="C44" s="7">
        <f>DATE(87,8,4)</f>
        <v>31993</v>
      </c>
      <c r="D44" s="2">
        <v>1155</v>
      </c>
      <c r="E44" s="17">
        <v>19.8</v>
      </c>
      <c r="F44" s="4">
        <v>523</v>
      </c>
      <c r="G44" s="4">
        <v>130</v>
      </c>
      <c r="H44" s="4">
        <v>127</v>
      </c>
      <c r="I44" s="4">
        <v>1683</v>
      </c>
      <c r="J44" s="4">
        <v>346</v>
      </c>
      <c r="K44" s="4">
        <v>339</v>
      </c>
      <c r="L44" s="4">
        <v>406</v>
      </c>
      <c r="M44" s="4">
        <v>262</v>
      </c>
      <c r="N44" s="4">
        <v>46</v>
      </c>
      <c r="O44" s="4"/>
      <c r="P44" s="4">
        <v>160</v>
      </c>
      <c r="Q44" s="4">
        <v>159</v>
      </c>
      <c r="R44" s="4">
        <v>908</v>
      </c>
      <c r="S44" s="4">
        <v>413</v>
      </c>
      <c r="T44" s="4">
        <v>836</v>
      </c>
      <c r="U44" s="4">
        <v>149</v>
      </c>
      <c r="V44" s="4">
        <v>90</v>
      </c>
      <c r="W44" s="4">
        <v>260</v>
      </c>
      <c r="X44" s="4">
        <v>39</v>
      </c>
      <c r="Y44" s="4">
        <v>39</v>
      </c>
      <c r="Z44" s="4"/>
      <c r="AA44" s="2" t="s">
        <v>23</v>
      </c>
      <c r="AB44" s="2">
        <v>1</v>
      </c>
      <c r="AC44" s="2" t="s">
        <v>584</v>
      </c>
      <c r="AD44" s="7">
        <v>31993</v>
      </c>
      <c r="AE44" s="2">
        <v>1155</v>
      </c>
      <c r="AF44" s="17">
        <v>19.8</v>
      </c>
      <c r="AG44" s="4">
        <v>523</v>
      </c>
      <c r="AH44" s="4">
        <v>130</v>
      </c>
      <c r="AI44" s="4">
        <v>127</v>
      </c>
      <c r="AJ44" s="4">
        <v>1683</v>
      </c>
      <c r="AK44" s="4">
        <v>346</v>
      </c>
      <c r="AL44" s="4">
        <v>339</v>
      </c>
      <c r="AM44" s="4">
        <v>406</v>
      </c>
      <c r="AN44" s="4">
        <v>262</v>
      </c>
      <c r="AO44" s="4">
        <v>46</v>
      </c>
      <c r="AP44" s="4"/>
      <c r="AQ44" s="4">
        <v>160</v>
      </c>
      <c r="AR44" s="4">
        <v>159</v>
      </c>
      <c r="AS44" s="4">
        <v>908</v>
      </c>
      <c r="AT44" s="4">
        <v>413</v>
      </c>
      <c r="AU44" s="4">
        <v>836</v>
      </c>
      <c r="AV44" s="4">
        <v>149</v>
      </c>
      <c r="AW44" s="4">
        <v>90</v>
      </c>
      <c r="AX44" s="4">
        <v>260</v>
      </c>
      <c r="AY44" s="4">
        <v>39</v>
      </c>
      <c r="AZ44" s="4">
        <v>39</v>
      </c>
      <c r="BA44" s="4"/>
      <c r="BB44" s="2" t="s">
        <v>1</v>
      </c>
    </row>
    <row r="45" spans="1:54" x14ac:dyDescent="0.2">
      <c r="A45" s="2">
        <v>2</v>
      </c>
      <c r="B45" s="2" t="s">
        <v>585</v>
      </c>
      <c r="C45" s="7">
        <f>DATE(87,8,5)</f>
        <v>31994</v>
      </c>
      <c r="D45" s="2">
        <v>1150</v>
      </c>
      <c r="E45" s="17">
        <v>21.3</v>
      </c>
      <c r="F45" s="4">
        <v>532</v>
      </c>
      <c r="G45" s="4">
        <v>143</v>
      </c>
      <c r="H45" s="4">
        <v>128</v>
      </c>
      <c r="I45" s="4">
        <v>1698</v>
      </c>
      <c r="J45" s="4">
        <v>344</v>
      </c>
      <c r="K45" s="4">
        <v>340</v>
      </c>
      <c r="L45" s="4">
        <v>404</v>
      </c>
      <c r="M45" s="4">
        <v>257</v>
      </c>
      <c r="N45" s="4">
        <v>51</v>
      </c>
      <c r="O45" s="4"/>
      <c r="P45" s="4">
        <v>160</v>
      </c>
      <c r="Q45" s="4">
        <v>158</v>
      </c>
      <c r="R45" s="4">
        <v>854</v>
      </c>
      <c r="S45" s="4">
        <v>500</v>
      </c>
      <c r="T45" s="4">
        <v>737</v>
      </c>
      <c r="U45" s="4">
        <v>185</v>
      </c>
      <c r="V45" s="4">
        <v>196</v>
      </c>
      <c r="W45" s="4">
        <v>309</v>
      </c>
      <c r="X45" s="4">
        <v>83</v>
      </c>
      <c r="Y45" s="4">
        <v>84</v>
      </c>
      <c r="Z45" s="4"/>
      <c r="AA45" s="2" t="s">
        <v>23</v>
      </c>
      <c r="AB45" s="2">
        <v>2</v>
      </c>
      <c r="AC45" s="2" t="s">
        <v>585</v>
      </c>
      <c r="AD45" s="7">
        <v>31994</v>
      </c>
      <c r="AE45" s="2">
        <v>1150</v>
      </c>
      <c r="AF45" s="17">
        <v>21.3</v>
      </c>
      <c r="AG45" s="4">
        <v>532</v>
      </c>
      <c r="AH45" s="4">
        <v>143</v>
      </c>
      <c r="AI45" s="4">
        <v>128</v>
      </c>
      <c r="AJ45" s="4">
        <v>1698</v>
      </c>
      <c r="AK45" s="4">
        <v>344</v>
      </c>
      <c r="AL45" s="4">
        <v>340</v>
      </c>
      <c r="AM45" s="4">
        <v>404</v>
      </c>
      <c r="AN45" s="4">
        <v>257</v>
      </c>
      <c r="AO45" s="4">
        <v>51</v>
      </c>
      <c r="AP45" s="4"/>
      <c r="AQ45" s="4">
        <v>160</v>
      </c>
      <c r="AR45" s="4">
        <v>158</v>
      </c>
      <c r="AS45" s="4">
        <v>854</v>
      </c>
      <c r="AT45" s="4">
        <v>500</v>
      </c>
      <c r="AU45" s="4">
        <v>737</v>
      </c>
      <c r="AV45" s="4">
        <v>185</v>
      </c>
      <c r="AW45" s="4">
        <v>196</v>
      </c>
      <c r="AX45" s="4">
        <v>309</v>
      </c>
      <c r="AY45" s="4">
        <v>83</v>
      </c>
      <c r="AZ45" s="4">
        <v>84</v>
      </c>
      <c r="BA45" s="4"/>
    </row>
    <row r="46" spans="1:54" x14ac:dyDescent="0.2">
      <c r="A46" s="2">
        <v>3</v>
      </c>
      <c r="B46" s="2" t="s">
        <v>586</v>
      </c>
      <c r="C46" s="7">
        <f>DATE(87,8,6)</f>
        <v>31995</v>
      </c>
      <c r="D46" s="2">
        <v>1200</v>
      </c>
      <c r="E46" s="17">
        <v>18</v>
      </c>
      <c r="F46" s="4">
        <v>514</v>
      </c>
      <c r="G46" s="4">
        <v>113</v>
      </c>
      <c r="H46" s="4">
        <v>115</v>
      </c>
      <c r="I46" s="4">
        <v>1683</v>
      </c>
      <c r="J46" s="4">
        <v>346</v>
      </c>
      <c r="K46" s="4">
        <v>340</v>
      </c>
      <c r="L46" s="4">
        <v>411</v>
      </c>
      <c r="M46" s="4">
        <v>252</v>
      </c>
      <c r="N46" s="4">
        <v>43</v>
      </c>
      <c r="O46" s="4"/>
      <c r="P46" s="4">
        <v>158</v>
      </c>
      <c r="Q46" s="4">
        <v>156</v>
      </c>
      <c r="R46" s="4">
        <v>890</v>
      </c>
      <c r="S46" s="4">
        <v>428</v>
      </c>
      <c r="T46" s="4">
        <v>508</v>
      </c>
      <c r="U46" s="4">
        <v>160</v>
      </c>
      <c r="V46" s="4">
        <v>90</v>
      </c>
      <c r="W46" s="4">
        <v>200</v>
      </c>
      <c r="X46" s="4">
        <v>44</v>
      </c>
      <c r="Y46" s="4">
        <v>59</v>
      </c>
      <c r="Z46" s="4"/>
      <c r="AB46" s="2">
        <v>3</v>
      </c>
      <c r="AC46" s="2" t="s">
        <v>586</v>
      </c>
      <c r="AD46" s="7">
        <v>31995</v>
      </c>
      <c r="AE46" s="2">
        <v>1200</v>
      </c>
      <c r="AF46" s="17">
        <v>18</v>
      </c>
      <c r="AG46" s="4">
        <v>514</v>
      </c>
      <c r="AH46" s="4">
        <v>113</v>
      </c>
      <c r="AI46" s="4">
        <v>115</v>
      </c>
      <c r="AJ46" s="4">
        <v>1683</v>
      </c>
      <c r="AK46" s="4">
        <v>346</v>
      </c>
      <c r="AL46" s="4">
        <v>340</v>
      </c>
      <c r="AM46" s="4">
        <v>411</v>
      </c>
      <c r="AN46" s="4">
        <v>252</v>
      </c>
      <c r="AO46" s="4">
        <v>43</v>
      </c>
      <c r="AP46" s="4"/>
      <c r="AQ46" s="4">
        <v>158</v>
      </c>
      <c r="AR46" s="4">
        <v>156</v>
      </c>
      <c r="AS46" s="4">
        <v>890</v>
      </c>
      <c r="AT46" s="4">
        <v>428</v>
      </c>
      <c r="AU46" s="4">
        <v>508</v>
      </c>
      <c r="AV46" s="4">
        <v>160</v>
      </c>
      <c r="AW46" s="4">
        <v>90</v>
      </c>
      <c r="AX46" s="4">
        <v>200</v>
      </c>
      <c r="AY46" s="4">
        <v>44</v>
      </c>
      <c r="AZ46" s="4">
        <v>59</v>
      </c>
      <c r="BA46" s="4"/>
    </row>
    <row r="47" spans="1:54" x14ac:dyDescent="0.2">
      <c r="A47" s="2">
        <v>4</v>
      </c>
      <c r="B47" s="2" t="s">
        <v>587</v>
      </c>
      <c r="C47" s="7">
        <f>DATE(87,8,7)</f>
        <v>31996</v>
      </c>
      <c r="D47" s="2">
        <v>1115</v>
      </c>
      <c r="E47" s="17">
        <v>19.100000000000001</v>
      </c>
      <c r="F47" s="4">
        <v>520</v>
      </c>
      <c r="G47" s="4">
        <v>125</v>
      </c>
      <c r="H47" s="4">
        <v>134</v>
      </c>
      <c r="I47" s="4">
        <v>1677</v>
      </c>
      <c r="J47" s="4">
        <v>345</v>
      </c>
      <c r="K47" s="4">
        <v>341</v>
      </c>
      <c r="L47" s="4">
        <v>414</v>
      </c>
      <c r="M47" s="4">
        <v>256</v>
      </c>
      <c r="N47" s="4">
        <v>49</v>
      </c>
      <c r="O47" s="4"/>
      <c r="P47" s="4">
        <v>160</v>
      </c>
      <c r="Q47" s="4">
        <v>158</v>
      </c>
      <c r="R47" s="4">
        <v>791</v>
      </c>
      <c r="S47" s="4">
        <v>484</v>
      </c>
      <c r="T47" s="4">
        <v>744</v>
      </c>
      <c r="U47" s="4">
        <v>207</v>
      </c>
      <c r="V47" s="4">
        <v>107</v>
      </c>
      <c r="W47" s="4">
        <v>277</v>
      </c>
      <c r="X47" s="4">
        <v>56</v>
      </c>
      <c r="Y47" s="4">
        <v>66</v>
      </c>
      <c r="Z47" s="4"/>
      <c r="AB47" s="2">
        <v>4</v>
      </c>
      <c r="AC47" s="2" t="s">
        <v>587</v>
      </c>
      <c r="AD47" s="7">
        <v>31996</v>
      </c>
      <c r="AE47" s="2">
        <v>1115</v>
      </c>
      <c r="AF47" s="17">
        <v>19.100000000000001</v>
      </c>
      <c r="AG47" s="4">
        <v>520</v>
      </c>
      <c r="AH47" s="4">
        <v>125</v>
      </c>
      <c r="AI47" s="4">
        <v>134</v>
      </c>
      <c r="AJ47" s="4">
        <v>1677</v>
      </c>
      <c r="AK47" s="4">
        <v>345</v>
      </c>
      <c r="AL47" s="4">
        <v>341</v>
      </c>
      <c r="AM47" s="4">
        <v>414</v>
      </c>
      <c r="AN47" s="4">
        <v>256</v>
      </c>
      <c r="AO47" s="4">
        <v>49</v>
      </c>
      <c r="AP47" s="4"/>
      <c r="AQ47" s="4">
        <v>160</v>
      </c>
      <c r="AR47" s="4">
        <v>158</v>
      </c>
      <c r="AS47" s="4">
        <v>791</v>
      </c>
      <c r="AT47" s="4">
        <v>484</v>
      </c>
      <c r="AU47" s="4">
        <v>744</v>
      </c>
      <c r="AV47" s="4">
        <v>207</v>
      </c>
      <c r="AW47" s="4">
        <v>107</v>
      </c>
      <c r="AX47" s="4">
        <v>277</v>
      </c>
      <c r="AY47" s="4">
        <v>56</v>
      </c>
      <c r="AZ47" s="4">
        <v>66</v>
      </c>
      <c r="BA47" s="4"/>
    </row>
    <row r="48" spans="1:54" x14ac:dyDescent="0.2">
      <c r="A48" s="2">
        <v>5</v>
      </c>
      <c r="B48" s="2" t="s">
        <v>588</v>
      </c>
      <c r="C48" s="7">
        <f>DATE(87,8,8)</f>
        <v>31997</v>
      </c>
      <c r="D48" s="8" t="s">
        <v>589</v>
      </c>
      <c r="E48" s="17">
        <v>9.6999999999999993</v>
      </c>
      <c r="F48" s="4">
        <v>535</v>
      </c>
      <c r="G48" s="4">
        <v>116</v>
      </c>
      <c r="H48" s="4">
        <v>115</v>
      </c>
      <c r="I48" s="4">
        <v>1695</v>
      </c>
      <c r="J48" s="4">
        <v>362</v>
      </c>
      <c r="K48" s="4">
        <v>340</v>
      </c>
      <c r="L48" s="4">
        <v>423</v>
      </c>
      <c r="M48" s="4">
        <v>254</v>
      </c>
      <c r="N48" s="4">
        <v>40</v>
      </c>
      <c r="O48" s="4"/>
      <c r="P48" s="4">
        <v>158</v>
      </c>
      <c r="Q48" s="4">
        <v>157</v>
      </c>
      <c r="R48" s="4">
        <v>1042</v>
      </c>
      <c r="S48" s="4">
        <v>630</v>
      </c>
      <c r="T48" s="4">
        <v>763</v>
      </c>
      <c r="U48" s="4">
        <v>280</v>
      </c>
      <c r="V48" s="4">
        <v>371</v>
      </c>
      <c r="W48" s="4">
        <v>204</v>
      </c>
      <c r="X48" s="4">
        <v>167</v>
      </c>
      <c r="Y48" s="4">
        <v>181</v>
      </c>
      <c r="Z48" s="4"/>
      <c r="AB48" s="2">
        <v>5</v>
      </c>
      <c r="AC48" s="2" t="s">
        <v>588</v>
      </c>
      <c r="AD48" s="7">
        <v>31997</v>
      </c>
      <c r="AE48" s="8" t="s">
        <v>589</v>
      </c>
      <c r="AF48" s="17">
        <v>9.6999999999999993</v>
      </c>
      <c r="AG48" s="4">
        <v>535</v>
      </c>
      <c r="AH48" s="4">
        <v>116</v>
      </c>
      <c r="AI48" s="4">
        <v>115</v>
      </c>
      <c r="AJ48" s="4">
        <v>1695</v>
      </c>
      <c r="AK48" s="4">
        <v>362</v>
      </c>
      <c r="AL48" s="4">
        <v>340</v>
      </c>
      <c r="AM48" s="4">
        <v>423</v>
      </c>
      <c r="AN48" s="4">
        <v>254</v>
      </c>
      <c r="AO48" s="4">
        <v>40</v>
      </c>
      <c r="AP48" s="4"/>
      <c r="AQ48" s="4">
        <v>158</v>
      </c>
      <c r="AR48" s="4">
        <v>157</v>
      </c>
      <c r="AS48" s="4">
        <v>1042</v>
      </c>
      <c r="AT48" s="4">
        <v>630</v>
      </c>
      <c r="AU48" s="4">
        <v>763</v>
      </c>
      <c r="AV48" s="4">
        <v>280</v>
      </c>
      <c r="AW48" s="4">
        <v>371</v>
      </c>
      <c r="AX48" s="4">
        <v>204</v>
      </c>
      <c r="AY48" s="4">
        <v>167</v>
      </c>
      <c r="AZ48" s="4">
        <v>181</v>
      </c>
      <c r="BA48" s="4"/>
    </row>
    <row r="49" spans="1:53" x14ac:dyDescent="0.2">
      <c r="A49" s="2">
        <v>6</v>
      </c>
      <c r="B49" s="2" t="s">
        <v>590</v>
      </c>
      <c r="C49" s="7">
        <f>DATE(87,8,8)</f>
        <v>31997</v>
      </c>
      <c r="D49" s="2">
        <v>1215</v>
      </c>
      <c r="E49" s="17">
        <v>16</v>
      </c>
      <c r="F49" s="4">
        <v>542</v>
      </c>
      <c r="G49" s="4">
        <v>135</v>
      </c>
      <c r="H49" s="4">
        <v>145</v>
      </c>
      <c r="I49" s="4">
        <v>1690</v>
      </c>
      <c r="J49" s="4">
        <v>346</v>
      </c>
      <c r="K49" s="4">
        <v>340</v>
      </c>
      <c r="L49" s="4">
        <v>419</v>
      </c>
      <c r="M49" s="4">
        <v>261</v>
      </c>
      <c r="N49" s="4">
        <v>45</v>
      </c>
      <c r="O49" s="4"/>
      <c r="P49" s="4">
        <v>157</v>
      </c>
      <c r="Q49" s="4">
        <v>156</v>
      </c>
      <c r="R49" s="4">
        <v>776</v>
      </c>
      <c r="S49" s="4">
        <v>528</v>
      </c>
      <c r="T49" s="4">
        <v>1020</v>
      </c>
      <c r="U49" s="4">
        <v>217</v>
      </c>
      <c r="V49" s="4">
        <v>336</v>
      </c>
      <c r="W49" s="4">
        <v>316</v>
      </c>
      <c r="X49" s="4">
        <v>88</v>
      </c>
      <c r="Y49" s="4">
        <v>104</v>
      </c>
      <c r="Z49" s="4"/>
      <c r="AB49" s="2">
        <v>6</v>
      </c>
      <c r="AC49" s="2" t="s">
        <v>590</v>
      </c>
      <c r="AD49" s="7">
        <v>31997</v>
      </c>
      <c r="AE49" s="2">
        <v>1215</v>
      </c>
      <c r="AF49" s="17">
        <v>16</v>
      </c>
      <c r="AG49" s="4">
        <v>542</v>
      </c>
      <c r="AH49" s="4">
        <v>135</v>
      </c>
      <c r="AI49" s="4">
        <v>145</v>
      </c>
      <c r="AJ49" s="4">
        <v>1690</v>
      </c>
      <c r="AK49" s="4">
        <v>346</v>
      </c>
      <c r="AL49" s="4">
        <v>340</v>
      </c>
      <c r="AM49" s="4">
        <v>419</v>
      </c>
      <c r="AN49" s="4">
        <v>261</v>
      </c>
      <c r="AO49" s="4">
        <v>45</v>
      </c>
      <c r="AP49" s="4"/>
      <c r="AQ49" s="4">
        <v>157</v>
      </c>
      <c r="AR49" s="4">
        <v>156</v>
      </c>
      <c r="AS49" s="4">
        <v>776</v>
      </c>
      <c r="AT49" s="4">
        <v>528</v>
      </c>
      <c r="AU49" s="4">
        <v>1020</v>
      </c>
      <c r="AV49" s="4">
        <v>217</v>
      </c>
      <c r="AW49" s="4">
        <v>336</v>
      </c>
      <c r="AX49" s="4">
        <v>316</v>
      </c>
      <c r="AY49" s="4">
        <v>88</v>
      </c>
      <c r="AZ49" s="4">
        <v>104</v>
      </c>
      <c r="BA49" s="4"/>
    </row>
    <row r="50" spans="1:53" x14ac:dyDescent="0.2">
      <c r="A50" s="2">
        <v>7</v>
      </c>
      <c r="B50" s="2" t="s">
        <v>591</v>
      </c>
      <c r="C50" s="7">
        <f>DATE(87,9,3)</f>
        <v>32023</v>
      </c>
      <c r="D50" s="2">
        <v>1200</v>
      </c>
      <c r="E50" s="17">
        <v>15.8</v>
      </c>
      <c r="F50" s="4">
        <v>558</v>
      </c>
      <c r="G50" s="4">
        <v>153</v>
      </c>
      <c r="H50" s="4">
        <v>160</v>
      </c>
      <c r="I50" s="4">
        <v>1694</v>
      </c>
      <c r="J50" s="4">
        <v>392</v>
      </c>
      <c r="K50" s="4">
        <v>340</v>
      </c>
      <c r="L50" s="4">
        <v>424</v>
      </c>
      <c r="M50" s="4">
        <v>256</v>
      </c>
      <c r="N50" s="4">
        <v>43</v>
      </c>
      <c r="O50" s="4"/>
      <c r="P50" s="4">
        <v>156</v>
      </c>
      <c r="Q50" s="4">
        <v>157</v>
      </c>
      <c r="R50" s="4">
        <v>798</v>
      </c>
      <c r="S50" s="4">
        <v>614</v>
      </c>
      <c r="T50" s="4">
        <v>1810</v>
      </c>
      <c r="U50" s="4">
        <v>397</v>
      </c>
      <c r="V50" s="4">
        <v>170</v>
      </c>
      <c r="W50" s="4">
        <v>458</v>
      </c>
      <c r="X50" s="4">
        <v>48</v>
      </c>
      <c r="Y50" s="4">
        <v>79</v>
      </c>
      <c r="Z50" s="4"/>
      <c r="AB50" s="2">
        <v>7</v>
      </c>
      <c r="AC50" s="2" t="s">
        <v>591</v>
      </c>
      <c r="AD50" s="7">
        <v>32023</v>
      </c>
      <c r="AE50" s="2">
        <v>1200</v>
      </c>
      <c r="AF50" s="17">
        <v>15.8</v>
      </c>
      <c r="AG50" s="4">
        <v>558</v>
      </c>
      <c r="AH50" s="4">
        <v>153</v>
      </c>
      <c r="AI50" s="4">
        <v>160</v>
      </c>
      <c r="AJ50" s="4">
        <v>1694</v>
      </c>
      <c r="AK50" s="4">
        <v>392</v>
      </c>
      <c r="AL50" s="4">
        <v>340</v>
      </c>
      <c r="AM50" s="4">
        <v>424</v>
      </c>
      <c r="AN50" s="4">
        <v>256</v>
      </c>
      <c r="AO50" s="4">
        <v>43</v>
      </c>
      <c r="AP50" s="4"/>
      <c r="AQ50" s="4">
        <v>156</v>
      </c>
      <c r="AR50" s="4">
        <v>157</v>
      </c>
      <c r="AS50" s="4">
        <v>798</v>
      </c>
      <c r="AT50" s="4">
        <v>614</v>
      </c>
      <c r="AU50" s="4">
        <v>1810</v>
      </c>
      <c r="AV50" s="4">
        <v>397</v>
      </c>
      <c r="AW50" s="4">
        <v>170</v>
      </c>
      <c r="AX50" s="4">
        <v>458</v>
      </c>
      <c r="AY50" s="4">
        <v>48</v>
      </c>
      <c r="AZ50" s="4">
        <v>79</v>
      </c>
      <c r="BA50" s="4"/>
    </row>
    <row r="51" spans="1:53" x14ac:dyDescent="0.2">
      <c r="A51" s="2">
        <v>8</v>
      </c>
      <c r="B51" s="2" t="s">
        <v>592</v>
      </c>
      <c r="C51" s="7">
        <f>DATE(87,9,10)</f>
        <v>32030</v>
      </c>
      <c r="D51" s="2">
        <v>1205</v>
      </c>
      <c r="E51" s="17">
        <v>24.7</v>
      </c>
      <c r="F51" s="4">
        <v>546</v>
      </c>
      <c r="G51" s="4">
        <v>128</v>
      </c>
      <c r="H51" s="4">
        <v>137</v>
      </c>
      <c r="I51" s="4">
        <v>1684</v>
      </c>
      <c r="J51" s="4">
        <v>340</v>
      </c>
      <c r="K51" s="4">
        <v>341</v>
      </c>
      <c r="L51" s="4">
        <v>427</v>
      </c>
      <c r="M51" s="4">
        <v>261</v>
      </c>
      <c r="N51" s="4">
        <v>52</v>
      </c>
      <c r="O51" s="4"/>
      <c r="P51" s="4">
        <v>157</v>
      </c>
      <c r="Q51" s="4">
        <v>158</v>
      </c>
      <c r="R51" s="4">
        <v>950</v>
      </c>
      <c r="S51" s="4">
        <v>637</v>
      </c>
      <c r="T51" s="4">
        <v>772</v>
      </c>
      <c r="U51" s="4">
        <v>305</v>
      </c>
      <c r="V51" s="4">
        <v>200</v>
      </c>
      <c r="W51" s="4">
        <v>361</v>
      </c>
      <c r="X51" s="4">
        <v>142</v>
      </c>
      <c r="Y51" s="4">
        <v>216</v>
      </c>
      <c r="Z51" s="4"/>
      <c r="AB51" s="2">
        <v>8</v>
      </c>
      <c r="AC51" s="2" t="s">
        <v>592</v>
      </c>
      <c r="AD51" s="7">
        <v>32030</v>
      </c>
      <c r="AE51" s="2">
        <v>1205</v>
      </c>
      <c r="AF51" s="17">
        <v>24.7</v>
      </c>
      <c r="AG51" s="4">
        <v>546</v>
      </c>
      <c r="AH51" s="4">
        <v>128</v>
      </c>
      <c r="AI51" s="4">
        <v>137</v>
      </c>
      <c r="AJ51" s="4">
        <v>1684</v>
      </c>
      <c r="AK51" s="4">
        <v>340</v>
      </c>
      <c r="AL51" s="4">
        <v>341</v>
      </c>
      <c r="AM51" s="4">
        <v>427</v>
      </c>
      <c r="AN51" s="4">
        <v>261</v>
      </c>
      <c r="AO51" s="4">
        <v>52</v>
      </c>
      <c r="AP51" s="4"/>
      <c r="AQ51" s="4">
        <v>157</v>
      </c>
      <c r="AR51" s="4">
        <v>158</v>
      </c>
      <c r="AS51" s="4">
        <v>950</v>
      </c>
      <c r="AT51" s="4">
        <v>637</v>
      </c>
      <c r="AU51" s="4">
        <v>772</v>
      </c>
      <c r="AV51" s="4">
        <v>305</v>
      </c>
      <c r="AW51" s="4">
        <v>200</v>
      </c>
      <c r="AX51" s="4">
        <v>361</v>
      </c>
      <c r="AY51" s="4">
        <v>142</v>
      </c>
      <c r="AZ51" s="4">
        <v>216</v>
      </c>
      <c r="BA51" s="4"/>
    </row>
    <row r="52" spans="1:53" x14ac:dyDescent="0.2">
      <c r="A52" s="2">
        <v>9</v>
      </c>
      <c r="B52" s="2" t="s">
        <v>593</v>
      </c>
      <c r="C52" s="7">
        <f>DATE(87,9,15)</f>
        <v>32035</v>
      </c>
      <c r="D52" s="2">
        <v>1210</v>
      </c>
      <c r="E52" s="17">
        <v>32.4</v>
      </c>
      <c r="F52" s="4">
        <v>561</v>
      </c>
      <c r="G52" s="4">
        <v>154</v>
      </c>
      <c r="H52" s="4">
        <v>166</v>
      </c>
      <c r="I52" s="4">
        <v>1724</v>
      </c>
      <c r="J52" s="4">
        <v>363</v>
      </c>
      <c r="K52" s="4">
        <v>341</v>
      </c>
      <c r="L52" s="4">
        <v>420</v>
      </c>
      <c r="M52" s="4">
        <v>257</v>
      </c>
      <c r="N52" s="4">
        <v>50</v>
      </c>
      <c r="O52" s="4">
        <v>8</v>
      </c>
      <c r="P52" s="4">
        <v>159</v>
      </c>
      <c r="Q52" s="4">
        <v>157</v>
      </c>
      <c r="R52" s="4">
        <v>908</v>
      </c>
      <c r="S52" s="4">
        <v>878</v>
      </c>
      <c r="T52" s="4">
        <v>585</v>
      </c>
      <c r="U52" s="4">
        <v>316</v>
      </c>
      <c r="V52" s="4">
        <v>253</v>
      </c>
      <c r="W52" s="4">
        <v>344</v>
      </c>
      <c r="X52" s="4">
        <v>129</v>
      </c>
      <c r="Y52" s="4">
        <v>268</v>
      </c>
      <c r="Z52" s="4"/>
      <c r="AB52" s="2">
        <v>9</v>
      </c>
      <c r="AC52" s="2" t="s">
        <v>593</v>
      </c>
      <c r="AD52" s="7">
        <v>32035</v>
      </c>
      <c r="AE52" s="2">
        <v>1210</v>
      </c>
      <c r="AF52" s="17">
        <v>32.4</v>
      </c>
      <c r="AG52" s="4">
        <v>561</v>
      </c>
      <c r="AH52" s="4">
        <v>154</v>
      </c>
      <c r="AI52" s="4">
        <v>166</v>
      </c>
      <c r="AJ52" s="4">
        <v>1724</v>
      </c>
      <c r="AK52" s="4">
        <v>363</v>
      </c>
      <c r="AL52" s="4">
        <v>341</v>
      </c>
      <c r="AM52" s="4">
        <v>420</v>
      </c>
      <c r="AN52" s="4">
        <v>257</v>
      </c>
      <c r="AO52" s="4">
        <v>50</v>
      </c>
      <c r="AP52" s="4">
        <v>8</v>
      </c>
      <c r="AQ52" s="4">
        <v>159</v>
      </c>
      <c r="AR52" s="4">
        <v>157</v>
      </c>
      <c r="AS52" s="4">
        <v>908</v>
      </c>
      <c r="AT52" s="4">
        <v>878</v>
      </c>
      <c r="AU52" s="4">
        <v>585</v>
      </c>
      <c r="AV52" s="4">
        <v>316</v>
      </c>
      <c r="AW52" s="4">
        <v>253</v>
      </c>
      <c r="AX52" s="4">
        <v>344</v>
      </c>
      <c r="AY52" s="4">
        <v>129</v>
      </c>
      <c r="AZ52" s="4">
        <v>268</v>
      </c>
      <c r="BA52" s="4"/>
    </row>
    <row r="53" spans="1:53" x14ac:dyDescent="0.2">
      <c r="A53" s="2">
        <v>10</v>
      </c>
      <c r="B53" s="2" t="s">
        <v>594</v>
      </c>
      <c r="C53" s="7">
        <f>DATE(87,9,17)</f>
        <v>32037</v>
      </c>
      <c r="D53" s="2">
        <v>1215</v>
      </c>
      <c r="E53" s="17">
        <v>35.299999999999997</v>
      </c>
      <c r="F53" s="4">
        <v>548</v>
      </c>
      <c r="G53" s="4">
        <v>135</v>
      </c>
      <c r="H53" s="4">
        <v>129</v>
      </c>
      <c r="I53" s="4">
        <v>1700</v>
      </c>
      <c r="J53" s="4">
        <v>353</v>
      </c>
      <c r="K53" s="4">
        <v>343</v>
      </c>
      <c r="L53" s="4">
        <v>433</v>
      </c>
      <c r="M53" s="4">
        <v>259</v>
      </c>
      <c r="N53" s="4">
        <v>56</v>
      </c>
      <c r="O53" s="4">
        <v>13</v>
      </c>
      <c r="P53" s="4">
        <v>164</v>
      </c>
      <c r="Q53" s="4">
        <v>157</v>
      </c>
      <c r="R53" s="4">
        <v>895</v>
      </c>
      <c r="S53" s="4">
        <v>628</v>
      </c>
      <c r="T53" s="4">
        <v>815</v>
      </c>
      <c r="U53" s="4">
        <v>234</v>
      </c>
      <c r="V53" s="4">
        <v>269</v>
      </c>
      <c r="W53" s="4">
        <v>267</v>
      </c>
      <c r="X53" s="4">
        <v>112</v>
      </c>
      <c r="Y53" s="4">
        <v>218</v>
      </c>
      <c r="Z53" s="4"/>
      <c r="AB53" s="2">
        <v>10</v>
      </c>
      <c r="AC53" s="2" t="s">
        <v>594</v>
      </c>
      <c r="AD53" s="7">
        <v>32037</v>
      </c>
      <c r="AE53" s="2">
        <v>1215</v>
      </c>
      <c r="AF53" s="17">
        <v>35.299999999999997</v>
      </c>
      <c r="AG53" s="4">
        <v>548</v>
      </c>
      <c r="AH53" s="4">
        <v>135</v>
      </c>
      <c r="AI53" s="4">
        <v>129</v>
      </c>
      <c r="AJ53" s="4">
        <v>1700</v>
      </c>
      <c r="AK53" s="4">
        <v>353</v>
      </c>
      <c r="AL53" s="4">
        <v>343</v>
      </c>
      <c r="AM53" s="4">
        <v>433</v>
      </c>
      <c r="AN53" s="4">
        <v>259</v>
      </c>
      <c r="AO53" s="4">
        <v>56</v>
      </c>
      <c r="AP53" s="4">
        <v>13</v>
      </c>
      <c r="AQ53" s="4">
        <v>164</v>
      </c>
      <c r="AR53" s="4">
        <v>157</v>
      </c>
      <c r="AS53" s="4">
        <v>895</v>
      </c>
      <c r="AT53" s="4">
        <v>628</v>
      </c>
      <c r="AU53" s="4">
        <v>815</v>
      </c>
      <c r="AV53" s="4">
        <v>234</v>
      </c>
      <c r="AW53" s="4">
        <v>269</v>
      </c>
      <c r="AX53" s="4">
        <v>267</v>
      </c>
      <c r="AY53" s="4">
        <v>112</v>
      </c>
      <c r="AZ53" s="4">
        <v>218</v>
      </c>
      <c r="BA53" s="4"/>
    </row>
    <row r="54" spans="1:53" x14ac:dyDescent="0.2">
      <c r="A54" s="2">
        <v>11</v>
      </c>
      <c r="B54" s="2" t="s">
        <v>595</v>
      </c>
      <c r="C54" s="7">
        <f>DATE(87,9,22)</f>
        <v>32042</v>
      </c>
      <c r="D54" s="2">
        <v>1215</v>
      </c>
      <c r="E54" s="17">
        <v>36</v>
      </c>
      <c r="F54" s="4">
        <v>540</v>
      </c>
      <c r="G54" s="4">
        <v>115</v>
      </c>
      <c r="H54" s="4">
        <v>122</v>
      </c>
      <c r="I54" s="4">
        <v>1690</v>
      </c>
      <c r="J54" s="4">
        <v>337</v>
      </c>
      <c r="K54" s="4">
        <v>349</v>
      </c>
      <c r="L54" s="4">
        <v>416</v>
      </c>
      <c r="M54" s="4">
        <v>259</v>
      </c>
      <c r="N54" s="4">
        <v>58</v>
      </c>
      <c r="O54" s="4">
        <v>10</v>
      </c>
      <c r="P54" s="4">
        <v>163</v>
      </c>
      <c r="Q54" s="4">
        <v>157</v>
      </c>
      <c r="R54" s="4">
        <v>881</v>
      </c>
      <c r="S54" s="4">
        <v>605</v>
      </c>
      <c r="T54" s="4">
        <v>540</v>
      </c>
      <c r="U54" s="4">
        <v>159</v>
      </c>
      <c r="V54" s="4">
        <v>215</v>
      </c>
      <c r="W54" s="4">
        <v>206</v>
      </c>
      <c r="X54" s="4">
        <v>84</v>
      </c>
      <c r="Y54" s="4">
        <v>183</v>
      </c>
      <c r="Z54" s="4"/>
      <c r="AB54" s="2">
        <v>11</v>
      </c>
      <c r="AC54" s="2" t="s">
        <v>595</v>
      </c>
      <c r="AD54" s="7">
        <v>32042</v>
      </c>
      <c r="AE54" s="2">
        <v>1215</v>
      </c>
      <c r="AF54" s="17">
        <v>36</v>
      </c>
      <c r="AG54" s="4">
        <v>540</v>
      </c>
      <c r="AH54" s="4">
        <v>115</v>
      </c>
      <c r="AI54" s="4">
        <v>122</v>
      </c>
      <c r="AJ54" s="4">
        <v>1690</v>
      </c>
      <c r="AK54" s="4">
        <v>337</v>
      </c>
      <c r="AL54" s="4">
        <v>349</v>
      </c>
      <c r="AM54" s="4">
        <v>416</v>
      </c>
      <c r="AN54" s="4">
        <v>259</v>
      </c>
      <c r="AO54" s="4">
        <v>58</v>
      </c>
      <c r="AP54" s="4">
        <v>10</v>
      </c>
      <c r="AQ54" s="4">
        <v>163</v>
      </c>
      <c r="AR54" s="4">
        <v>157</v>
      </c>
      <c r="AS54" s="4">
        <v>881</v>
      </c>
      <c r="AT54" s="4">
        <v>605</v>
      </c>
      <c r="AU54" s="4">
        <v>540</v>
      </c>
      <c r="AV54" s="4">
        <v>159</v>
      </c>
      <c r="AW54" s="4">
        <v>215</v>
      </c>
      <c r="AX54" s="4">
        <v>206</v>
      </c>
      <c r="AY54" s="4">
        <v>84</v>
      </c>
      <c r="AZ54" s="4">
        <v>183</v>
      </c>
      <c r="BA54" s="4"/>
    </row>
    <row r="55" spans="1:53" x14ac:dyDescent="0.2">
      <c r="A55" s="2">
        <v>12</v>
      </c>
      <c r="B55" s="2" t="s">
        <v>596</v>
      </c>
      <c r="C55" s="7">
        <f>DATE(87,9,24)</f>
        <v>32044</v>
      </c>
      <c r="D55" s="2">
        <v>1215</v>
      </c>
      <c r="E55" s="17">
        <v>23.2</v>
      </c>
      <c r="F55" s="4">
        <v>548</v>
      </c>
      <c r="G55" s="4">
        <v>129</v>
      </c>
      <c r="H55" s="4">
        <v>139</v>
      </c>
      <c r="I55" s="4">
        <v>1719</v>
      </c>
      <c r="J55" s="4">
        <v>371</v>
      </c>
      <c r="K55" s="4">
        <v>342</v>
      </c>
      <c r="L55" s="4">
        <v>420</v>
      </c>
      <c r="M55" s="4">
        <v>288</v>
      </c>
      <c r="N55" s="4">
        <v>47</v>
      </c>
      <c r="O55" s="4">
        <v>1</v>
      </c>
      <c r="P55" s="4">
        <v>161</v>
      </c>
      <c r="Q55" s="4">
        <v>157</v>
      </c>
      <c r="R55" s="4">
        <v>878</v>
      </c>
      <c r="S55" s="4">
        <v>640</v>
      </c>
      <c r="T55" s="4">
        <v>625</v>
      </c>
      <c r="U55" s="4">
        <v>180</v>
      </c>
      <c r="V55" s="4">
        <v>207</v>
      </c>
      <c r="W55" s="4">
        <v>210</v>
      </c>
      <c r="X55" s="4">
        <v>42</v>
      </c>
      <c r="Y55" s="4">
        <v>83</v>
      </c>
      <c r="Z55" s="4"/>
      <c r="AB55" s="2">
        <v>12</v>
      </c>
      <c r="AC55" s="2" t="s">
        <v>596</v>
      </c>
      <c r="AD55" s="7">
        <v>32044</v>
      </c>
      <c r="AE55" s="2">
        <v>1215</v>
      </c>
      <c r="AF55" s="17">
        <v>23.2</v>
      </c>
      <c r="AG55" s="4">
        <v>548</v>
      </c>
      <c r="AH55" s="4">
        <v>129</v>
      </c>
      <c r="AI55" s="4">
        <v>139</v>
      </c>
      <c r="AJ55" s="4">
        <v>1719</v>
      </c>
      <c r="AK55" s="4">
        <v>371</v>
      </c>
      <c r="AL55" s="4">
        <v>342</v>
      </c>
      <c r="AM55" s="4">
        <v>420</v>
      </c>
      <c r="AN55" s="4">
        <v>288</v>
      </c>
      <c r="AO55" s="4">
        <v>47</v>
      </c>
      <c r="AP55" s="4">
        <v>1</v>
      </c>
      <c r="AQ55" s="4">
        <v>161</v>
      </c>
      <c r="AR55" s="4">
        <v>157</v>
      </c>
      <c r="AS55" s="4">
        <v>878</v>
      </c>
      <c r="AT55" s="4">
        <v>640</v>
      </c>
      <c r="AU55" s="4">
        <v>625</v>
      </c>
      <c r="AV55" s="4">
        <v>180</v>
      </c>
      <c r="AW55" s="4">
        <v>207</v>
      </c>
      <c r="AX55" s="4">
        <v>210</v>
      </c>
      <c r="AY55" s="4">
        <v>42</v>
      </c>
      <c r="AZ55" s="4">
        <v>83</v>
      </c>
      <c r="BA55" s="4"/>
    </row>
    <row r="56" spans="1:53" x14ac:dyDescent="0.2">
      <c r="A56" s="2">
        <v>13</v>
      </c>
      <c r="B56" s="2" t="s">
        <v>597</v>
      </c>
      <c r="C56" s="7">
        <f>DATE(87,9,29)</f>
        <v>32049</v>
      </c>
      <c r="D56" s="2">
        <v>1155</v>
      </c>
      <c r="E56" s="17">
        <v>28</v>
      </c>
      <c r="F56" s="4">
        <v>527</v>
      </c>
      <c r="G56" s="4">
        <v>132.80000000000001</v>
      </c>
      <c r="H56" s="4">
        <v>139</v>
      </c>
      <c r="I56" s="4">
        <v>1691</v>
      </c>
      <c r="J56" s="4">
        <v>346</v>
      </c>
      <c r="K56" s="4">
        <v>341</v>
      </c>
      <c r="L56" s="4">
        <v>413</v>
      </c>
      <c r="M56" s="4">
        <v>257</v>
      </c>
      <c r="N56" s="4">
        <v>57</v>
      </c>
      <c r="O56" s="4"/>
      <c r="P56" s="4">
        <v>164</v>
      </c>
      <c r="Q56" s="4">
        <v>156</v>
      </c>
      <c r="R56" s="4">
        <v>812</v>
      </c>
      <c r="S56" s="4">
        <v>628</v>
      </c>
      <c r="T56" s="4">
        <v>759</v>
      </c>
      <c r="U56" s="4">
        <v>218</v>
      </c>
      <c r="V56" s="4">
        <v>259</v>
      </c>
      <c r="W56" s="4">
        <v>223</v>
      </c>
      <c r="X56" s="4">
        <v>132</v>
      </c>
      <c r="Y56" s="4">
        <v>303</v>
      </c>
      <c r="Z56" s="4"/>
      <c r="AB56" s="2">
        <v>13</v>
      </c>
      <c r="AC56" s="2" t="s">
        <v>597</v>
      </c>
      <c r="AD56" s="7">
        <v>32049</v>
      </c>
      <c r="AE56" s="2">
        <v>1155</v>
      </c>
      <c r="AF56" s="17">
        <v>28</v>
      </c>
      <c r="AG56" s="4">
        <v>527</v>
      </c>
      <c r="AH56" s="4">
        <v>132.80000000000001</v>
      </c>
      <c r="AI56" s="4">
        <v>139</v>
      </c>
      <c r="AJ56" s="4">
        <v>1691</v>
      </c>
      <c r="AK56" s="4">
        <v>346</v>
      </c>
      <c r="AL56" s="4">
        <v>341</v>
      </c>
      <c r="AM56" s="4">
        <v>413</v>
      </c>
      <c r="AN56" s="4">
        <v>257</v>
      </c>
      <c r="AO56" s="4">
        <v>57</v>
      </c>
      <c r="AP56" s="4"/>
      <c r="AQ56" s="4">
        <v>164</v>
      </c>
      <c r="AR56" s="4">
        <v>156</v>
      </c>
      <c r="AS56" s="4">
        <v>812</v>
      </c>
      <c r="AT56" s="4">
        <v>628</v>
      </c>
      <c r="AU56" s="4">
        <v>759</v>
      </c>
      <c r="AV56" s="4">
        <v>218</v>
      </c>
      <c r="AW56" s="4">
        <v>259</v>
      </c>
      <c r="AX56" s="4">
        <v>223</v>
      </c>
      <c r="AY56" s="4">
        <v>132</v>
      </c>
      <c r="AZ56" s="4">
        <v>303</v>
      </c>
      <c r="BA56" s="4"/>
    </row>
    <row r="57" spans="1:53" x14ac:dyDescent="0.2">
      <c r="A57" s="2">
        <v>14</v>
      </c>
      <c r="B57" s="2" t="s">
        <v>598</v>
      </c>
      <c r="C57" s="7">
        <f>DATE(87,10,1)</f>
        <v>32051</v>
      </c>
      <c r="D57" s="2">
        <v>1215</v>
      </c>
      <c r="E57" s="17">
        <v>30.9</v>
      </c>
      <c r="F57" s="4">
        <v>533</v>
      </c>
      <c r="G57" s="4">
        <v>143.19999999999999</v>
      </c>
      <c r="H57" s="4">
        <v>152</v>
      </c>
      <c r="I57" s="4">
        <v>1694</v>
      </c>
      <c r="J57" s="4">
        <v>347</v>
      </c>
      <c r="K57" s="4">
        <v>341</v>
      </c>
      <c r="L57" s="4">
        <v>471</v>
      </c>
      <c r="M57" s="4">
        <v>1333</v>
      </c>
      <c r="N57" s="4">
        <v>54</v>
      </c>
      <c r="O57" s="4">
        <v>18</v>
      </c>
      <c r="P57" s="4">
        <v>167</v>
      </c>
      <c r="Q57" s="4">
        <v>156</v>
      </c>
      <c r="R57" s="4">
        <v>949</v>
      </c>
      <c r="S57" s="4">
        <v>866</v>
      </c>
      <c r="T57" s="4">
        <v>955</v>
      </c>
      <c r="U57" s="4">
        <v>339</v>
      </c>
      <c r="V57" s="4">
        <v>767</v>
      </c>
      <c r="W57" s="4">
        <v>326</v>
      </c>
      <c r="X57" s="4">
        <v>321</v>
      </c>
      <c r="Y57" s="4">
        <v>840</v>
      </c>
      <c r="Z57" s="4"/>
      <c r="AB57" s="2">
        <v>14</v>
      </c>
      <c r="AC57" s="2" t="s">
        <v>598</v>
      </c>
      <c r="AD57" s="7">
        <v>32051</v>
      </c>
      <c r="AE57" s="2">
        <v>1215</v>
      </c>
      <c r="AF57" s="17">
        <v>30.9</v>
      </c>
      <c r="AG57" s="4">
        <v>533</v>
      </c>
      <c r="AH57" s="4">
        <v>143.19999999999999</v>
      </c>
      <c r="AI57" s="4">
        <v>152</v>
      </c>
      <c r="AJ57" s="4">
        <v>1694</v>
      </c>
      <c r="AK57" s="4">
        <v>347</v>
      </c>
      <c r="AL57" s="4">
        <v>341</v>
      </c>
      <c r="AM57" s="4">
        <v>471</v>
      </c>
      <c r="AN57" s="4">
        <v>1333</v>
      </c>
      <c r="AO57" s="4">
        <v>54</v>
      </c>
      <c r="AP57" s="4">
        <v>18</v>
      </c>
      <c r="AQ57" s="4">
        <v>167</v>
      </c>
      <c r="AR57" s="4">
        <v>156</v>
      </c>
      <c r="AS57" s="4">
        <v>949</v>
      </c>
      <c r="AT57" s="4">
        <v>866</v>
      </c>
      <c r="AU57" s="4">
        <v>955</v>
      </c>
      <c r="AV57" s="4">
        <v>339</v>
      </c>
      <c r="AW57" s="4">
        <v>767</v>
      </c>
      <c r="AX57" s="4">
        <v>326</v>
      </c>
      <c r="AY57" s="4">
        <v>321</v>
      </c>
      <c r="AZ57" s="4">
        <v>840</v>
      </c>
      <c r="BA57" s="4"/>
    </row>
    <row r="58" spans="1:53" x14ac:dyDescent="0.2">
      <c r="A58" s="2">
        <v>15</v>
      </c>
      <c r="B58" s="2" t="s">
        <v>599</v>
      </c>
      <c r="C58" s="7">
        <f>DATE(87,11,17)</f>
        <v>32098</v>
      </c>
      <c r="D58" s="2">
        <v>1205</v>
      </c>
      <c r="E58" s="17">
        <v>13.6</v>
      </c>
      <c r="F58" s="4">
        <v>552</v>
      </c>
      <c r="G58" s="4">
        <v>207.7</v>
      </c>
      <c r="H58" s="4">
        <v>226</v>
      </c>
      <c r="I58" s="4">
        <v>1693</v>
      </c>
      <c r="J58" s="4">
        <v>353</v>
      </c>
      <c r="K58" s="4">
        <v>342</v>
      </c>
      <c r="L58" s="4">
        <v>422</v>
      </c>
      <c r="M58" s="4">
        <v>246</v>
      </c>
      <c r="N58" s="4">
        <v>44</v>
      </c>
      <c r="O58" s="4">
        <v>18</v>
      </c>
      <c r="P58" s="4">
        <v>165</v>
      </c>
      <c r="Q58" s="4">
        <v>158</v>
      </c>
      <c r="R58" s="4">
        <v>789</v>
      </c>
      <c r="S58" s="4">
        <v>1290</v>
      </c>
      <c r="T58" s="4">
        <v>1880</v>
      </c>
      <c r="U58" s="4">
        <v>405</v>
      </c>
      <c r="V58" s="4">
        <v>296</v>
      </c>
      <c r="W58" s="4">
        <v>471</v>
      </c>
      <c r="X58" s="4">
        <v>41</v>
      </c>
      <c r="Y58" s="4">
        <v>65</v>
      </c>
      <c r="Z58" s="4"/>
      <c r="AB58" s="2">
        <v>15</v>
      </c>
      <c r="AC58" s="2" t="s">
        <v>599</v>
      </c>
      <c r="AD58" s="7">
        <v>32098</v>
      </c>
      <c r="AE58" s="2">
        <v>1205</v>
      </c>
      <c r="AF58" s="17">
        <v>13.6</v>
      </c>
      <c r="AG58" s="4">
        <v>552</v>
      </c>
      <c r="AH58" s="4">
        <v>207.7</v>
      </c>
      <c r="AI58" s="4">
        <v>226</v>
      </c>
      <c r="AJ58" s="4">
        <v>1693</v>
      </c>
      <c r="AK58" s="4">
        <v>353</v>
      </c>
      <c r="AL58" s="4">
        <v>342</v>
      </c>
      <c r="AM58" s="4">
        <v>422</v>
      </c>
      <c r="AN58" s="4">
        <v>246</v>
      </c>
      <c r="AO58" s="4">
        <v>44</v>
      </c>
      <c r="AP58" s="4">
        <v>18</v>
      </c>
      <c r="AQ58" s="4">
        <v>165</v>
      </c>
      <c r="AR58" s="4">
        <v>158</v>
      </c>
      <c r="AS58" s="4">
        <v>789</v>
      </c>
      <c r="AT58" s="4">
        <v>1290</v>
      </c>
      <c r="AU58" s="4">
        <v>1880</v>
      </c>
      <c r="AV58" s="4">
        <v>405</v>
      </c>
      <c r="AW58" s="4">
        <v>296</v>
      </c>
      <c r="AX58" s="4">
        <v>471</v>
      </c>
      <c r="AY58" s="4">
        <v>41</v>
      </c>
      <c r="AZ58" s="4">
        <v>65</v>
      </c>
      <c r="BA58" s="4"/>
    </row>
    <row r="59" spans="1:53" x14ac:dyDescent="0.2">
      <c r="A59" s="2">
        <v>16</v>
      </c>
      <c r="B59" s="2" t="s">
        <v>600</v>
      </c>
      <c r="C59" s="7">
        <f>DATE(87,11,19)</f>
        <v>32100</v>
      </c>
      <c r="D59" s="2">
        <v>1205</v>
      </c>
      <c r="E59" s="17">
        <v>14.9</v>
      </c>
      <c r="F59" s="4">
        <v>579</v>
      </c>
      <c r="G59" s="4">
        <v>227.8</v>
      </c>
      <c r="H59" s="4">
        <v>250</v>
      </c>
      <c r="I59" s="4">
        <v>1697</v>
      </c>
      <c r="J59" s="4">
        <v>349</v>
      </c>
      <c r="K59" s="4">
        <v>342</v>
      </c>
      <c r="L59" s="4">
        <v>418</v>
      </c>
      <c r="M59" s="4">
        <v>252</v>
      </c>
      <c r="N59" s="4">
        <v>44</v>
      </c>
      <c r="O59" s="4">
        <v>6</v>
      </c>
      <c r="P59" s="4">
        <v>165</v>
      </c>
      <c r="Q59" s="4">
        <v>157</v>
      </c>
      <c r="R59" s="4">
        <v>862</v>
      </c>
      <c r="S59" s="4">
        <v>1160</v>
      </c>
      <c r="T59" s="4">
        <v>2380</v>
      </c>
      <c r="U59" s="4">
        <v>514</v>
      </c>
      <c r="V59" s="4">
        <v>351</v>
      </c>
      <c r="W59" s="4">
        <v>654</v>
      </c>
      <c r="X59" s="4">
        <v>131</v>
      </c>
      <c r="Y59" s="4">
        <v>341</v>
      </c>
      <c r="AB59" s="2">
        <v>16</v>
      </c>
      <c r="AC59" s="2" t="s">
        <v>600</v>
      </c>
      <c r="AD59" s="7">
        <v>32100</v>
      </c>
      <c r="AE59" s="2">
        <v>1205</v>
      </c>
      <c r="AF59" s="17">
        <v>14.9</v>
      </c>
      <c r="AG59" s="4">
        <v>579</v>
      </c>
      <c r="AH59" s="4">
        <v>227.8</v>
      </c>
      <c r="AI59" s="4">
        <v>250</v>
      </c>
      <c r="AJ59" s="4">
        <v>1697</v>
      </c>
      <c r="AK59" s="4">
        <v>349</v>
      </c>
      <c r="AL59" s="4">
        <v>342</v>
      </c>
      <c r="AM59" s="4">
        <v>418</v>
      </c>
      <c r="AN59" s="4">
        <v>252</v>
      </c>
      <c r="AO59" s="4">
        <v>44</v>
      </c>
      <c r="AP59" s="4">
        <v>6</v>
      </c>
      <c r="AQ59" s="4">
        <v>165</v>
      </c>
      <c r="AR59" s="4">
        <v>157</v>
      </c>
      <c r="AS59" s="4">
        <v>862</v>
      </c>
      <c r="AT59" s="4">
        <v>1160</v>
      </c>
      <c r="AU59" s="4">
        <v>2380</v>
      </c>
      <c r="AV59" s="4">
        <v>514</v>
      </c>
      <c r="AW59" s="4">
        <v>351</v>
      </c>
      <c r="AX59" s="4">
        <v>654</v>
      </c>
      <c r="AY59" s="4">
        <v>131</v>
      </c>
      <c r="AZ59" s="4">
        <v>341</v>
      </c>
    </row>
    <row r="60" spans="1:53" x14ac:dyDescent="0.2"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53" x14ac:dyDescent="0.2"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53" x14ac:dyDescent="0.2"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AC62" s="2" t="s">
        <v>601</v>
      </c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53" x14ac:dyDescent="0.2">
      <c r="AD63" s="7">
        <f t="shared" ref="AD63:AZ63" si="0">AVERAGE(AD11:AD17)</f>
        <v>31764.571428571428</v>
      </c>
      <c r="AE63" s="4">
        <f t="shared" si="0"/>
        <v>1133.3333333333333</v>
      </c>
      <c r="AF63" s="4">
        <f t="shared" si="0"/>
        <v>11.685714285714285</v>
      </c>
      <c r="AG63" s="4">
        <f t="shared" si="0"/>
        <v>527.42857142857144</v>
      </c>
      <c r="AH63" s="4">
        <f t="shared" si="0"/>
        <v>193.77142857142857</v>
      </c>
      <c r="AI63" s="4">
        <f t="shared" si="0"/>
        <v>203.14285714285714</v>
      </c>
      <c r="AJ63" s="4">
        <f t="shared" si="0"/>
        <v>1680.2857142857142</v>
      </c>
      <c r="AK63" s="4">
        <f t="shared" si="0"/>
        <v>357.42857142857144</v>
      </c>
      <c r="AL63" s="4">
        <f t="shared" si="0"/>
        <v>341.01428571428568</v>
      </c>
      <c r="AM63" s="4">
        <f t="shared" si="0"/>
        <v>425.12857142857143</v>
      </c>
      <c r="AN63" s="4">
        <f t="shared" si="0"/>
        <v>243.98571428571429</v>
      </c>
      <c r="AO63" s="4">
        <f t="shared" si="0"/>
        <v>37.657142857142858</v>
      </c>
      <c r="AP63" s="4">
        <f t="shared" si="0"/>
        <v>13.125</v>
      </c>
      <c r="AQ63" s="4">
        <f t="shared" si="0"/>
        <v>168.51428571428571</v>
      </c>
      <c r="AR63" s="4">
        <f t="shared" si="0"/>
        <v>162.47142857142856</v>
      </c>
      <c r="AS63" s="4">
        <f t="shared" si="0"/>
        <v>1203.7142857142858</v>
      </c>
      <c r="AT63" s="4" t="e">
        <f t="shared" si="0"/>
        <v>#DIV/0!</v>
      </c>
      <c r="AU63" s="4" t="e">
        <f t="shared" si="0"/>
        <v>#DIV/0!</v>
      </c>
      <c r="AV63" s="4" t="e">
        <f t="shared" si="0"/>
        <v>#DIV/0!</v>
      </c>
      <c r="AW63" s="4" t="e">
        <f t="shared" si="0"/>
        <v>#DIV/0!</v>
      </c>
      <c r="AX63" s="4" t="e">
        <f t="shared" si="0"/>
        <v>#DIV/0!</v>
      </c>
      <c r="AY63" s="4" t="e">
        <f t="shared" si="0"/>
        <v>#DIV/0!</v>
      </c>
      <c r="AZ63" s="4" t="e">
        <f t="shared" si="0"/>
        <v>#DIV/0!</v>
      </c>
    </row>
    <row r="64" spans="1:53" x14ac:dyDescent="0.2">
      <c r="AD64" s="7">
        <f t="shared" ref="AD64:AZ64" si="1">AVERAGE(AD18:AD24)</f>
        <v>31823</v>
      </c>
      <c r="AE64" s="4">
        <f t="shared" si="1"/>
        <v>1217</v>
      </c>
      <c r="AF64" s="4">
        <f t="shared" si="1"/>
        <v>9.0571428571428569</v>
      </c>
      <c r="AG64" s="4">
        <f t="shared" si="1"/>
        <v>554.28571428571433</v>
      </c>
      <c r="AH64" s="4">
        <f t="shared" si="1"/>
        <v>174.94285714285712</v>
      </c>
      <c r="AI64" s="4">
        <f t="shared" si="1"/>
        <v>125</v>
      </c>
      <c r="AJ64" s="4">
        <f t="shared" si="1"/>
        <v>1729</v>
      </c>
      <c r="AK64" s="4">
        <f t="shared" si="1"/>
        <v>368.42857142857144</v>
      </c>
      <c r="AL64" s="4">
        <f t="shared" si="1"/>
        <v>340.17142857142852</v>
      </c>
      <c r="AM64" s="4">
        <f t="shared" si="1"/>
        <v>415.8</v>
      </c>
      <c r="AN64" s="4">
        <f t="shared" si="1"/>
        <v>249.31428571428572</v>
      </c>
      <c r="AO64" s="4">
        <f t="shared" si="1"/>
        <v>39.4</v>
      </c>
      <c r="AP64" s="4" t="e">
        <f t="shared" si="1"/>
        <v>#DIV/0!</v>
      </c>
      <c r="AQ64" s="4">
        <f t="shared" si="1"/>
        <v>168.17142857142858</v>
      </c>
      <c r="AR64" s="4">
        <f t="shared" si="1"/>
        <v>160.21428571428572</v>
      </c>
      <c r="AS64" s="4">
        <f t="shared" si="1"/>
        <v>944.14285714285711</v>
      </c>
      <c r="AT64" s="4">
        <f t="shared" si="1"/>
        <v>842.83333333333337</v>
      </c>
      <c r="AU64" s="4">
        <f t="shared" si="1"/>
        <v>1536.5</v>
      </c>
      <c r="AV64" s="4">
        <f t="shared" si="1"/>
        <v>602.83333333333337</v>
      </c>
      <c r="AW64" s="4">
        <f t="shared" si="1"/>
        <v>584.83333333333337</v>
      </c>
      <c r="AX64" s="4">
        <f t="shared" si="1"/>
        <v>517.5</v>
      </c>
      <c r="AY64" s="4">
        <f t="shared" si="1"/>
        <v>262</v>
      </c>
      <c r="AZ64" s="4">
        <f t="shared" si="1"/>
        <v>340.83333333333331</v>
      </c>
    </row>
    <row r="65" spans="30:52" x14ac:dyDescent="0.2">
      <c r="AD65" s="7">
        <f t="shared" ref="AD65:AZ65" si="2">AVERAGE(AD25:AD33)</f>
        <v>31852.777777777777</v>
      </c>
      <c r="AE65" s="4">
        <f t="shared" si="2"/>
        <v>1265</v>
      </c>
      <c r="AF65" s="4">
        <f t="shared" si="2"/>
        <v>8.6222222222222218</v>
      </c>
      <c r="AG65" s="4">
        <f t="shared" si="2"/>
        <v>592.44444444444446</v>
      </c>
      <c r="AH65" s="4">
        <f t="shared" si="2"/>
        <v>245.55555555555554</v>
      </c>
      <c r="AI65" s="4" t="e">
        <f t="shared" si="2"/>
        <v>#DIV/0!</v>
      </c>
      <c r="AJ65" s="4">
        <f t="shared" si="2"/>
        <v>1795.1111111111111</v>
      </c>
      <c r="AK65" s="4">
        <f t="shared" si="2"/>
        <v>381.33333333333331</v>
      </c>
      <c r="AL65" s="4">
        <f t="shared" si="2"/>
        <v>341.33333333333331</v>
      </c>
      <c r="AM65" s="4">
        <f t="shared" si="2"/>
        <v>438</v>
      </c>
      <c r="AN65" s="4">
        <f t="shared" si="2"/>
        <v>252.33333333333334</v>
      </c>
      <c r="AO65" s="4">
        <f t="shared" si="2"/>
        <v>38.888888888888886</v>
      </c>
      <c r="AP65" s="4" t="e">
        <f t="shared" si="2"/>
        <v>#DIV/0!</v>
      </c>
      <c r="AQ65" s="4">
        <f t="shared" si="2"/>
        <v>176</v>
      </c>
      <c r="AR65" s="4">
        <f t="shared" si="2"/>
        <v>157.11111111111111</v>
      </c>
      <c r="AS65" s="4">
        <f t="shared" si="2"/>
        <v>1073.6666666666667</v>
      </c>
      <c r="AT65" s="4">
        <f t="shared" si="2"/>
        <v>1190</v>
      </c>
      <c r="AU65" s="4">
        <f t="shared" si="2"/>
        <v>3478.75</v>
      </c>
      <c r="AV65" s="4">
        <f t="shared" si="2"/>
        <v>975.125</v>
      </c>
      <c r="AW65" s="4">
        <f t="shared" si="2"/>
        <v>1670.625</v>
      </c>
      <c r="AX65" s="4">
        <f t="shared" si="2"/>
        <v>1126</v>
      </c>
      <c r="AY65" s="4">
        <f t="shared" si="2"/>
        <v>742.5</v>
      </c>
      <c r="AZ65" s="4">
        <f t="shared" si="2"/>
        <v>1475.875</v>
      </c>
    </row>
    <row r="66" spans="30:52" x14ac:dyDescent="0.2">
      <c r="AD66" s="7">
        <f t="shared" ref="AD66:AZ66" si="3">AVERAGE(AD34:AD42)</f>
        <v>31883.666666666668</v>
      </c>
      <c r="AE66" s="4">
        <f t="shared" si="3"/>
        <v>2003.75</v>
      </c>
      <c r="AF66" s="4">
        <f t="shared" si="3"/>
        <v>8.7777777777777786</v>
      </c>
      <c r="AG66" s="4">
        <f t="shared" si="3"/>
        <v>519.33333333333337</v>
      </c>
      <c r="AH66" s="4">
        <f t="shared" si="3"/>
        <v>141.33333333333337</v>
      </c>
      <c r="AI66" s="4">
        <f t="shared" si="3"/>
        <v>145.63749999999999</v>
      </c>
      <c r="AJ66" s="4">
        <f t="shared" si="3"/>
        <v>1769.1666666666665</v>
      </c>
      <c r="AK66" s="4">
        <f t="shared" si="3"/>
        <v>383.29999999999995</v>
      </c>
      <c r="AL66" s="4">
        <f t="shared" si="3"/>
        <v>344.33333333333331</v>
      </c>
      <c r="AM66" s="4">
        <f t="shared" si="3"/>
        <v>427.55555555555554</v>
      </c>
      <c r="AN66" s="4">
        <f t="shared" si="3"/>
        <v>251.44444444444446</v>
      </c>
      <c r="AO66" s="4">
        <f t="shared" si="3"/>
        <v>39.777777777777779</v>
      </c>
      <c r="AP66" s="4">
        <f t="shared" si="3"/>
        <v>14</v>
      </c>
      <c r="AQ66" s="4">
        <f t="shared" si="3"/>
        <v>176.55555555555554</v>
      </c>
      <c r="AR66" s="4">
        <f t="shared" si="3"/>
        <v>164.33333333333334</v>
      </c>
      <c r="AS66" s="4">
        <f t="shared" si="3"/>
        <v>1058.4444444444443</v>
      </c>
      <c r="AT66" s="4">
        <f t="shared" si="3"/>
        <v>819</v>
      </c>
      <c r="AU66" s="4">
        <f t="shared" si="3"/>
        <v>1200</v>
      </c>
      <c r="AV66" s="4">
        <f t="shared" si="3"/>
        <v>407</v>
      </c>
      <c r="AW66" s="4">
        <f t="shared" si="3"/>
        <v>167</v>
      </c>
      <c r="AX66" s="4">
        <f t="shared" si="3"/>
        <v>479</v>
      </c>
      <c r="AY66" s="4">
        <f t="shared" si="3"/>
        <v>45</v>
      </c>
      <c r="AZ66" s="4">
        <f t="shared" si="3"/>
        <v>91</v>
      </c>
    </row>
    <row r="67" spans="30:52" x14ac:dyDescent="0.2">
      <c r="AD67" s="7">
        <f t="shared" ref="AD67:AZ67" si="4">AVERAGE(AD43:AD43)</f>
        <v>31902</v>
      </c>
      <c r="AE67" s="4" t="e">
        <f t="shared" si="4"/>
        <v>#DIV/0!</v>
      </c>
      <c r="AF67" s="4">
        <f t="shared" si="4"/>
        <v>11.2</v>
      </c>
      <c r="AG67" s="4">
        <f t="shared" si="4"/>
        <v>531</v>
      </c>
      <c r="AH67" s="4">
        <f t="shared" si="4"/>
        <v>146</v>
      </c>
      <c r="AI67" s="4" t="e">
        <f t="shared" si="4"/>
        <v>#DIV/0!</v>
      </c>
      <c r="AJ67" s="4">
        <f t="shared" si="4"/>
        <v>1766</v>
      </c>
      <c r="AK67" s="4">
        <f t="shared" si="4"/>
        <v>375</v>
      </c>
      <c r="AL67" s="4">
        <f t="shared" si="4"/>
        <v>342</v>
      </c>
      <c r="AM67" s="4">
        <f t="shared" si="4"/>
        <v>415</v>
      </c>
      <c r="AN67" s="4">
        <f t="shared" si="4"/>
        <v>237</v>
      </c>
      <c r="AO67" s="4">
        <f t="shared" si="4"/>
        <v>40</v>
      </c>
      <c r="AP67" s="4" t="e">
        <f t="shared" si="4"/>
        <v>#DIV/0!</v>
      </c>
      <c r="AQ67" s="4">
        <f t="shared" si="4"/>
        <v>162</v>
      </c>
      <c r="AR67" s="4">
        <f t="shared" si="4"/>
        <v>155</v>
      </c>
      <c r="AS67" s="4">
        <f t="shared" si="4"/>
        <v>889</v>
      </c>
      <c r="AT67" s="4">
        <f t="shared" si="4"/>
        <v>567</v>
      </c>
      <c r="AU67" s="4">
        <f t="shared" si="4"/>
        <v>1240</v>
      </c>
      <c r="AV67" s="4">
        <f t="shared" si="4"/>
        <v>632</v>
      </c>
      <c r="AW67" s="4">
        <f t="shared" si="4"/>
        <v>105</v>
      </c>
      <c r="AX67" s="4">
        <f t="shared" si="4"/>
        <v>511</v>
      </c>
      <c r="AY67" s="4">
        <f t="shared" si="4"/>
        <v>67</v>
      </c>
      <c r="AZ67" s="4">
        <f t="shared" si="4"/>
        <v>103</v>
      </c>
    </row>
    <row r="68" spans="30:52" x14ac:dyDescent="0.2">
      <c r="AD68" s="7">
        <f t="shared" ref="AD68:AZ68" si="5">AVERAGE(AD44:AD49)</f>
        <v>31995.333333333332</v>
      </c>
      <c r="AE68" s="4">
        <f t="shared" si="5"/>
        <v>1167</v>
      </c>
      <c r="AF68" s="4">
        <f t="shared" si="5"/>
        <v>17.316666666666666</v>
      </c>
      <c r="AG68" s="4">
        <f t="shared" si="5"/>
        <v>527.66666666666663</v>
      </c>
      <c r="AH68" s="4">
        <f t="shared" si="5"/>
        <v>127</v>
      </c>
      <c r="AI68" s="4">
        <f t="shared" si="5"/>
        <v>127.33333333333333</v>
      </c>
      <c r="AJ68" s="4">
        <f t="shared" si="5"/>
        <v>1687.6666666666667</v>
      </c>
      <c r="AK68" s="4">
        <f t="shared" si="5"/>
        <v>348.16666666666669</v>
      </c>
      <c r="AL68" s="4">
        <f t="shared" si="5"/>
        <v>340</v>
      </c>
      <c r="AM68" s="4">
        <f t="shared" si="5"/>
        <v>412.83333333333331</v>
      </c>
      <c r="AN68" s="4">
        <f t="shared" si="5"/>
        <v>257</v>
      </c>
      <c r="AO68" s="4">
        <f t="shared" si="5"/>
        <v>45.666666666666664</v>
      </c>
      <c r="AP68" s="4" t="e">
        <f t="shared" si="5"/>
        <v>#DIV/0!</v>
      </c>
      <c r="AQ68" s="4">
        <f t="shared" si="5"/>
        <v>158.83333333333334</v>
      </c>
      <c r="AR68" s="4">
        <f t="shared" si="5"/>
        <v>157.33333333333334</v>
      </c>
      <c r="AS68" s="4">
        <f t="shared" si="5"/>
        <v>876.83333333333337</v>
      </c>
      <c r="AT68" s="4">
        <f t="shared" si="5"/>
        <v>497.16666666666669</v>
      </c>
      <c r="AU68" s="4">
        <f t="shared" si="5"/>
        <v>768</v>
      </c>
      <c r="AV68" s="4">
        <f t="shared" si="5"/>
        <v>199.66666666666666</v>
      </c>
      <c r="AW68" s="4">
        <f t="shared" si="5"/>
        <v>198.33333333333334</v>
      </c>
      <c r="AX68" s="4">
        <f t="shared" si="5"/>
        <v>261</v>
      </c>
      <c r="AY68" s="4">
        <f t="shared" si="5"/>
        <v>79.5</v>
      </c>
      <c r="AZ68" s="4">
        <f t="shared" si="5"/>
        <v>88.833333333333329</v>
      </c>
    </row>
    <row r="69" spans="30:52" x14ac:dyDescent="0.2">
      <c r="AD69" s="7">
        <f t="shared" ref="AD69:AZ69" si="6">AVERAGE(AD50:AD56)</f>
        <v>32037.142857142859</v>
      </c>
      <c r="AE69" s="4">
        <f t="shared" si="6"/>
        <v>1202.1428571428571</v>
      </c>
      <c r="AF69" s="4">
        <f t="shared" si="6"/>
        <v>27.914285714285711</v>
      </c>
      <c r="AG69" s="4">
        <f t="shared" si="6"/>
        <v>546.85714285714289</v>
      </c>
      <c r="AH69" s="4">
        <f t="shared" si="6"/>
        <v>135.25714285714284</v>
      </c>
      <c r="AI69" s="4">
        <f t="shared" si="6"/>
        <v>141.71428571428572</v>
      </c>
      <c r="AJ69" s="4">
        <f t="shared" si="6"/>
        <v>1700.2857142857142</v>
      </c>
      <c r="AK69" s="4">
        <f t="shared" si="6"/>
        <v>357.42857142857144</v>
      </c>
      <c r="AL69" s="4">
        <f t="shared" si="6"/>
        <v>342.42857142857144</v>
      </c>
      <c r="AM69" s="4">
        <f t="shared" si="6"/>
        <v>421.85714285714283</v>
      </c>
      <c r="AN69" s="4">
        <f t="shared" si="6"/>
        <v>262.42857142857144</v>
      </c>
      <c r="AO69" s="4">
        <f t="shared" si="6"/>
        <v>51.857142857142854</v>
      </c>
      <c r="AP69" s="4">
        <f t="shared" si="6"/>
        <v>8</v>
      </c>
      <c r="AQ69" s="4">
        <f t="shared" si="6"/>
        <v>160.57142857142858</v>
      </c>
      <c r="AR69" s="4">
        <f t="shared" si="6"/>
        <v>157</v>
      </c>
      <c r="AS69" s="4">
        <f t="shared" si="6"/>
        <v>874.57142857142856</v>
      </c>
      <c r="AT69" s="4">
        <f t="shared" si="6"/>
        <v>661.42857142857144</v>
      </c>
      <c r="AU69" s="4">
        <f t="shared" si="6"/>
        <v>843.71428571428567</v>
      </c>
      <c r="AV69" s="4">
        <f t="shared" si="6"/>
        <v>258.42857142857144</v>
      </c>
      <c r="AW69" s="4">
        <f t="shared" si="6"/>
        <v>224.71428571428572</v>
      </c>
      <c r="AX69" s="4">
        <f t="shared" si="6"/>
        <v>295.57142857142856</v>
      </c>
      <c r="AY69" s="4">
        <f t="shared" si="6"/>
        <v>98.428571428571431</v>
      </c>
      <c r="AZ69" s="4">
        <f t="shared" si="6"/>
        <v>192.85714285714286</v>
      </c>
    </row>
    <row r="70" spans="30:52" x14ac:dyDescent="0.2">
      <c r="AD70" s="7">
        <f t="shared" ref="AD70:AZ70" si="7">AVERAGE(AD57)</f>
        <v>32051</v>
      </c>
      <c r="AE70" s="4">
        <f t="shared" si="7"/>
        <v>1215</v>
      </c>
      <c r="AF70" s="4">
        <f t="shared" si="7"/>
        <v>30.9</v>
      </c>
      <c r="AG70" s="4">
        <f t="shared" si="7"/>
        <v>533</v>
      </c>
      <c r="AH70" s="4">
        <f t="shared" si="7"/>
        <v>143.19999999999999</v>
      </c>
      <c r="AI70" s="4">
        <f t="shared" si="7"/>
        <v>152</v>
      </c>
      <c r="AJ70" s="4">
        <f t="shared" si="7"/>
        <v>1694</v>
      </c>
      <c r="AK70" s="4">
        <f t="shared" si="7"/>
        <v>347</v>
      </c>
      <c r="AL70" s="4">
        <f t="shared" si="7"/>
        <v>341</v>
      </c>
      <c r="AM70" s="4">
        <f t="shared" si="7"/>
        <v>471</v>
      </c>
      <c r="AN70" s="4">
        <f t="shared" si="7"/>
        <v>1333</v>
      </c>
      <c r="AO70" s="4">
        <f t="shared" si="7"/>
        <v>54</v>
      </c>
      <c r="AP70" s="4">
        <f t="shared" si="7"/>
        <v>18</v>
      </c>
      <c r="AQ70" s="4">
        <f t="shared" si="7"/>
        <v>167</v>
      </c>
      <c r="AR70" s="4">
        <f t="shared" si="7"/>
        <v>156</v>
      </c>
      <c r="AS70" s="4">
        <f t="shared" si="7"/>
        <v>949</v>
      </c>
      <c r="AT70" s="4">
        <f t="shared" si="7"/>
        <v>866</v>
      </c>
      <c r="AU70" s="4">
        <f t="shared" si="7"/>
        <v>955</v>
      </c>
      <c r="AV70" s="4">
        <f t="shared" si="7"/>
        <v>339</v>
      </c>
      <c r="AW70" s="4">
        <f t="shared" si="7"/>
        <v>767</v>
      </c>
      <c r="AX70" s="4">
        <f t="shared" si="7"/>
        <v>326</v>
      </c>
      <c r="AY70" s="4">
        <f t="shared" si="7"/>
        <v>321</v>
      </c>
      <c r="AZ70" s="4">
        <f t="shared" si="7"/>
        <v>840</v>
      </c>
    </row>
    <row r="71" spans="30:52" x14ac:dyDescent="0.2">
      <c r="AD71" s="7">
        <f t="shared" ref="AD71:AZ71" si="8">AVERAGE(AD58:AD59)</f>
        <v>32099</v>
      </c>
      <c r="AE71" s="4">
        <f t="shared" si="8"/>
        <v>1205</v>
      </c>
      <c r="AF71" s="4">
        <f t="shared" si="8"/>
        <v>14.25</v>
      </c>
      <c r="AG71" s="4">
        <f t="shared" si="8"/>
        <v>565.5</v>
      </c>
      <c r="AH71" s="4">
        <f t="shared" si="8"/>
        <v>217.75</v>
      </c>
      <c r="AI71" s="4">
        <f t="shared" si="8"/>
        <v>238</v>
      </c>
      <c r="AJ71" s="4">
        <f t="shared" si="8"/>
        <v>1695</v>
      </c>
      <c r="AK71" s="4">
        <f t="shared" si="8"/>
        <v>351</v>
      </c>
      <c r="AL71" s="4">
        <f t="shared" si="8"/>
        <v>342</v>
      </c>
      <c r="AM71" s="4">
        <f t="shared" si="8"/>
        <v>420</v>
      </c>
      <c r="AN71" s="4">
        <f t="shared" si="8"/>
        <v>249</v>
      </c>
      <c r="AO71" s="4">
        <f t="shared" si="8"/>
        <v>44</v>
      </c>
      <c r="AP71" s="4">
        <f t="shared" si="8"/>
        <v>12</v>
      </c>
      <c r="AQ71" s="4">
        <f t="shared" si="8"/>
        <v>165</v>
      </c>
      <c r="AR71" s="4">
        <f t="shared" si="8"/>
        <v>157.5</v>
      </c>
      <c r="AS71" s="4">
        <f t="shared" si="8"/>
        <v>825.5</v>
      </c>
      <c r="AT71" s="4">
        <f t="shared" si="8"/>
        <v>1225</v>
      </c>
      <c r="AU71" s="4">
        <f t="shared" si="8"/>
        <v>2130</v>
      </c>
      <c r="AV71" s="4">
        <f t="shared" si="8"/>
        <v>459.5</v>
      </c>
      <c r="AW71" s="4">
        <f t="shared" si="8"/>
        <v>323.5</v>
      </c>
      <c r="AX71" s="4">
        <f t="shared" si="8"/>
        <v>562.5</v>
      </c>
      <c r="AY71" s="4">
        <f t="shared" si="8"/>
        <v>86</v>
      </c>
      <c r="AZ71" s="4">
        <f t="shared" si="8"/>
        <v>203</v>
      </c>
    </row>
    <row r="72" spans="30:52" x14ac:dyDescent="0.2">
      <c r="AD72" s="7"/>
    </row>
    <row r="73" spans="30:52" x14ac:dyDescent="0.2">
      <c r="AD73" s="7"/>
    </row>
    <row r="74" spans="30:52" x14ac:dyDescent="0.2">
      <c r="AD74" s="7"/>
    </row>
    <row r="75" spans="30:52" x14ac:dyDescent="0.2">
      <c r="AD75" s="7"/>
    </row>
    <row r="76" spans="30:52" x14ac:dyDescent="0.2">
      <c r="AD76" s="7"/>
    </row>
    <row r="77" spans="30:52" x14ac:dyDescent="0.2">
      <c r="AD77" s="7"/>
    </row>
    <row r="78" spans="30:52" x14ac:dyDescent="0.2">
      <c r="AD78" s="7"/>
    </row>
    <row r="79" spans="30:52" x14ac:dyDescent="0.2">
      <c r="AD79" s="7"/>
    </row>
    <row r="80" spans="30:52" x14ac:dyDescent="0.2">
      <c r="AD80" s="7"/>
    </row>
    <row r="81" spans="30:30" x14ac:dyDescent="0.2">
      <c r="AD81" s="7"/>
    </row>
    <row r="82" spans="30:30" x14ac:dyDescent="0.2">
      <c r="AD82" s="7"/>
    </row>
    <row r="83" spans="30:30" x14ac:dyDescent="0.2">
      <c r="AD83" s="7"/>
    </row>
    <row r="84" spans="30:30" x14ac:dyDescent="0.2">
      <c r="AD84" s="7"/>
    </row>
    <row r="85" spans="30:30" x14ac:dyDescent="0.2">
      <c r="AD85" s="7"/>
    </row>
    <row r="86" spans="30:30" x14ac:dyDescent="0.2">
      <c r="AD86" s="7"/>
    </row>
    <row r="87" spans="30:30" x14ac:dyDescent="0.2">
      <c r="AD87" s="7"/>
    </row>
    <row r="88" spans="30:30" x14ac:dyDescent="0.2">
      <c r="AD88" s="7"/>
    </row>
    <row r="89" spans="30:30" x14ac:dyDescent="0.2">
      <c r="AD89" s="7"/>
    </row>
    <row r="90" spans="30:30" x14ac:dyDescent="0.2">
      <c r="AD90" s="7"/>
    </row>
    <row r="91" spans="30:30" x14ac:dyDescent="0.2">
      <c r="AD91" s="7"/>
    </row>
    <row r="92" spans="30:30" x14ac:dyDescent="0.2">
      <c r="AD92" s="7"/>
    </row>
    <row r="93" spans="30:30" x14ac:dyDescent="0.2">
      <c r="AD93" s="7"/>
    </row>
    <row r="94" spans="30:30" x14ac:dyDescent="0.2">
      <c r="AD94" s="7"/>
    </row>
    <row r="95" spans="30:30" x14ac:dyDescent="0.2">
      <c r="AD95" s="7"/>
    </row>
    <row r="96" spans="30:30" x14ac:dyDescent="0.2">
      <c r="AD96" s="7"/>
    </row>
    <row r="97" spans="30:30" x14ac:dyDescent="0.2">
      <c r="AD97" s="7"/>
    </row>
    <row r="98" spans="30:30" x14ac:dyDescent="0.2">
      <c r="AD98" s="7"/>
    </row>
    <row r="99" spans="30:30" x14ac:dyDescent="0.2">
      <c r="AD99" s="7"/>
    </row>
    <row r="100" spans="30:30" x14ac:dyDescent="0.2">
      <c r="AD100" s="7"/>
    </row>
    <row r="101" spans="30:30" x14ac:dyDescent="0.2">
      <c r="AD101" s="7"/>
    </row>
    <row r="102" spans="30:30" x14ac:dyDescent="0.2">
      <c r="AD102" s="7"/>
    </row>
    <row r="103" spans="30:30" x14ac:dyDescent="0.2">
      <c r="AD103" s="7"/>
    </row>
    <row r="104" spans="30:30" x14ac:dyDescent="0.2">
      <c r="AD104" s="7"/>
    </row>
    <row r="105" spans="30:30" x14ac:dyDescent="0.2">
      <c r="AD105" s="7"/>
    </row>
    <row r="106" spans="30:30" x14ac:dyDescent="0.2">
      <c r="AD106" s="7"/>
    </row>
  </sheetData>
  <pageMargins left="0.5" right="0.5" top="0.75" bottom="0.75" header="0.5" footer="0.5"/>
  <pageSetup orientation="portrait" horizontalDpi="0" verticalDpi="0" copies="0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5"/>
  <sheetViews>
    <sheetView showOutlineSymbols="0" defaultGridColor="0" colorId="9" workbookViewId="0">
      <selection activeCell="A38" sqref="A38"/>
    </sheetView>
  </sheetViews>
  <sheetFormatPr defaultColWidth="8.6640625" defaultRowHeight="15" x14ac:dyDescent="0.2"/>
  <cols>
    <col min="1" max="16384" width="8.6640625" style="2"/>
  </cols>
  <sheetData>
    <row r="1" spans="1:14" ht="18" x14ac:dyDescent="0.25">
      <c r="A1" s="18" t="s">
        <v>602</v>
      </c>
      <c r="N1" s="2" t="s">
        <v>1</v>
      </c>
    </row>
    <row r="2" spans="1:14" x14ac:dyDescent="0.2">
      <c r="A2" s="2" t="s">
        <v>603</v>
      </c>
      <c r="F2" s="8" t="s">
        <v>125</v>
      </c>
      <c r="N2" s="2" t="s">
        <v>1</v>
      </c>
    </row>
    <row r="3" spans="1:14" x14ac:dyDescent="0.2">
      <c r="A3" s="15" t="s">
        <v>253</v>
      </c>
      <c r="B3" s="8" t="s">
        <v>286</v>
      </c>
      <c r="C3" s="8" t="s">
        <v>141</v>
      </c>
      <c r="D3" s="8" t="s">
        <v>136</v>
      </c>
      <c r="E3" s="8" t="s">
        <v>130</v>
      </c>
      <c r="F3" s="8" t="s">
        <v>524</v>
      </c>
      <c r="G3" s="8" t="s">
        <v>133</v>
      </c>
      <c r="H3" s="8" t="s">
        <v>127</v>
      </c>
      <c r="I3" s="8" t="s">
        <v>121</v>
      </c>
      <c r="J3" s="8" t="s">
        <v>112</v>
      </c>
      <c r="K3" s="8" t="s">
        <v>142</v>
      </c>
      <c r="L3" s="8" t="s">
        <v>140</v>
      </c>
      <c r="N3" s="2" t="s">
        <v>1</v>
      </c>
    </row>
    <row r="4" spans="1:14" x14ac:dyDescent="0.2">
      <c r="C4" s="8" t="s">
        <v>266</v>
      </c>
      <c r="D4" s="8" t="s">
        <v>144</v>
      </c>
      <c r="E4" s="8" t="s">
        <v>144</v>
      </c>
      <c r="F4" s="8" t="s">
        <v>144</v>
      </c>
      <c r="G4" s="8" t="s">
        <v>144</v>
      </c>
      <c r="H4" s="8" t="s">
        <v>144</v>
      </c>
      <c r="I4" s="8" t="s">
        <v>144</v>
      </c>
      <c r="J4" s="8" t="s">
        <v>144</v>
      </c>
      <c r="K4" s="8" t="s">
        <v>144</v>
      </c>
      <c r="L4" s="8" t="s">
        <v>144</v>
      </c>
      <c r="N4" s="2" t="s">
        <v>1</v>
      </c>
    </row>
    <row r="5" spans="1:14" x14ac:dyDescent="0.2">
      <c r="N5" s="2" t="s">
        <v>1</v>
      </c>
    </row>
    <row r="6" spans="1:14" x14ac:dyDescent="0.2">
      <c r="A6" s="19">
        <f>DATE(82,6,22)</f>
        <v>30124</v>
      </c>
      <c r="B6" s="2">
        <v>1030</v>
      </c>
      <c r="C6" s="4">
        <v>324.2</v>
      </c>
      <c r="D6" s="4">
        <v>346</v>
      </c>
      <c r="E6" s="4">
        <v>196.8</v>
      </c>
      <c r="F6" s="12">
        <v>0.74</v>
      </c>
      <c r="G6" s="4">
        <v>21.38</v>
      </c>
      <c r="H6" s="4">
        <v>119.94</v>
      </c>
      <c r="I6" s="4">
        <v>169.5</v>
      </c>
      <c r="J6" s="4">
        <v>147.69999999999999</v>
      </c>
      <c r="K6" s="4">
        <v>10.33</v>
      </c>
      <c r="L6" s="4">
        <v>496.36</v>
      </c>
      <c r="N6" s="2" t="s">
        <v>1</v>
      </c>
    </row>
    <row r="7" spans="1:14" x14ac:dyDescent="0.2">
      <c r="A7" s="19">
        <f>DATE(82,6,23)</f>
        <v>30125</v>
      </c>
      <c r="B7" s="2">
        <v>1000</v>
      </c>
      <c r="C7" s="4">
        <v>333.2</v>
      </c>
      <c r="D7" s="4">
        <v>382</v>
      </c>
      <c r="E7" s="4">
        <v>216.1</v>
      </c>
      <c r="F7" s="12">
        <v>1.48</v>
      </c>
      <c r="G7" s="4">
        <v>25.41</v>
      </c>
      <c r="H7" s="4">
        <v>83.9</v>
      </c>
      <c r="I7" s="4">
        <v>201</v>
      </c>
      <c r="J7" s="4">
        <v>152.30000000000001</v>
      </c>
      <c r="K7" s="4">
        <v>16.84</v>
      </c>
      <c r="L7" s="4">
        <v>97.84</v>
      </c>
      <c r="N7" s="2" t="s">
        <v>1</v>
      </c>
    </row>
    <row r="8" spans="1:14" x14ac:dyDescent="0.2">
      <c r="A8" s="19">
        <f>DATE(82,6,24)</f>
        <v>30126</v>
      </c>
      <c r="B8" s="2">
        <v>1030</v>
      </c>
      <c r="C8" s="4">
        <v>330.8</v>
      </c>
      <c r="D8" s="4">
        <v>452.9</v>
      </c>
      <c r="E8" s="4">
        <v>232.1</v>
      </c>
      <c r="F8" s="12">
        <v>2.0299999999999998</v>
      </c>
      <c r="G8" s="4">
        <v>59.18</v>
      </c>
      <c r="H8" s="4">
        <v>224.97</v>
      </c>
      <c r="I8" s="4">
        <v>289.5</v>
      </c>
      <c r="J8" s="4">
        <v>163.6</v>
      </c>
      <c r="K8" s="4">
        <v>64.489999999999995</v>
      </c>
      <c r="L8" s="4">
        <v>204.26</v>
      </c>
      <c r="N8" s="2" t="s">
        <v>1</v>
      </c>
    </row>
    <row r="9" spans="1:14" x14ac:dyDescent="0.2">
      <c r="A9" s="19">
        <f>DATE(82,6,25)</f>
        <v>30127</v>
      </c>
      <c r="B9" s="2">
        <v>1035</v>
      </c>
      <c r="C9" s="4">
        <v>317</v>
      </c>
      <c r="D9" s="4">
        <v>380.6</v>
      </c>
      <c r="E9" s="4">
        <v>223.7</v>
      </c>
      <c r="F9" s="12">
        <v>1.28</v>
      </c>
      <c r="G9" s="4">
        <v>23.68</v>
      </c>
      <c r="H9" s="4">
        <v>57.82</v>
      </c>
      <c r="I9" s="4">
        <v>188.6</v>
      </c>
      <c r="J9" s="4">
        <v>153</v>
      </c>
      <c r="K9" s="4">
        <v>17.57</v>
      </c>
      <c r="L9" s="4">
        <v>153</v>
      </c>
      <c r="N9" s="2" t="s">
        <v>1</v>
      </c>
    </row>
    <row r="10" spans="1:14" x14ac:dyDescent="0.2">
      <c r="A10" s="19">
        <f>DATE(82,6,28)</f>
        <v>30130</v>
      </c>
      <c r="B10" s="2">
        <v>1045</v>
      </c>
      <c r="C10" s="4">
        <v>376.1</v>
      </c>
      <c r="D10" s="4">
        <v>391.7</v>
      </c>
      <c r="E10" s="4">
        <v>630.29999999999995</v>
      </c>
      <c r="F10" s="12">
        <v>1.6</v>
      </c>
      <c r="G10" s="4">
        <v>33.590000000000003</v>
      </c>
      <c r="H10" s="4">
        <v>41.64</v>
      </c>
      <c r="I10" s="4">
        <v>195.8</v>
      </c>
      <c r="J10" s="4">
        <v>164.7</v>
      </c>
      <c r="K10" s="4">
        <v>82.87</v>
      </c>
      <c r="L10" s="4">
        <v>100.49</v>
      </c>
      <c r="N10" s="2" t="s">
        <v>1</v>
      </c>
    </row>
    <row r="11" spans="1:14" x14ac:dyDescent="0.2">
      <c r="A11" s="19">
        <f>DATE(82,6,29)</f>
        <v>30131</v>
      </c>
      <c r="B11" s="2">
        <v>1310</v>
      </c>
      <c r="C11" s="4">
        <v>331.4</v>
      </c>
      <c r="D11" s="4">
        <v>358.4</v>
      </c>
      <c r="E11" s="4">
        <v>201.9</v>
      </c>
      <c r="F11" s="12">
        <v>1.33</v>
      </c>
      <c r="G11" s="4">
        <v>25.16</v>
      </c>
      <c r="H11" s="4">
        <v>90.72</v>
      </c>
      <c r="I11" s="4">
        <v>200.3</v>
      </c>
      <c r="J11" s="4">
        <v>158.6</v>
      </c>
      <c r="K11" s="4">
        <v>21.61</v>
      </c>
      <c r="L11" s="4">
        <v>100.25</v>
      </c>
      <c r="N11" s="2" t="s">
        <v>1</v>
      </c>
    </row>
    <row r="12" spans="1:14" x14ac:dyDescent="0.2">
      <c r="A12" s="19">
        <f>DATE(82,6,30)</f>
        <v>30132</v>
      </c>
      <c r="B12" s="2">
        <v>930</v>
      </c>
      <c r="C12" s="4">
        <v>345.7</v>
      </c>
      <c r="D12" s="4">
        <v>623.20000000000005</v>
      </c>
      <c r="E12" s="4">
        <v>219.7</v>
      </c>
      <c r="F12" s="12">
        <v>1.4</v>
      </c>
      <c r="G12" s="4">
        <v>107.58</v>
      </c>
      <c r="H12" s="4">
        <v>55.74</v>
      </c>
      <c r="I12" s="4">
        <v>249.6</v>
      </c>
      <c r="J12" s="4">
        <v>167.92</v>
      </c>
      <c r="K12" s="4">
        <v>49.85</v>
      </c>
      <c r="L12" s="4">
        <v>150</v>
      </c>
      <c r="N12" s="2" t="s">
        <v>1</v>
      </c>
    </row>
    <row r="13" spans="1:14" x14ac:dyDescent="0.2">
      <c r="A13" s="19">
        <f>DATE(82,7,1)</f>
        <v>30133</v>
      </c>
      <c r="B13" s="2">
        <v>930</v>
      </c>
      <c r="C13" s="4">
        <v>328.9</v>
      </c>
      <c r="D13" s="4">
        <v>356.5</v>
      </c>
      <c r="E13" s="4">
        <v>207.7</v>
      </c>
      <c r="F13" s="12">
        <v>0.91</v>
      </c>
      <c r="G13" s="4">
        <v>23.85</v>
      </c>
      <c r="H13" s="4">
        <v>37.409999999999997</v>
      </c>
      <c r="I13" s="4">
        <v>179.36</v>
      </c>
      <c r="J13" s="4">
        <v>155.69999999999999</v>
      </c>
      <c r="K13" s="4">
        <v>4.87</v>
      </c>
      <c r="L13" s="4">
        <v>71.680000000000007</v>
      </c>
      <c r="N13" s="2" t="s">
        <v>1</v>
      </c>
    </row>
    <row r="14" spans="1:14" x14ac:dyDescent="0.2">
      <c r="A14" s="19">
        <f>DATE(82,7,2)</f>
        <v>30134</v>
      </c>
      <c r="B14" s="2">
        <v>850</v>
      </c>
      <c r="C14" s="4">
        <v>333.9</v>
      </c>
      <c r="D14" s="4">
        <v>960.9</v>
      </c>
      <c r="E14" s="4">
        <v>209.7</v>
      </c>
      <c r="F14" s="12">
        <v>1.08</v>
      </c>
      <c r="G14" s="4">
        <v>27.88</v>
      </c>
      <c r="H14" s="4">
        <v>37.880000000000003</v>
      </c>
      <c r="I14" s="4">
        <v>194.3</v>
      </c>
      <c r="J14" s="4">
        <v>173.2</v>
      </c>
      <c r="K14" s="4">
        <v>75.260000000000005</v>
      </c>
      <c r="L14" s="4">
        <v>82.51</v>
      </c>
      <c r="N14" s="2" t="s">
        <v>1</v>
      </c>
    </row>
    <row r="15" spans="1:14" x14ac:dyDescent="0.2">
      <c r="A15" s="19">
        <f>DATE(82,7,6)</f>
        <v>30138</v>
      </c>
      <c r="B15" s="2">
        <v>1120</v>
      </c>
      <c r="C15" s="4">
        <v>341.3</v>
      </c>
      <c r="D15" s="4">
        <v>377.4</v>
      </c>
      <c r="E15" s="4">
        <v>187.1</v>
      </c>
      <c r="F15" s="12">
        <v>0.95</v>
      </c>
      <c r="G15" s="4">
        <v>22.99</v>
      </c>
      <c r="H15" s="4">
        <v>50.95</v>
      </c>
      <c r="I15" s="4">
        <v>176.5</v>
      </c>
      <c r="J15" s="4">
        <v>158.1</v>
      </c>
      <c r="K15" s="4">
        <v>10.029999999999999</v>
      </c>
      <c r="L15" s="4">
        <v>95.58</v>
      </c>
      <c r="N15" s="2" t="s">
        <v>1</v>
      </c>
    </row>
    <row r="16" spans="1:14" x14ac:dyDescent="0.2">
      <c r="A16" s="19">
        <f>DATE(82,7,7)</f>
        <v>30139</v>
      </c>
      <c r="B16" s="2">
        <v>915</v>
      </c>
      <c r="C16" s="4">
        <v>334.4</v>
      </c>
      <c r="D16" s="4">
        <v>1278.4000000000001</v>
      </c>
      <c r="E16" s="4">
        <v>236.1</v>
      </c>
      <c r="F16" s="12">
        <v>1.08</v>
      </c>
      <c r="G16" s="4">
        <v>310.02</v>
      </c>
      <c r="H16" s="4">
        <v>52.18</v>
      </c>
      <c r="I16" s="4">
        <v>446.1</v>
      </c>
      <c r="J16" s="4">
        <v>155.5</v>
      </c>
      <c r="K16" s="4">
        <v>454.93</v>
      </c>
      <c r="L16" s="4">
        <v>1351.41</v>
      </c>
      <c r="N16" s="2" t="s">
        <v>1</v>
      </c>
    </row>
    <row r="17" spans="1:14" x14ac:dyDescent="0.2">
      <c r="A17" s="19">
        <f>DATE(82,7,8)</f>
        <v>30140</v>
      </c>
      <c r="B17" s="2">
        <v>1005</v>
      </c>
      <c r="C17" s="4">
        <v>324</v>
      </c>
      <c r="D17" s="4">
        <v>490</v>
      </c>
      <c r="E17" s="4">
        <v>206.1</v>
      </c>
      <c r="F17" s="12">
        <v>1.45</v>
      </c>
      <c r="G17" s="4">
        <v>89.4</v>
      </c>
      <c r="H17" s="4">
        <v>57.16</v>
      </c>
      <c r="I17" s="4">
        <v>271.39999999999998</v>
      </c>
      <c r="J17" s="4">
        <v>159</v>
      </c>
      <c r="K17" s="4">
        <v>69.37</v>
      </c>
      <c r="L17" s="4">
        <v>607.69000000000005</v>
      </c>
      <c r="N17" s="2" t="s">
        <v>1</v>
      </c>
    </row>
    <row r="18" spans="1:14" x14ac:dyDescent="0.2">
      <c r="A18" s="19">
        <f>DATE(82,7,9)</f>
        <v>30141</v>
      </c>
      <c r="B18" s="2">
        <v>1118</v>
      </c>
      <c r="C18" s="4">
        <v>332.6</v>
      </c>
      <c r="D18" s="4">
        <v>776.7</v>
      </c>
      <c r="E18" s="4">
        <v>221.4</v>
      </c>
      <c r="F18" s="12">
        <v>1</v>
      </c>
      <c r="G18" s="4">
        <v>45.76</v>
      </c>
      <c r="H18" s="4">
        <v>86.96</v>
      </c>
      <c r="I18" s="4">
        <v>290.89999999999998</v>
      </c>
      <c r="J18" s="4">
        <v>165.1</v>
      </c>
      <c r="K18" s="4">
        <v>54.73</v>
      </c>
      <c r="L18" s="4">
        <v>444.2</v>
      </c>
      <c r="N18" s="2" t="s">
        <v>1</v>
      </c>
    </row>
    <row r="19" spans="1:14" x14ac:dyDescent="0.2">
      <c r="A19" s="19">
        <f>DATE(82,7,12)</f>
        <v>30144</v>
      </c>
      <c r="B19" s="2">
        <v>920</v>
      </c>
      <c r="C19" s="4">
        <v>327.8</v>
      </c>
      <c r="D19" s="4">
        <v>348.2</v>
      </c>
      <c r="E19" s="4">
        <v>205.3</v>
      </c>
      <c r="F19" s="12">
        <v>1.61</v>
      </c>
      <c r="G19" s="4">
        <v>23.81</v>
      </c>
      <c r="H19" s="4">
        <v>49.5</v>
      </c>
      <c r="I19" s="4">
        <v>159</v>
      </c>
      <c r="J19" s="4">
        <v>159.30000000000001</v>
      </c>
      <c r="K19" s="4">
        <v>27.74</v>
      </c>
      <c r="L19" s="4">
        <v>66.819999999999993</v>
      </c>
      <c r="N19" s="2" t="s">
        <v>1</v>
      </c>
    </row>
    <row r="20" spans="1:14" x14ac:dyDescent="0.2">
      <c r="A20" s="19">
        <f>DATE(82,7,13)</f>
        <v>30145</v>
      </c>
      <c r="B20" s="2">
        <v>1030</v>
      </c>
      <c r="C20" s="4">
        <v>307</v>
      </c>
      <c r="D20" s="4">
        <v>447.9</v>
      </c>
      <c r="E20" s="4">
        <v>293.5</v>
      </c>
      <c r="F20" s="12">
        <v>0.76</v>
      </c>
      <c r="G20" s="4">
        <v>36.090000000000003</v>
      </c>
      <c r="H20" s="4">
        <v>131.63999999999999</v>
      </c>
      <c r="I20" s="4">
        <v>265.5</v>
      </c>
      <c r="J20" s="4">
        <v>158.69999999999999</v>
      </c>
      <c r="K20" s="4">
        <v>147.35</v>
      </c>
      <c r="L20" s="4">
        <v>254.53</v>
      </c>
      <c r="N20" s="2" t="s">
        <v>1</v>
      </c>
    </row>
    <row r="21" spans="1:14" x14ac:dyDescent="0.2">
      <c r="A21" s="19">
        <f>DATE(82,7,15)</f>
        <v>30147</v>
      </c>
      <c r="B21" s="2">
        <v>930</v>
      </c>
      <c r="C21" s="4">
        <v>335</v>
      </c>
      <c r="D21" s="4">
        <v>394.7</v>
      </c>
      <c r="E21" s="4">
        <v>207</v>
      </c>
      <c r="F21" s="12">
        <v>0.92</v>
      </c>
      <c r="G21" s="4">
        <v>36.39</v>
      </c>
      <c r="H21" s="4">
        <v>36.92</v>
      </c>
      <c r="I21" s="4">
        <v>192.7</v>
      </c>
      <c r="J21" s="4">
        <v>159.30000000000001</v>
      </c>
      <c r="K21" s="4">
        <v>11.59</v>
      </c>
      <c r="L21" s="4">
        <v>94.7</v>
      </c>
      <c r="N21" s="2" t="s">
        <v>1</v>
      </c>
    </row>
    <row r="22" spans="1:14" x14ac:dyDescent="0.2">
      <c r="A22" s="19">
        <f>DATE(82,7,16)</f>
        <v>30148</v>
      </c>
      <c r="B22" s="2">
        <v>930</v>
      </c>
      <c r="C22" s="4">
        <v>347.9</v>
      </c>
      <c r="D22" s="4">
        <v>377</v>
      </c>
      <c r="E22" s="4">
        <v>213.4</v>
      </c>
      <c r="F22" s="12">
        <v>1.28</v>
      </c>
      <c r="G22" s="4">
        <v>22.8</v>
      </c>
      <c r="H22" s="4">
        <v>151.6</v>
      </c>
      <c r="I22" s="4">
        <v>179.8</v>
      </c>
      <c r="J22" s="4">
        <v>165</v>
      </c>
      <c r="K22" s="4">
        <v>7.65</v>
      </c>
      <c r="L22" s="4">
        <v>67.02</v>
      </c>
      <c r="N22" s="2" t="s">
        <v>1</v>
      </c>
    </row>
    <row r="23" spans="1:14" x14ac:dyDescent="0.2">
      <c r="A23" s="19">
        <f>DATE(82,7,20)</f>
        <v>30152</v>
      </c>
      <c r="B23" s="2">
        <v>905</v>
      </c>
      <c r="C23" s="4">
        <v>345</v>
      </c>
      <c r="D23" s="4">
        <v>370.8</v>
      </c>
      <c r="E23" s="4">
        <v>178.8</v>
      </c>
      <c r="F23" s="12">
        <v>0.9</v>
      </c>
      <c r="G23" s="4">
        <v>18.59</v>
      </c>
      <c r="H23" s="4">
        <v>151.72</v>
      </c>
      <c r="I23" s="4">
        <v>158.4</v>
      </c>
      <c r="J23" s="4">
        <v>157.69999999999999</v>
      </c>
      <c r="K23" s="4"/>
      <c r="L23" s="4">
        <v>40.090000000000003</v>
      </c>
      <c r="N23" s="2" t="s">
        <v>1</v>
      </c>
    </row>
    <row r="24" spans="1:14" x14ac:dyDescent="0.2">
      <c r="A24" s="19">
        <f>DATE(82,7,22)</f>
        <v>30154</v>
      </c>
      <c r="B24" s="2">
        <v>915</v>
      </c>
      <c r="C24" s="4">
        <v>336.4</v>
      </c>
      <c r="D24" s="4">
        <v>385.8</v>
      </c>
      <c r="E24" s="4">
        <v>191.1</v>
      </c>
      <c r="F24" s="12">
        <v>0.85</v>
      </c>
      <c r="G24" s="4">
        <v>25.35</v>
      </c>
      <c r="H24" s="4">
        <v>145.85</v>
      </c>
      <c r="I24" s="4">
        <v>213.6</v>
      </c>
      <c r="J24" s="4">
        <v>153.80000000000001</v>
      </c>
      <c r="K24" s="4">
        <v>17.43</v>
      </c>
      <c r="L24" s="4">
        <v>118.24</v>
      </c>
      <c r="N24" s="2" t="s">
        <v>1</v>
      </c>
    </row>
    <row r="25" spans="1:14" x14ac:dyDescent="0.2">
      <c r="A25" s="19">
        <f>DATE(82,7,23)</f>
        <v>30155</v>
      </c>
      <c r="B25" s="2">
        <v>940</v>
      </c>
      <c r="C25" s="4">
        <v>340.4</v>
      </c>
      <c r="D25" s="4">
        <v>360.6</v>
      </c>
      <c r="E25" s="4">
        <v>227.6</v>
      </c>
      <c r="F25" s="12">
        <v>1.01</v>
      </c>
      <c r="G25" s="4">
        <v>26.88</v>
      </c>
      <c r="H25" s="4">
        <v>95.81</v>
      </c>
      <c r="I25" s="4">
        <v>190.4</v>
      </c>
      <c r="J25" s="4">
        <v>156.69999999999999</v>
      </c>
      <c r="K25" s="4">
        <v>31.77</v>
      </c>
      <c r="L25" s="4">
        <v>100.13</v>
      </c>
      <c r="N25" s="2" t="s">
        <v>1</v>
      </c>
    </row>
    <row r="26" spans="1:14" x14ac:dyDescent="0.2">
      <c r="A26" s="19">
        <f>DATE(82,7,26)</f>
        <v>30158</v>
      </c>
      <c r="C26" s="4">
        <v>353.3</v>
      </c>
      <c r="D26" s="4">
        <v>484</v>
      </c>
      <c r="E26" s="4">
        <v>200.1</v>
      </c>
      <c r="F26" s="12">
        <v>1.63</v>
      </c>
      <c r="G26" s="4">
        <v>71.63</v>
      </c>
      <c r="H26" s="4">
        <v>165.83</v>
      </c>
      <c r="I26" s="4">
        <v>280.89999999999998</v>
      </c>
      <c r="J26" s="4">
        <v>171.4</v>
      </c>
      <c r="K26" s="4">
        <v>44.38</v>
      </c>
      <c r="L26" s="4">
        <v>437.33</v>
      </c>
      <c r="N26" s="2" t="s">
        <v>1</v>
      </c>
    </row>
    <row r="27" spans="1:14" x14ac:dyDescent="0.2">
      <c r="A27" s="19">
        <f>DATE(82,7,27)</f>
        <v>30159</v>
      </c>
      <c r="B27" s="2">
        <v>1125</v>
      </c>
      <c r="C27" s="4">
        <v>341.6</v>
      </c>
      <c r="D27" s="4">
        <v>370.3</v>
      </c>
      <c r="E27" s="4">
        <v>178.7</v>
      </c>
      <c r="F27" s="12">
        <v>1.04</v>
      </c>
      <c r="G27" s="4">
        <v>22.97</v>
      </c>
      <c r="H27" s="4">
        <v>72.47</v>
      </c>
      <c r="I27" s="4">
        <v>170</v>
      </c>
      <c r="J27" s="4">
        <v>157.9</v>
      </c>
      <c r="K27" s="4">
        <v>7.77</v>
      </c>
      <c r="L27" s="4">
        <v>110.43</v>
      </c>
      <c r="N27" s="2" t="s">
        <v>1</v>
      </c>
    </row>
    <row r="28" spans="1:14" x14ac:dyDescent="0.2">
      <c r="A28" s="19">
        <f>DATE(82,7,28)</f>
        <v>30160</v>
      </c>
      <c r="B28" s="2">
        <v>1200</v>
      </c>
      <c r="C28" s="4">
        <v>332.3</v>
      </c>
      <c r="D28" s="4">
        <v>336.1</v>
      </c>
      <c r="E28" s="4">
        <v>187.9</v>
      </c>
      <c r="F28" s="12">
        <v>1</v>
      </c>
      <c r="G28" s="4">
        <v>21.87</v>
      </c>
      <c r="H28" s="4">
        <v>99.73</v>
      </c>
      <c r="I28" s="4">
        <v>171.4</v>
      </c>
      <c r="J28" s="4">
        <v>150.6</v>
      </c>
      <c r="K28" s="4">
        <v>21.59</v>
      </c>
      <c r="L28" s="4">
        <v>90.89</v>
      </c>
      <c r="N28" s="2" t="s">
        <v>1</v>
      </c>
    </row>
    <row r="29" spans="1:14" x14ac:dyDescent="0.2">
      <c r="A29" s="19">
        <f>DATE(82,7,29)</f>
        <v>30161</v>
      </c>
      <c r="B29" s="2">
        <v>912</v>
      </c>
      <c r="C29" s="4">
        <v>326.60000000000002</v>
      </c>
      <c r="D29" s="4">
        <v>353.9</v>
      </c>
      <c r="E29" s="4">
        <v>192.4</v>
      </c>
      <c r="F29" s="12">
        <v>1.37</v>
      </c>
      <c r="G29" s="4">
        <v>26.13</v>
      </c>
      <c r="H29" s="4">
        <v>97.39</v>
      </c>
      <c r="I29" s="4">
        <v>187.3</v>
      </c>
      <c r="J29" s="4">
        <v>153.1</v>
      </c>
      <c r="K29" s="4">
        <v>5.7</v>
      </c>
      <c r="L29" s="4">
        <v>77.09</v>
      </c>
      <c r="N29" s="2" t="s">
        <v>1</v>
      </c>
    </row>
    <row r="30" spans="1:14" x14ac:dyDescent="0.2">
      <c r="A30" s="19">
        <f>DATE(82,7,30)</f>
        <v>30162</v>
      </c>
      <c r="B30" s="2">
        <v>925</v>
      </c>
      <c r="C30" s="4">
        <v>330</v>
      </c>
      <c r="D30" s="4">
        <v>365.4</v>
      </c>
      <c r="E30" s="4">
        <v>206.9</v>
      </c>
      <c r="F30" s="12">
        <v>1.53</v>
      </c>
      <c r="G30" s="4">
        <v>23.47</v>
      </c>
      <c r="H30" s="4">
        <v>38.630000000000003</v>
      </c>
      <c r="I30" s="4">
        <v>205</v>
      </c>
      <c r="J30" s="4">
        <v>166.2</v>
      </c>
      <c r="K30" s="4">
        <v>12.92</v>
      </c>
      <c r="L30" s="4">
        <v>62.05</v>
      </c>
      <c r="N30" s="2" t="s">
        <v>1</v>
      </c>
    </row>
    <row r="31" spans="1:14" x14ac:dyDescent="0.2">
      <c r="A31" s="19">
        <f>DATE(82,8,2)</f>
        <v>30165</v>
      </c>
      <c r="B31" s="2">
        <v>1050</v>
      </c>
      <c r="C31" s="4">
        <v>326.60000000000002</v>
      </c>
      <c r="D31" s="4">
        <v>434.4</v>
      </c>
      <c r="E31" s="4">
        <v>207.7</v>
      </c>
      <c r="F31" s="12">
        <v>0.84</v>
      </c>
      <c r="G31" s="4">
        <v>38.880000000000003</v>
      </c>
      <c r="H31" s="4">
        <v>42.27</v>
      </c>
      <c r="I31" s="4">
        <v>194.2</v>
      </c>
      <c r="J31" s="4">
        <v>432</v>
      </c>
      <c r="K31" s="4">
        <v>39.409999999999997</v>
      </c>
      <c r="L31" s="4">
        <v>141.77000000000001</v>
      </c>
      <c r="N31" s="2" t="s">
        <v>1</v>
      </c>
    </row>
    <row r="32" spans="1:14" x14ac:dyDescent="0.2">
      <c r="A32" s="19">
        <f>DATE(82,8,3)</f>
        <v>30166</v>
      </c>
      <c r="B32" s="2">
        <v>915</v>
      </c>
      <c r="C32" s="4">
        <v>341.6</v>
      </c>
      <c r="D32" s="4">
        <v>611</v>
      </c>
      <c r="E32" s="4">
        <v>682.9</v>
      </c>
      <c r="F32" s="12">
        <v>0.81</v>
      </c>
      <c r="G32" s="4">
        <v>228.64</v>
      </c>
      <c r="H32" s="4">
        <v>119.65</v>
      </c>
      <c r="I32" s="4">
        <v>365</v>
      </c>
      <c r="J32" s="4">
        <v>367.9</v>
      </c>
      <c r="K32" s="4">
        <v>252.34</v>
      </c>
      <c r="L32" s="4">
        <v>298.98</v>
      </c>
      <c r="N32" s="2" t="s">
        <v>1</v>
      </c>
    </row>
    <row r="33" spans="1:14" x14ac:dyDescent="0.2">
      <c r="N33" s="2" t="s">
        <v>1</v>
      </c>
    </row>
    <row r="34" spans="1:14" x14ac:dyDescent="0.2">
      <c r="N34" s="2" t="s">
        <v>1</v>
      </c>
    </row>
    <row r="35" spans="1:14" x14ac:dyDescent="0.2">
      <c r="C35" s="8" t="s">
        <v>141</v>
      </c>
      <c r="D35" s="8" t="s">
        <v>136</v>
      </c>
      <c r="E35" s="8" t="s">
        <v>130</v>
      </c>
      <c r="F35" s="8" t="s">
        <v>125</v>
      </c>
      <c r="G35" s="8" t="s">
        <v>133</v>
      </c>
      <c r="H35" s="8" t="s">
        <v>127</v>
      </c>
      <c r="I35" s="8" t="s">
        <v>121</v>
      </c>
      <c r="J35" s="8" t="s">
        <v>112</v>
      </c>
      <c r="K35" s="8" t="s">
        <v>142</v>
      </c>
      <c r="L35" s="8" t="s">
        <v>140</v>
      </c>
      <c r="N35" s="2" t="s">
        <v>1</v>
      </c>
    </row>
    <row r="36" spans="1:14" x14ac:dyDescent="0.2">
      <c r="C36" s="8" t="s">
        <v>266</v>
      </c>
      <c r="D36" s="8" t="s">
        <v>144</v>
      </c>
      <c r="E36" s="8" t="s">
        <v>144</v>
      </c>
      <c r="F36" s="8" t="s">
        <v>144</v>
      </c>
      <c r="G36" s="8" t="s">
        <v>144</v>
      </c>
      <c r="H36" s="8" t="s">
        <v>144</v>
      </c>
      <c r="I36" s="8" t="s">
        <v>144</v>
      </c>
      <c r="J36" s="8" t="s">
        <v>144</v>
      </c>
      <c r="K36" s="8" t="s">
        <v>144</v>
      </c>
      <c r="L36" s="8" t="s">
        <v>144</v>
      </c>
      <c r="N36" s="2" t="s">
        <v>1</v>
      </c>
    </row>
    <row r="37" spans="1:14" x14ac:dyDescent="0.2">
      <c r="N37" s="2" t="s">
        <v>1</v>
      </c>
    </row>
    <row r="38" spans="1:14" x14ac:dyDescent="0.2">
      <c r="A38" s="7">
        <f>AVERAGE(A6:A32)</f>
        <v>30144.296296296296</v>
      </c>
      <c r="B38" s="2" t="s">
        <v>529</v>
      </c>
      <c r="C38" s="4">
        <f t="shared" ref="C38:L38" si="0">AVERAGE(C6:C32)</f>
        <v>335.00000000000006</v>
      </c>
      <c r="D38" s="4">
        <f t="shared" si="0"/>
        <v>474.62222222222215</v>
      </c>
      <c r="E38" s="4">
        <f t="shared" si="0"/>
        <v>243.03703703703701</v>
      </c>
      <c r="F38" s="4">
        <f t="shared" si="0"/>
        <v>1.1807407407407409</v>
      </c>
      <c r="G38" s="4">
        <f t="shared" si="0"/>
        <v>53.310370370370372</v>
      </c>
      <c r="H38" s="4">
        <f t="shared" si="0"/>
        <v>88.751111111111101</v>
      </c>
      <c r="I38" s="4">
        <f t="shared" si="0"/>
        <v>221.7059259259259</v>
      </c>
      <c r="J38" s="4">
        <f t="shared" si="0"/>
        <v>177.18592592592591</v>
      </c>
      <c r="K38" s="4">
        <f t="shared" si="0"/>
        <v>60.015000000000001</v>
      </c>
      <c r="L38" s="4">
        <f t="shared" si="0"/>
        <v>219.08666666666673</v>
      </c>
      <c r="N38" s="2" t="s">
        <v>1</v>
      </c>
    </row>
    <row r="39" spans="1:14" x14ac:dyDescent="0.2">
      <c r="B39" s="2" t="s">
        <v>255</v>
      </c>
      <c r="C39" s="4">
        <f t="shared" ref="C39:L39" si="1">STDEV(C6:C32)</f>
        <v>12.728224240155905</v>
      </c>
      <c r="D39" s="4">
        <f t="shared" si="1"/>
        <v>216.21519610249672</v>
      </c>
      <c r="E39" s="4">
        <f t="shared" si="1"/>
        <v>121.49184255030386</v>
      </c>
      <c r="F39" s="4">
        <f t="shared" si="1"/>
        <v>0.33022050821471305</v>
      </c>
      <c r="G39" s="4">
        <f t="shared" si="1"/>
        <v>66.916305158095767</v>
      </c>
      <c r="H39" s="4">
        <f t="shared" si="1"/>
        <v>48.885078998790121</v>
      </c>
      <c r="I39" s="4">
        <f t="shared" si="1"/>
        <v>67.343283787064294</v>
      </c>
      <c r="J39" s="4">
        <f t="shared" si="1"/>
        <v>65.111083498141824</v>
      </c>
      <c r="K39" s="4">
        <f t="shared" si="1"/>
        <v>96.643573868105676</v>
      </c>
      <c r="L39" s="4">
        <f t="shared" si="1"/>
        <v>271.82168517388232</v>
      </c>
      <c r="N39" s="2" t="s">
        <v>1</v>
      </c>
    </row>
    <row r="40" spans="1:14" x14ac:dyDescent="0.2">
      <c r="B40" s="2" t="s">
        <v>365</v>
      </c>
      <c r="C40" s="2">
        <f t="shared" ref="C40:L40" si="2">COUNTA(C6:C32)</f>
        <v>27</v>
      </c>
      <c r="D40" s="2">
        <f t="shared" si="2"/>
        <v>27</v>
      </c>
      <c r="E40" s="2">
        <f t="shared" si="2"/>
        <v>27</v>
      </c>
      <c r="F40" s="2">
        <f t="shared" si="2"/>
        <v>27</v>
      </c>
      <c r="G40" s="2">
        <f t="shared" si="2"/>
        <v>27</v>
      </c>
      <c r="H40" s="2">
        <f t="shared" si="2"/>
        <v>27</v>
      </c>
      <c r="I40" s="2">
        <f t="shared" si="2"/>
        <v>27</v>
      </c>
      <c r="J40" s="2">
        <f t="shared" si="2"/>
        <v>27</v>
      </c>
      <c r="K40" s="2">
        <f t="shared" si="2"/>
        <v>26</v>
      </c>
      <c r="L40" s="2">
        <f t="shared" si="2"/>
        <v>27</v>
      </c>
      <c r="N40" s="2" t="s">
        <v>1</v>
      </c>
    </row>
    <row r="41" spans="1:14" x14ac:dyDescent="0.2">
      <c r="N41" s="2" t="s">
        <v>1</v>
      </c>
    </row>
    <row r="42" spans="1:14" x14ac:dyDescent="0.2">
      <c r="N42" s="2" t="s">
        <v>1</v>
      </c>
    </row>
    <row r="43" spans="1:14" x14ac:dyDescent="0.2">
      <c r="N43" s="2" t="s">
        <v>1</v>
      </c>
    </row>
    <row r="44" spans="1:14" x14ac:dyDescent="0.2">
      <c r="N44" s="2" t="s">
        <v>1</v>
      </c>
    </row>
    <row r="45" spans="1:14" x14ac:dyDescent="0.2">
      <c r="N45" s="2" t="s">
        <v>1</v>
      </c>
    </row>
  </sheetData>
  <pageMargins left="0.5" right="0.5" top="0.75" bottom="0.75" header="0.5" footer="0.5"/>
  <pageSetup orientation="portrait" horizontalDpi="0" verticalDpi="0" copies="0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9"/>
  <sheetViews>
    <sheetView showOutlineSymbols="0" defaultGridColor="0" colorId="9" workbookViewId="0">
      <selection activeCell="C6" sqref="C6"/>
    </sheetView>
  </sheetViews>
  <sheetFormatPr defaultColWidth="8.6640625" defaultRowHeight="15" x14ac:dyDescent="0.2"/>
  <cols>
    <col min="1" max="16384" width="8.6640625" style="2"/>
  </cols>
  <sheetData>
    <row r="1" spans="1:14" x14ac:dyDescent="0.2">
      <c r="A1" s="2" t="s">
        <v>604</v>
      </c>
      <c r="N1" s="2" t="s">
        <v>1</v>
      </c>
    </row>
    <row r="2" spans="1:14" x14ac:dyDescent="0.2">
      <c r="A2" s="2" t="s">
        <v>605</v>
      </c>
      <c r="N2" s="2" t="s">
        <v>1</v>
      </c>
    </row>
    <row r="3" spans="1:14" x14ac:dyDescent="0.2">
      <c r="A3" s="2" t="s">
        <v>606</v>
      </c>
      <c r="N3" s="2" t="s">
        <v>1</v>
      </c>
    </row>
    <row r="4" spans="1:14" x14ac:dyDescent="0.2">
      <c r="N4" s="2" t="s">
        <v>1</v>
      </c>
    </row>
    <row r="5" spans="1:14" x14ac:dyDescent="0.2">
      <c r="N5" s="2" t="s">
        <v>1</v>
      </c>
    </row>
    <row r="6" spans="1:14" x14ac:dyDescent="0.2">
      <c r="A6" s="2" t="s">
        <v>607</v>
      </c>
      <c r="B6" s="2" t="s">
        <v>608</v>
      </c>
      <c r="C6" s="8" t="s">
        <v>118</v>
      </c>
      <c r="D6" s="8" t="s">
        <v>134</v>
      </c>
      <c r="E6" s="8" t="s">
        <v>123</v>
      </c>
      <c r="F6" s="8" t="s">
        <v>138</v>
      </c>
      <c r="G6" s="8" t="s">
        <v>136</v>
      </c>
      <c r="H6" s="8" t="s">
        <v>130</v>
      </c>
      <c r="I6" s="8" t="s">
        <v>133</v>
      </c>
      <c r="J6" s="8" t="s">
        <v>127</v>
      </c>
      <c r="K6" s="8" t="s">
        <v>121</v>
      </c>
      <c r="L6" s="8" t="s">
        <v>112</v>
      </c>
      <c r="N6" s="2" t="s">
        <v>1</v>
      </c>
    </row>
    <row r="7" spans="1:14" x14ac:dyDescent="0.2">
      <c r="C7" s="8" t="s">
        <v>266</v>
      </c>
      <c r="D7" s="8" t="s">
        <v>371</v>
      </c>
      <c r="E7" s="8" t="s">
        <v>266</v>
      </c>
      <c r="F7" s="8" t="s">
        <v>266</v>
      </c>
      <c r="G7" s="8" t="s">
        <v>144</v>
      </c>
      <c r="H7" s="8" t="s">
        <v>144</v>
      </c>
      <c r="I7" s="8" t="s">
        <v>144</v>
      </c>
      <c r="J7" s="8" t="s">
        <v>144</v>
      </c>
      <c r="K7" s="8" t="s">
        <v>144</v>
      </c>
      <c r="L7" s="8" t="s">
        <v>144</v>
      </c>
      <c r="N7" s="2" t="s">
        <v>1</v>
      </c>
    </row>
    <row r="8" spans="1:14" x14ac:dyDescent="0.2">
      <c r="N8" s="2" t="s">
        <v>1</v>
      </c>
    </row>
    <row r="9" spans="1:14" x14ac:dyDescent="0.2">
      <c r="N9" s="2" t="s">
        <v>1</v>
      </c>
    </row>
    <row r="10" spans="1:14" x14ac:dyDescent="0.2">
      <c r="N10" s="2" t="s">
        <v>1</v>
      </c>
    </row>
    <row r="11" spans="1:14" x14ac:dyDescent="0.2">
      <c r="A11" s="7">
        <v>34177</v>
      </c>
      <c r="B11" s="22">
        <v>0.80069444444444449</v>
      </c>
      <c r="C11" s="2">
        <v>883</v>
      </c>
      <c r="D11" s="2">
        <v>405</v>
      </c>
      <c r="E11" s="2">
        <v>2575</v>
      </c>
      <c r="F11" s="2">
        <v>347</v>
      </c>
      <c r="G11" s="2">
        <v>560</v>
      </c>
      <c r="H11" s="2">
        <v>307</v>
      </c>
      <c r="I11" s="2">
        <v>66</v>
      </c>
      <c r="J11" s="2">
        <v>34</v>
      </c>
      <c r="K11" s="2">
        <v>231</v>
      </c>
      <c r="L11" s="2">
        <v>169</v>
      </c>
      <c r="N11" s="2" t="s">
        <v>1</v>
      </c>
    </row>
    <row r="12" spans="1:14" x14ac:dyDescent="0.2">
      <c r="A12" s="7">
        <v>34186</v>
      </c>
      <c r="B12" s="22">
        <v>0.76736111111111116</v>
      </c>
      <c r="C12" s="2">
        <v>444</v>
      </c>
      <c r="D12" s="2">
        <v>370</v>
      </c>
      <c r="E12" s="2">
        <v>2114</v>
      </c>
      <c r="F12" s="2">
        <v>346</v>
      </c>
      <c r="G12" s="2">
        <v>612</v>
      </c>
      <c r="H12" s="2">
        <v>414</v>
      </c>
      <c r="I12" s="2">
        <v>61</v>
      </c>
      <c r="J12" s="2">
        <v>113</v>
      </c>
      <c r="K12" s="2">
        <v>250</v>
      </c>
      <c r="L12" s="2">
        <v>190</v>
      </c>
      <c r="N12" s="2" t="s">
        <v>1</v>
      </c>
    </row>
    <row r="13" spans="1:14" x14ac:dyDescent="0.2">
      <c r="A13" s="7">
        <v>34241</v>
      </c>
      <c r="B13" s="22">
        <v>0.76249999999999996</v>
      </c>
      <c r="C13" s="2">
        <v>649</v>
      </c>
      <c r="D13" s="2">
        <v>588</v>
      </c>
      <c r="E13" s="2">
        <v>1914</v>
      </c>
      <c r="F13" s="2">
        <v>365</v>
      </c>
      <c r="G13" s="2">
        <v>573</v>
      </c>
      <c r="H13" s="2">
        <v>303</v>
      </c>
      <c r="I13" s="2">
        <v>58</v>
      </c>
      <c r="J13" s="2">
        <v>166</v>
      </c>
      <c r="K13" s="2">
        <v>210</v>
      </c>
      <c r="L13" s="2">
        <v>178</v>
      </c>
      <c r="N13" s="2" t="s">
        <v>1</v>
      </c>
    </row>
    <row r="14" spans="1:14" x14ac:dyDescent="0.2">
      <c r="A14" s="7">
        <v>34180</v>
      </c>
      <c r="B14" s="22">
        <v>0.76111111111111107</v>
      </c>
      <c r="C14" s="2">
        <v>984</v>
      </c>
      <c r="D14" s="2">
        <v>462</v>
      </c>
      <c r="E14" s="2">
        <v>2254</v>
      </c>
      <c r="F14" s="2">
        <v>365</v>
      </c>
      <c r="G14" s="2">
        <v>699</v>
      </c>
      <c r="H14" s="2">
        <v>335</v>
      </c>
      <c r="I14" s="2">
        <v>64</v>
      </c>
      <c r="J14" s="2">
        <v>59</v>
      </c>
      <c r="K14" s="2">
        <v>267</v>
      </c>
      <c r="L14" s="2">
        <v>188</v>
      </c>
      <c r="N14" s="2" t="s">
        <v>1</v>
      </c>
    </row>
    <row r="15" spans="1:14" x14ac:dyDescent="0.2">
      <c r="A15" s="7">
        <v>34236</v>
      </c>
      <c r="B15" s="22">
        <v>0.75763888888888886</v>
      </c>
      <c r="N15" s="2" t="s">
        <v>1</v>
      </c>
    </row>
    <row r="16" spans="1:14" x14ac:dyDescent="0.2">
      <c r="A16" s="7">
        <v>34189</v>
      </c>
      <c r="B16" s="22">
        <v>0.75486111111111109</v>
      </c>
      <c r="C16" s="2">
        <v>558</v>
      </c>
      <c r="D16" s="2">
        <v>528</v>
      </c>
      <c r="E16" s="2">
        <v>2920</v>
      </c>
      <c r="F16" s="2">
        <v>349</v>
      </c>
      <c r="G16" s="2">
        <v>578</v>
      </c>
      <c r="H16" s="2">
        <v>309</v>
      </c>
      <c r="I16" s="2">
        <v>46</v>
      </c>
      <c r="J16" s="2">
        <v>150</v>
      </c>
      <c r="K16" s="2">
        <v>212</v>
      </c>
      <c r="L16" s="2">
        <v>196</v>
      </c>
      <c r="N16" s="2" t="s">
        <v>1</v>
      </c>
    </row>
    <row r="17" spans="1:14" x14ac:dyDescent="0.2">
      <c r="A17" s="7">
        <v>34192</v>
      </c>
      <c r="B17" s="22">
        <v>0.74930555555555556</v>
      </c>
      <c r="C17" s="2">
        <v>821</v>
      </c>
      <c r="D17" s="2">
        <v>368</v>
      </c>
      <c r="E17" s="2">
        <v>2054</v>
      </c>
      <c r="F17" s="2">
        <v>350</v>
      </c>
      <c r="G17" s="2">
        <v>595</v>
      </c>
      <c r="H17" s="2">
        <v>326</v>
      </c>
      <c r="I17" s="2">
        <v>62</v>
      </c>
      <c r="J17" s="2">
        <v>77</v>
      </c>
      <c r="K17" s="2">
        <v>214</v>
      </c>
      <c r="L17" s="2">
        <v>180</v>
      </c>
      <c r="N17" s="2" t="s">
        <v>1</v>
      </c>
    </row>
    <row r="18" spans="1:14" x14ac:dyDescent="0.2">
      <c r="A18" s="7">
        <v>34183</v>
      </c>
      <c r="B18" s="22">
        <v>0.74583333333333335</v>
      </c>
      <c r="C18" s="2">
        <v>1247</v>
      </c>
      <c r="D18" s="2">
        <v>386</v>
      </c>
      <c r="E18" s="2">
        <v>2122</v>
      </c>
      <c r="F18" s="2">
        <v>352</v>
      </c>
      <c r="G18" s="2">
        <v>737</v>
      </c>
      <c r="H18" s="2">
        <v>362</v>
      </c>
      <c r="I18" s="2">
        <v>66</v>
      </c>
      <c r="J18" s="2">
        <v>92</v>
      </c>
      <c r="K18" s="2">
        <v>241</v>
      </c>
      <c r="L18" s="2">
        <v>195</v>
      </c>
      <c r="N18" s="2" t="s">
        <v>1</v>
      </c>
    </row>
    <row r="19" spans="1:14" x14ac:dyDescent="0.2">
      <c r="A19" s="7">
        <v>34198</v>
      </c>
      <c r="B19" s="22">
        <v>0.74305555555555558</v>
      </c>
      <c r="C19" s="2">
        <v>327</v>
      </c>
      <c r="D19" s="2">
        <v>241</v>
      </c>
      <c r="E19" s="2">
        <v>1486</v>
      </c>
      <c r="F19" s="2">
        <v>270</v>
      </c>
      <c r="I19" s="2">
        <v>270</v>
      </c>
      <c r="J19" s="2">
        <v>30</v>
      </c>
      <c r="K19" s="2">
        <v>163</v>
      </c>
      <c r="L19" s="2">
        <v>120</v>
      </c>
      <c r="N19" s="2" t="s">
        <v>1</v>
      </c>
    </row>
    <row r="20" spans="1:14" x14ac:dyDescent="0.2">
      <c r="A20" s="7">
        <v>34219</v>
      </c>
      <c r="B20" s="22">
        <v>0.73819444444444449</v>
      </c>
      <c r="C20" s="2">
        <v>456</v>
      </c>
      <c r="D20" s="2">
        <v>372</v>
      </c>
      <c r="E20" s="2">
        <v>1919</v>
      </c>
      <c r="F20" s="2">
        <v>345</v>
      </c>
      <c r="G20" s="2">
        <v>560</v>
      </c>
      <c r="H20" s="2">
        <v>304</v>
      </c>
      <c r="I20" s="2">
        <v>59</v>
      </c>
      <c r="J20" s="2">
        <v>155</v>
      </c>
      <c r="K20" s="2">
        <v>212</v>
      </c>
      <c r="L20" s="2">
        <v>192</v>
      </c>
      <c r="N20" s="2" t="s">
        <v>1</v>
      </c>
    </row>
    <row r="21" spans="1:14" x14ac:dyDescent="0.2">
      <c r="A21" s="7">
        <v>34195</v>
      </c>
      <c r="B21" s="22">
        <v>0.7368055555555556</v>
      </c>
      <c r="C21" s="2">
        <v>1456</v>
      </c>
      <c r="D21" s="2">
        <v>382</v>
      </c>
      <c r="E21" s="2">
        <v>2600</v>
      </c>
      <c r="F21" s="2">
        <v>411</v>
      </c>
      <c r="G21" s="2">
        <v>788</v>
      </c>
      <c r="H21" s="2">
        <v>359</v>
      </c>
      <c r="I21" s="2">
        <v>77</v>
      </c>
      <c r="J21" s="2">
        <v>152</v>
      </c>
      <c r="K21" s="2">
        <v>280</v>
      </c>
      <c r="L21" s="2">
        <v>229</v>
      </c>
      <c r="N21" s="2" t="s">
        <v>1</v>
      </c>
    </row>
    <row r="22" spans="1:14" x14ac:dyDescent="0.2">
      <c r="A22" s="7">
        <v>34240</v>
      </c>
      <c r="B22" s="22">
        <v>0.72430555555555554</v>
      </c>
      <c r="C22" s="2">
        <v>777</v>
      </c>
      <c r="D22" s="2">
        <v>363</v>
      </c>
      <c r="E22" s="2">
        <v>1866</v>
      </c>
      <c r="F22" s="2">
        <v>348</v>
      </c>
      <c r="G22" s="2">
        <v>570</v>
      </c>
      <c r="H22" s="2">
        <v>293</v>
      </c>
      <c r="I22" s="2">
        <v>58</v>
      </c>
      <c r="K22" s="2">
        <v>204</v>
      </c>
      <c r="L22" s="2">
        <v>160</v>
      </c>
      <c r="N22" s="2" t="s">
        <v>1</v>
      </c>
    </row>
    <row r="23" spans="1:14" x14ac:dyDescent="0.2">
      <c r="A23" s="7">
        <v>34222</v>
      </c>
      <c r="B23" s="22">
        <v>0.72152777777777777</v>
      </c>
      <c r="C23" s="2">
        <v>494</v>
      </c>
      <c r="D23" s="2">
        <v>361</v>
      </c>
      <c r="E23" s="2">
        <v>2001</v>
      </c>
      <c r="F23" s="2">
        <v>348</v>
      </c>
      <c r="G23" s="2">
        <v>707</v>
      </c>
      <c r="H23" s="2">
        <v>405</v>
      </c>
      <c r="I23" s="2">
        <v>64</v>
      </c>
      <c r="J23" s="2">
        <v>141</v>
      </c>
      <c r="K23" s="2">
        <v>251</v>
      </c>
      <c r="L23" s="2">
        <v>206</v>
      </c>
      <c r="N23" s="2" t="s">
        <v>1</v>
      </c>
    </row>
    <row r="24" spans="1:14" x14ac:dyDescent="0.2">
      <c r="A24" s="7">
        <v>34241</v>
      </c>
      <c r="B24" s="22">
        <v>0.71875</v>
      </c>
      <c r="D24" s="2">
        <v>217</v>
      </c>
      <c r="E24" s="2">
        <v>1914</v>
      </c>
      <c r="F24" s="2">
        <v>349</v>
      </c>
      <c r="G24" s="2">
        <v>561</v>
      </c>
      <c r="H24" s="2">
        <v>302</v>
      </c>
      <c r="I24" s="2">
        <v>58</v>
      </c>
      <c r="J24" s="2">
        <v>51</v>
      </c>
      <c r="K24" s="2">
        <v>210</v>
      </c>
      <c r="L24" s="2">
        <v>168</v>
      </c>
      <c r="N24" s="2" t="s">
        <v>1</v>
      </c>
    </row>
    <row r="25" spans="1:14" x14ac:dyDescent="0.2">
      <c r="A25" s="7">
        <v>34225</v>
      </c>
      <c r="B25" s="22">
        <v>0.71319444444444446</v>
      </c>
      <c r="C25" s="2">
        <v>566</v>
      </c>
      <c r="D25" s="2">
        <v>370</v>
      </c>
      <c r="E25" s="2">
        <v>1981</v>
      </c>
      <c r="F25" s="2">
        <v>347</v>
      </c>
      <c r="G25" s="2">
        <v>729</v>
      </c>
      <c r="H25" s="2">
        <v>323</v>
      </c>
      <c r="I25" s="2">
        <v>65</v>
      </c>
      <c r="J25" s="2">
        <v>49</v>
      </c>
      <c r="K25" s="2">
        <v>267</v>
      </c>
      <c r="L25" s="2">
        <v>190</v>
      </c>
      <c r="N25" s="2" t="s">
        <v>1</v>
      </c>
    </row>
    <row r="26" spans="1:14" x14ac:dyDescent="0.2">
      <c r="A26" s="7">
        <v>34213</v>
      </c>
      <c r="B26" s="22">
        <v>0.70833333333333337</v>
      </c>
      <c r="C26" s="2">
        <v>895</v>
      </c>
      <c r="D26" s="2">
        <v>343</v>
      </c>
      <c r="E26" s="2">
        <v>1951</v>
      </c>
      <c r="F26" s="2">
        <v>344</v>
      </c>
      <c r="G26" s="2">
        <v>830</v>
      </c>
      <c r="H26" s="2">
        <v>311</v>
      </c>
      <c r="I26" s="2">
        <v>67</v>
      </c>
      <c r="J26" s="2">
        <v>486</v>
      </c>
      <c r="K26" s="2">
        <v>218</v>
      </c>
      <c r="L26" s="2">
        <v>186</v>
      </c>
      <c r="N26" s="2" t="s">
        <v>1</v>
      </c>
    </row>
    <row r="27" spans="1:14" x14ac:dyDescent="0.2">
      <c r="A27" s="7">
        <v>34228</v>
      </c>
      <c r="B27" s="22">
        <v>0.70277777777777772</v>
      </c>
      <c r="C27" s="2">
        <v>653</v>
      </c>
      <c r="D27" s="2">
        <v>381</v>
      </c>
      <c r="E27" s="2">
        <v>2037</v>
      </c>
      <c r="F27" s="2">
        <v>348</v>
      </c>
      <c r="G27" s="2">
        <v>603</v>
      </c>
      <c r="H27" s="2">
        <v>484</v>
      </c>
      <c r="I27" s="2">
        <v>61</v>
      </c>
      <c r="J27" s="2">
        <v>64</v>
      </c>
      <c r="K27" s="2">
        <v>219</v>
      </c>
      <c r="L27" s="2">
        <v>191</v>
      </c>
      <c r="N27" s="2" t="s">
        <v>1</v>
      </c>
    </row>
    <row r="28" spans="1:14" x14ac:dyDescent="0.2">
      <c r="A28" s="7">
        <v>34204</v>
      </c>
      <c r="B28" s="22">
        <v>0.70138888888888884</v>
      </c>
      <c r="C28" s="2">
        <v>1208</v>
      </c>
      <c r="D28" s="2">
        <v>497</v>
      </c>
      <c r="E28" s="2">
        <v>2330</v>
      </c>
      <c r="F28" s="2">
        <v>352</v>
      </c>
      <c r="G28" s="2">
        <v>680</v>
      </c>
      <c r="H28" s="2">
        <v>338</v>
      </c>
      <c r="I28" s="2">
        <v>87</v>
      </c>
      <c r="J28" s="2">
        <v>354</v>
      </c>
      <c r="K28" s="2">
        <v>298</v>
      </c>
      <c r="L28" s="2">
        <v>207</v>
      </c>
      <c r="N28" s="2" t="s">
        <v>1</v>
      </c>
    </row>
    <row r="29" spans="1:14" x14ac:dyDescent="0.2">
      <c r="A29" s="7">
        <v>34201</v>
      </c>
      <c r="B29" s="22">
        <v>0.7</v>
      </c>
      <c r="C29" s="2">
        <v>539</v>
      </c>
      <c r="D29" s="2">
        <v>345</v>
      </c>
      <c r="E29" s="2">
        <v>2197</v>
      </c>
      <c r="F29" s="2">
        <v>346</v>
      </c>
      <c r="G29" s="2">
        <v>584</v>
      </c>
      <c r="H29" s="2">
        <v>298</v>
      </c>
      <c r="I29" s="2">
        <v>60</v>
      </c>
      <c r="J29" s="2">
        <v>242</v>
      </c>
      <c r="K29" s="2">
        <v>206</v>
      </c>
      <c r="L29" s="2">
        <v>300</v>
      </c>
      <c r="N29" s="2" t="s">
        <v>1</v>
      </c>
    </row>
    <row r="30" spans="1:14" x14ac:dyDescent="0.2">
      <c r="A30" s="7">
        <v>34216</v>
      </c>
      <c r="B30" s="22">
        <v>0.7</v>
      </c>
      <c r="C30" s="2">
        <v>1110</v>
      </c>
      <c r="D30" s="2">
        <v>461</v>
      </c>
      <c r="E30" s="2">
        <v>2016</v>
      </c>
      <c r="F30" s="2">
        <v>353</v>
      </c>
      <c r="G30" s="2">
        <v>625</v>
      </c>
      <c r="H30" s="2">
        <v>320</v>
      </c>
      <c r="I30" s="2">
        <v>62</v>
      </c>
      <c r="J30" s="2">
        <v>124</v>
      </c>
      <c r="K30" s="2">
        <v>210</v>
      </c>
      <c r="L30" s="2">
        <v>192</v>
      </c>
      <c r="N30" s="2" t="s">
        <v>1</v>
      </c>
    </row>
    <row r="31" spans="1:14" x14ac:dyDescent="0.2">
      <c r="A31" s="7">
        <v>34207</v>
      </c>
      <c r="B31" s="22">
        <v>0.69791666666666663</v>
      </c>
      <c r="C31" s="2">
        <v>340</v>
      </c>
      <c r="D31" s="2">
        <v>349</v>
      </c>
      <c r="E31" s="2">
        <v>1948</v>
      </c>
      <c r="F31" s="2">
        <v>350</v>
      </c>
      <c r="G31" s="2">
        <v>586</v>
      </c>
      <c r="H31" s="2">
        <v>307</v>
      </c>
      <c r="I31" s="2">
        <v>60</v>
      </c>
      <c r="J31" s="2">
        <v>62</v>
      </c>
      <c r="K31" s="2">
        <v>209</v>
      </c>
      <c r="L31" s="2">
        <v>179</v>
      </c>
      <c r="N31" s="2" t="s">
        <v>1</v>
      </c>
    </row>
    <row r="32" spans="1:14" x14ac:dyDescent="0.2">
      <c r="A32" s="7">
        <v>34210</v>
      </c>
      <c r="B32" s="22">
        <v>0.68055555555555558</v>
      </c>
      <c r="C32" s="2">
        <v>241</v>
      </c>
      <c r="D32" s="2">
        <v>383</v>
      </c>
      <c r="E32" s="2">
        <v>1987</v>
      </c>
      <c r="F32" s="2">
        <v>348</v>
      </c>
      <c r="G32" s="2">
        <v>571</v>
      </c>
      <c r="H32" s="2">
        <v>306</v>
      </c>
      <c r="I32" s="2">
        <v>61</v>
      </c>
      <c r="J32" s="2">
        <v>33</v>
      </c>
      <c r="K32" s="2">
        <v>212</v>
      </c>
      <c r="L32" s="2">
        <v>168</v>
      </c>
      <c r="N32" s="2" t="s">
        <v>1</v>
      </c>
    </row>
    <row r="33" spans="1:14" x14ac:dyDescent="0.2">
      <c r="A33" s="7">
        <v>34182</v>
      </c>
      <c r="B33" s="22">
        <v>0.3923611111111111</v>
      </c>
      <c r="C33" s="2">
        <v>687</v>
      </c>
      <c r="D33" s="2">
        <v>351</v>
      </c>
      <c r="E33" s="2">
        <v>2561</v>
      </c>
      <c r="F33" s="2">
        <v>350</v>
      </c>
      <c r="G33" s="2">
        <v>786</v>
      </c>
      <c r="H33" s="2">
        <v>354</v>
      </c>
      <c r="I33" s="2">
        <v>64</v>
      </c>
      <c r="J33" s="2">
        <v>98</v>
      </c>
      <c r="K33" s="2">
        <v>270</v>
      </c>
      <c r="L33" s="2">
        <v>189</v>
      </c>
      <c r="N33" s="2" t="s">
        <v>1</v>
      </c>
    </row>
    <row r="34" spans="1:14" x14ac:dyDescent="0.2">
      <c r="A34" s="7">
        <v>34188</v>
      </c>
      <c r="B34" s="22">
        <v>0.3923611111111111</v>
      </c>
      <c r="C34" s="2">
        <v>776</v>
      </c>
      <c r="D34" s="2">
        <v>386</v>
      </c>
      <c r="E34" s="2">
        <v>2448</v>
      </c>
      <c r="F34" s="2">
        <v>351</v>
      </c>
      <c r="G34" s="2">
        <v>776</v>
      </c>
      <c r="H34" s="2">
        <v>364</v>
      </c>
      <c r="I34" s="2">
        <v>75</v>
      </c>
      <c r="J34" s="2">
        <v>370</v>
      </c>
      <c r="K34" s="2">
        <v>270</v>
      </c>
      <c r="L34" s="2">
        <v>237</v>
      </c>
      <c r="N34" s="2" t="s">
        <v>1</v>
      </c>
    </row>
    <row r="35" spans="1:14" x14ac:dyDescent="0.2">
      <c r="A35" s="7">
        <v>34191</v>
      </c>
      <c r="B35" s="22">
        <v>0.38472222222222224</v>
      </c>
      <c r="C35" s="2">
        <v>348</v>
      </c>
      <c r="D35" s="2">
        <v>351</v>
      </c>
      <c r="E35" s="2">
        <v>2219</v>
      </c>
      <c r="F35" s="2">
        <v>347</v>
      </c>
      <c r="G35" s="2">
        <v>582</v>
      </c>
      <c r="H35" s="2">
        <v>316</v>
      </c>
      <c r="I35" s="2">
        <v>64</v>
      </c>
      <c r="J35" s="2">
        <v>126</v>
      </c>
      <c r="K35" s="2">
        <v>219</v>
      </c>
      <c r="L35" s="2">
        <v>190</v>
      </c>
      <c r="N35" s="2" t="s">
        <v>1</v>
      </c>
    </row>
    <row r="36" spans="1:14" x14ac:dyDescent="0.2">
      <c r="A36" s="7">
        <v>34194</v>
      </c>
      <c r="B36" s="22">
        <v>0.37847222222222221</v>
      </c>
      <c r="C36" s="2">
        <v>411</v>
      </c>
      <c r="D36" s="2">
        <v>348</v>
      </c>
      <c r="E36" s="2">
        <v>1907</v>
      </c>
      <c r="F36" s="2">
        <v>341</v>
      </c>
      <c r="G36" s="2">
        <v>527</v>
      </c>
      <c r="H36" s="2">
        <v>305</v>
      </c>
      <c r="I36" s="2">
        <v>62</v>
      </c>
      <c r="J36" s="2">
        <v>30</v>
      </c>
      <c r="K36" s="2">
        <v>211</v>
      </c>
      <c r="L36" s="2">
        <v>186</v>
      </c>
      <c r="N36" s="2" t="s">
        <v>1</v>
      </c>
    </row>
    <row r="37" spans="1:14" x14ac:dyDescent="0.2">
      <c r="A37" s="7">
        <v>34185</v>
      </c>
      <c r="B37" s="22">
        <v>0.37847222222222221</v>
      </c>
      <c r="C37" s="2">
        <v>1222</v>
      </c>
      <c r="D37" s="2">
        <v>480</v>
      </c>
      <c r="E37" s="2">
        <v>2560</v>
      </c>
      <c r="F37" s="2">
        <v>358</v>
      </c>
      <c r="H37" s="2">
        <v>408</v>
      </c>
      <c r="I37" s="2">
        <v>63</v>
      </c>
      <c r="J37" s="2">
        <v>630</v>
      </c>
      <c r="K37" s="2">
        <v>225</v>
      </c>
      <c r="L37" s="2">
        <v>207</v>
      </c>
      <c r="N37" s="2" t="s">
        <v>1</v>
      </c>
    </row>
    <row r="38" spans="1:14" x14ac:dyDescent="0.2">
      <c r="A38" s="7">
        <v>34218</v>
      </c>
      <c r="B38" s="22">
        <v>0.37847222222222221</v>
      </c>
      <c r="C38" s="2">
        <v>1130</v>
      </c>
      <c r="D38" s="2">
        <v>388</v>
      </c>
      <c r="E38" s="2">
        <v>2288</v>
      </c>
      <c r="F38" s="2">
        <v>351</v>
      </c>
      <c r="G38" s="2">
        <v>585</v>
      </c>
      <c r="H38" s="2">
        <v>314</v>
      </c>
      <c r="I38" s="2">
        <v>58</v>
      </c>
      <c r="J38" s="2">
        <v>1195</v>
      </c>
      <c r="K38" s="2">
        <v>208</v>
      </c>
      <c r="L38" s="2">
        <v>180</v>
      </c>
      <c r="N38" s="2" t="s">
        <v>1</v>
      </c>
    </row>
    <row r="39" spans="1:14" x14ac:dyDescent="0.2">
      <c r="A39" s="7">
        <v>34197</v>
      </c>
      <c r="B39" s="22">
        <v>0.375</v>
      </c>
      <c r="C39" s="2">
        <v>493</v>
      </c>
      <c r="D39" s="2">
        <v>353</v>
      </c>
      <c r="E39" s="2">
        <v>2490</v>
      </c>
      <c r="F39" s="2">
        <v>358</v>
      </c>
      <c r="G39" s="2">
        <v>561</v>
      </c>
      <c r="H39" s="2">
        <v>306</v>
      </c>
      <c r="I39" s="2">
        <v>62</v>
      </c>
      <c r="J39" s="2">
        <v>72</v>
      </c>
      <c r="K39" s="2">
        <v>215</v>
      </c>
      <c r="L39" s="2">
        <v>180</v>
      </c>
      <c r="N39" s="2" t="s">
        <v>1</v>
      </c>
    </row>
    <row r="40" spans="1:14" x14ac:dyDescent="0.2">
      <c r="A40" s="7">
        <v>34239</v>
      </c>
      <c r="B40" s="22">
        <v>0.35833333333333334</v>
      </c>
      <c r="C40" s="2">
        <v>290</v>
      </c>
      <c r="D40" s="2">
        <v>380</v>
      </c>
      <c r="E40" s="2">
        <v>1997</v>
      </c>
      <c r="F40" s="2">
        <v>351</v>
      </c>
      <c r="G40" s="2">
        <v>543</v>
      </c>
      <c r="H40" s="2">
        <v>300</v>
      </c>
      <c r="I40" s="2">
        <v>60</v>
      </c>
      <c r="J40" s="2">
        <v>44</v>
      </c>
      <c r="K40" s="2">
        <v>213</v>
      </c>
      <c r="L40" s="2">
        <v>168</v>
      </c>
      <c r="N40" s="2" t="s">
        <v>1</v>
      </c>
    </row>
    <row r="41" spans="1:14" x14ac:dyDescent="0.2">
      <c r="A41" s="7">
        <v>34221</v>
      </c>
      <c r="B41" s="22">
        <v>0.33750000000000002</v>
      </c>
      <c r="C41" s="2">
        <v>372</v>
      </c>
      <c r="D41" s="2">
        <v>615</v>
      </c>
      <c r="E41" s="2">
        <v>2871</v>
      </c>
      <c r="F41" s="2">
        <v>350</v>
      </c>
      <c r="G41" s="2">
        <v>577</v>
      </c>
      <c r="H41" s="2">
        <v>303</v>
      </c>
      <c r="I41" s="2">
        <v>59</v>
      </c>
      <c r="J41" s="2">
        <v>228</v>
      </c>
      <c r="K41" s="2">
        <v>211</v>
      </c>
      <c r="L41" s="2">
        <v>191</v>
      </c>
      <c r="N41" s="2" t="s">
        <v>1</v>
      </c>
    </row>
    <row r="42" spans="1:14" x14ac:dyDescent="0.2">
      <c r="A42" s="7">
        <v>34203</v>
      </c>
      <c r="B42" s="22">
        <v>0.33541666666666664</v>
      </c>
      <c r="C42" s="2">
        <v>676</v>
      </c>
      <c r="D42" s="2">
        <v>414</v>
      </c>
      <c r="E42" s="2">
        <v>2476</v>
      </c>
      <c r="F42" s="2">
        <v>353</v>
      </c>
      <c r="G42" s="2">
        <v>628</v>
      </c>
      <c r="H42" s="2">
        <v>343</v>
      </c>
      <c r="I42" s="2">
        <v>62</v>
      </c>
      <c r="J42" s="2">
        <v>500</v>
      </c>
      <c r="L42" s="2">
        <v>193</v>
      </c>
      <c r="N42" s="2" t="s">
        <v>1</v>
      </c>
    </row>
    <row r="43" spans="1:14" x14ac:dyDescent="0.2">
      <c r="A43" s="7">
        <v>34215</v>
      </c>
      <c r="B43" s="22">
        <v>0.32291666666666669</v>
      </c>
      <c r="C43" s="2">
        <v>1085</v>
      </c>
      <c r="D43" s="2">
        <v>428</v>
      </c>
      <c r="E43" s="2">
        <v>2753</v>
      </c>
      <c r="F43" s="2">
        <v>355</v>
      </c>
      <c r="G43" s="2">
        <v>607</v>
      </c>
      <c r="H43" s="2">
        <v>333</v>
      </c>
      <c r="I43" s="2">
        <v>62</v>
      </c>
      <c r="J43" s="2">
        <v>1908</v>
      </c>
      <c r="K43" s="2">
        <v>230</v>
      </c>
      <c r="L43" s="2">
        <v>198</v>
      </c>
      <c r="N43" s="2" t="s">
        <v>1</v>
      </c>
    </row>
    <row r="44" spans="1:14" x14ac:dyDescent="0.2">
      <c r="A44" s="7">
        <v>34241</v>
      </c>
      <c r="B44" s="22">
        <v>0.30972222222222223</v>
      </c>
      <c r="C44" s="2">
        <v>905</v>
      </c>
      <c r="D44" s="2">
        <v>373</v>
      </c>
      <c r="E44" s="2">
        <v>1937</v>
      </c>
      <c r="F44" s="2">
        <v>342</v>
      </c>
      <c r="G44" s="2">
        <v>628</v>
      </c>
      <c r="H44" s="2">
        <v>294</v>
      </c>
      <c r="I44" s="2">
        <v>61</v>
      </c>
      <c r="J44" s="2">
        <v>28</v>
      </c>
      <c r="K44" s="2">
        <v>209</v>
      </c>
      <c r="L44" s="2">
        <v>163</v>
      </c>
      <c r="N44" s="2" t="s">
        <v>1</v>
      </c>
    </row>
    <row r="45" spans="1:14" x14ac:dyDescent="0.2">
      <c r="A45" s="7">
        <v>34224</v>
      </c>
      <c r="B45" s="22">
        <v>0.30208333333333331</v>
      </c>
      <c r="C45" s="2">
        <v>1410</v>
      </c>
      <c r="D45" s="2">
        <v>411</v>
      </c>
      <c r="E45" s="2">
        <v>2695</v>
      </c>
      <c r="F45" s="2">
        <v>359</v>
      </c>
      <c r="G45" s="2">
        <v>696</v>
      </c>
      <c r="H45" s="2">
        <v>326</v>
      </c>
      <c r="I45" s="2">
        <v>71</v>
      </c>
      <c r="J45" s="2">
        <v>116</v>
      </c>
      <c r="K45" s="2">
        <v>217</v>
      </c>
      <c r="L45" s="2">
        <v>199</v>
      </c>
      <c r="N45" s="2" t="s">
        <v>1</v>
      </c>
    </row>
    <row r="46" spans="1:14" x14ac:dyDescent="0.2">
      <c r="A46" s="7">
        <v>34212</v>
      </c>
      <c r="B46" s="22">
        <v>0.28819444444444442</v>
      </c>
      <c r="C46" s="2">
        <v>1671</v>
      </c>
      <c r="D46" s="2">
        <v>454</v>
      </c>
      <c r="E46" s="2">
        <v>3874</v>
      </c>
      <c r="F46" s="2">
        <v>364</v>
      </c>
      <c r="G46" s="2">
        <v>721</v>
      </c>
      <c r="H46" s="2">
        <v>347</v>
      </c>
      <c r="I46" s="2">
        <v>70</v>
      </c>
      <c r="J46" s="2">
        <v>1136</v>
      </c>
      <c r="K46" s="2">
        <v>217</v>
      </c>
      <c r="L46" s="2">
        <v>213</v>
      </c>
      <c r="N46" s="2" t="s">
        <v>1</v>
      </c>
    </row>
    <row r="47" spans="1:14" x14ac:dyDescent="0.2">
      <c r="A47" s="7">
        <v>34227</v>
      </c>
      <c r="B47" s="22">
        <v>0.28819444444444442</v>
      </c>
      <c r="C47" s="2">
        <v>931</v>
      </c>
      <c r="D47" s="2">
        <v>436</v>
      </c>
      <c r="E47" s="2">
        <v>3042</v>
      </c>
      <c r="F47" s="2">
        <v>357</v>
      </c>
      <c r="G47" s="2">
        <v>599</v>
      </c>
      <c r="H47" s="2">
        <v>323</v>
      </c>
      <c r="I47" s="2">
        <v>61</v>
      </c>
      <c r="J47" s="2">
        <v>94</v>
      </c>
      <c r="K47" s="2">
        <v>218</v>
      </c>
      <c r="L47" s="2">
        <v>225</v>
      </c>
      <c r="N47" s="2" t="s">
        <v>1</v>
      </c>
    </row>
    <row r="48" spans="1:14" x14ac:dyDescent="0.2">
      <c r="A48" s="7">
        <v>34179</v>
      </c>
      <c r="B48" s="22">
        <v>0.28819444444444442</v>
      </c>
      <c r="C48" s="2">
        <v>901</v>
      </c>
      <c r="D48" s="2">
        <v>509</v>
      </c>
      <c r="E48" s="2">
        <v>2698</v>
      </c>
      <c r="F48" s="2">
        <v>359</v>
      </c>
      <c r="G48" s="2">
        <v>660</v>
      </c>
      <c r="H48" s="2">
        <v>386</v>
      </c>
      <c r="I48" s="2">
        <v>64</v>
      </c>
      <c r="J48" s="2">
        <v>243</v>
      </c>
      <c r="K48" s="2">
        <v>237</v>
      </c>
      <c r="L48" s="2">
        <v>258</v>
      </c>
      <c r="N48" s="2" t="s">
        <v>1</v>
      </c>
    </row>
    <row r="49" spans="1:12" x14ac:dyDescent="0.2">
      <c r="A49" s="7">
        <v>34209</v>
      </c>
      <c r="B49" s="22">
        <v>0.28819444444444442</v>
      </c>
      <c r="C49" s="2">
        <v>689</v>
      </c>
      <c r="D49" s="2">
        <v>400</v>
      </c>
      <c r="E49" s="2">
        <v>3145</v>
      </c>
      <c r="F49" s="2">
        <v>348</v>
      </c>
      <c r="G49" s="2">
        <v>588</v>
      </c>
      <c r="H49" s="2">
        <v>309</v>
      </c>
      <c r="I49" s="2">
        <v>62</v>
      </c>
      <c r="J49" s="2">
        <v>111</v>
      </c>
      <c r="K49" s="2">
        <v>218</v>
      </c>
      <c r="L49" s="2">
        <v>190</v>
      </c>
    </row>
    <row r="50" spans="1:12" x14ac:dyDescent="0.2">
      <c r="A50" s="7">
        <v>34200</v>
      </c>
      <c r="B50" s="22">
        <v>0.28125</v>
      </c>
      <c r="C50" s="2">
        <v>529</v>
      </c>
      <c r="D50" s="2">
        <v>434</v>
      </c>
      <c r="E50" s="2">
        <v>2144</v>
      </c>
      <c r="F50" s="2">
        <v>362</v>
      </c>
      <c r="G50" s="2">
        <v>600</v>
      </c>
      <c r="H50" s="2">
        <v>315</v>
      </c>
      <c r="I50" s="2">
        <v>60</v>
      </c>
      <c r="J50" s="2">
        <v>120</v>
      </c>
      <c r="K50" s="2">
        <v>219</v>
      </c>
      <c r="L50" s="2">
        <v>204</v>
      </c>
    </row>
    <row r="51" spans="1:12" x14ac:dyDescent="0.2">
      <c r="A51" s="7">
        <v>34206</v>
      </c>
    </row>
    <row r="54" spans="1:12" x14ac:dyDescent="0.2">
      <c r="C54" s="8" t="s">
        <v>118</v>
      </c>
      <c r="D54" s="8" t="s">
        <v>134</v>
      </c>
      <c r="E54" s="8" t="s">
        <v>123</v>
      </c>
      <c r="F54" s="8" t="s">
        <v>138</v>
      </c>
      <c r="G54" s="8" t="s">
        <v>136</v>
      </c>
      <c r="H54" s="8" t="s">
        <v>130</v>
      </c>
      <c r="I54" s="8" t="s">
        <v>133</v>
      </c>
      <c r="J54" s="8" t="s">
        <v>127</v>
      </c>
      <c r="K54" s="8" t="s">
        <v>121</v>
      </c>
      <c r="L54" s="8" t="s">
        <v>112</v>
      </c>
    </row>
    <row r="55" spans="1:12" x14ac:dyDescent="0.2">
      <c r="C55" s="8" t="s">
        <v>266</v>
      </c>
      <c r="D55" s="8" t="s">
        <v>371</v>
      </c>
      <c r="E55" s="8" t="s">
        <v>266</v>
      </c>
      <c r="F55" s="8" t="s">
        <v>266</v>
      </c>
      <c r="G55" s="8" t="s">
        <v>144</v>
      </c>
      <c r="H55" s="8" t="s">
        <v>144</v>
      </c>
      <c r="I55" s="8" t="s">
        <v>144</v>
      </c>
      <c r="J55" s="8" t="s">
        <v>144</v>
      </c>
      <c r="K55" s="8" t="s">
        <v>144</v>
      </c>
      <c r="L55" s="8" t="s">
        <v>144</v>
      </c>
    </row>
    <row r="57" spans="1:12" x14ac:dyDescent="0.2">
      <c r="A57" s="7">
        <f>AVERAGE(A11:A51)</f>
        <v>34208.146341463413</v>
      </c>
      <c r="B57" s="2" t="s">
        <v>529</v>
      </c>
      <c r="C57" s="4">
        <f t="shared" ref="C57:L57" si="0">AVERAGE(C11:C51)</f>
        <v>767.73684210526312</v>
      </c>
      <c r="D57" s="4">
        <f t="shared" si="0"/>
        <v>402.12820512820514</v>
      </c>
      <c r="E57" s="4">
        <f t="shared" si="0"/>
        <v>2315.1538461538462</v>
      </c>
      <c r="F57" s="4">
        <f t="shared" si="0"/>
        <v>351</v>
      </c>
      <c r="G57" s="4">
        <f t="shared" si="0"/>
        <v>632.75675675675677</v>
      </c>
      <c r="H57" s="4">
        <f t="shared" si="0"/>
        <v>332.94736842105266</v>
      </c>
      <c r="I57" s="4">
        <f t="shared" si="0"/>
        <v>68.512820512820511</v>
      </c>
      <c r="J57" s="4">
        <f t="shared" si="0"/>
        <v>254.81578947368422</v>
      </c>
      <c r="K57" s="4">
        <f t="shared" si="0"/>
        <v>226.07894736842104</v>
      </c>
      <c r="L57" s="4">
        <f t="shared" si="0"/>
        <v>193.71794871794873</v>
      </c>
    </row>
    <row r="58" spans="1:12" x14ac:dyDescent="0.2">
      <c r="B58" s="2" t="s">
        <v>255</v>
      </c>
      <c r="C58" s="4">
        <f t="shared" ref="C58:L58" si="1">STDEV(C11:C51)</f>
        <v>358.72301173261093</v>
      </c>
      <c r="D58" s="4">
        <f t="shared" si="1"/>
        <v>77.122997965034472</v>
      </c>
      <c r="E58" s="4">
        <f t="shared" si="1"/>
        <v>455.42834311063899</v>
      </c>
      <c r="F58" s="4">
        <f t="shared" si="1"/>
        <v>17.435595774162696</v>
      </c>
      <c r="G58" s="4">
        <f t="shared" si="1"/>
        <v>79.320168867628908</v>
      </c>
      <c r="H58" s="4">
        <f t="shared" si="1"/>
        <v>40.912528556514673</v>
      </c>
      <c r="I58" s="4">
        <f t="shared" si="1"/>
        <v>33.724793155989929</v>
      </c>
      <c r="J58" s="4">
        <f t="shared" si="1"/>
        <v>384.46107280284076</v>
      </c>
      <c r="K58" s="4">
        <f t="shared" si="1"/>
        <v>26.210562734554603</v>
      </c>
      <c r="L58" s="4">
        <f t="shared" si="1"/>
        <v>28.995415897171299</v>
      </c>
    </row>
    <row r="59" spans="1:12" x14ac:dyDescent="0.2">
      <c r="B59" s="2" t="s">
        <v>365</v>
      </c>
      <c r="C59" s="2">
        <f t="shared" ref="C59:L59" si="2">COUNTA(C11:C51)</f>
        <v>38</v>
      </c>
      <c r="D59" s="2">
        <f t="shared" si="2"/>
        <v>39</v>
      </c>
      <c r="E59" s="2">
        <f t="shared" si="2"/>
        <v>39</v>
      </c>
      <c r="F59" s="2">
        <f t="shared" si="2"/>
        <v>39</v>
      </c>
      <c r="G59" s="2">
        <f t="shared" si="2"/>
        <v>37</v>
      </c>
      <c r="H59" s="2">
        <f t="shared" si="2"/>
        <v>38</v>
      </c>
      <c r="I59" s="2">
        <f t="shared" si="2"/>
        <v>39</v>
      </c>
      <c r="J59" s="2">
        <f t="shared" si="2"/>
        <v>38</v>
      </c>
      <c r="K59" s="2">
        <f t="shared" si="2"/>
        <v>38</v>
      </c>
      <c r="L59" s="2">
        <f t="shared" si="2"/>
        <v>39</v>
      </c>
    </row>
  </sheetData>
  <pageMargins left="0.5" right="0.5" top="0.75" bottom="0.75" header="0.5" footer="0.5"/>
  <pageSetup orientation="portrait" horizontalDpi="0" verticalDpi="0" copies="0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5"/>
  <sheetViews>
    <sheetView showOutlineSymbols="0" defaultGridColor="0" colorId="9" workbookViewId="0"/>
  </sheetViews>
  <sheetFormatPr defaultColWidth="8.6640625" defaultRowHeight="15" x14ac:dyDescent="0.2"/>
  <cols>
    <col min="1" max="16384" width="8.6640625" style="2"/>
  </cols>
  <sheetData>
    <row r="1" spans="1:12" ht="15.75" x14ac:dyDescent="0.25">
      <c r="A1" s="6" t="s">
        <v>609</v>
      </c>
      <c r="L1" s="2" t="s">
        <v>1</v>
      </c>
    </row>
    <row r="2" spans="1:12" x14ac:dyDescent="0.2">
      <c r="L2" s="2" t="s">
        <v>1</v>
      </c>
    </row>
    <row r="3" spans="1:12" x14ac:dyDescent="0.2">
      <c r="A3" s="15" t="s">
        <v>290</v>
      </c>
      <c r="B3" s="15" t="s">
        <v>253</v>
      </c>
      <c r="C3" s="8" t="s">
        <v>286</v>
      </c>
      <c r="D3" s="8" t="s">
        <v>610</v>
      </c>
      <c r="E3" s="8" t="s">
        <v>117</v>
      </c>
      <c r="F3" s="8" t="s">
        <v>118</v>
      </c>
      <c r="G3" s="8" t="s">
        <v>118</v>
      </c>
      <c r="H3" s="8" t="s">
        <v>123</v>
      </c>
      <c r="I3" s="8" t="s">
        <v>134</v>
      </c>
      <c r="J3" s="8" t="s">
        <v>115</v>
      </c>
      <c r="L3" s="2" t="s">
        <v>1</v>
      </c>
    </row>
    <row r="4" spans="1:12" x14ac:dyDescent="0.2">
      <c r="B4" s="19"/>
      <c r="D4" s="8" t="s">
        <v>289</v>
      </c>
      <c r="E4" s="8" t="s">
        <v>266</v>
      </c>
      <c r="F4" s="8" t="s">
        <v>266</v>
      </c>
      <c r="G4" s="8" t="s">
        <v>266</v>
      </c>
      <c r="H4" s="8" t="s">
        <v>266</v>
      </c>
      <c r="I4" s="8" t="s">
        <v>371</v>
      </c>
      <c r="J4" s="8" t="s">
        <v>144</v>
      </c>
      <c r="L4" s="2" t="s">
        <v>1</v>
      </c>
    </row>
    <row r="5" spans="1:12" x14ac:dyDescent="0.2">
      <c r="B5" s="19"/>
      <c r="L5" s="2" t="s">
        <v>1</v>
      </c>
    </row>
    <row r="6" spans="1:12" x14ac:dyDescent="0.2">
      <c r="A6" s="2" t="s">
        <v>611</v>
      </c>
      <c r="B6" s="19">
        <v>31988</v>
      </c>
      <c r="C6" s="2">
        <v>1156</v>
      </c>
      <c r="D6" s="2">
        <v>3</v>
      </c>
      <c r="E6" s="2">
        <v>591</v>
      </c>
      <c r="F6" s="17">
        <v>529.5</v>
      </c>
      <c r="G6" s="17">
        <v>542.5</v>
      </c>
      <c r="H6" s="17">
        <v>1728.2</v>
      </c>
      <c r="I6" s="17">
        <v>362.4</v>
      </c>
      <c r="J6" s="2">
        <v>641</v>
      </c>
      <c r="L6" s="2" t="s">
        <v>1</v>
      </c>
    </row>
    <row r="7" spans="1:12" x14ac:dyDescent="0.2">
      <c r="A7" s="2" t="s">
        <v>612</v>
      </c>
      <c r="B7" s="19">
        <v>31988</v>
      </c>
      <c r="C7" s="2">
        <v>1200</v>
      </c>
      <c r="D7" s="2">
        <v>4</v>
      </c>
      <c r="E7" s="2">
        <v>543</v>
      </c>
      <c r="F7" s="17">
        <v>302.3</v>
      </c>
      <c r="G7" s="17">
        <v>306.3</v>
      </c>
      <c r="H7" s="17">
        <v>1724.1</v>
      </c>
      <c r="I7" s="17">
        <v>383.5</v>
      </c>
      <c r="J7" s="2">
        <v>573</v>
      </c>
      <c r="L7" s="2" t="s">
        <v>1</v>
      </c>
    </row>
    <row r="8" spans="1:12" x14ac:dyDescent="0.2">
      <c r="A8" s="2" t="s">
        <v>613</v>
      </c>
      <c r="B8" s="19">
        <v>31988</v>
      </c>
      <c r="C8" s="2">
        <v>1728</v>
      </c>
      <c r="D8" s="2">
        <v>4</v>
      </c>
      <c r="E8" s="2">
        <v>577</v>
      </c>
      <c r="F8" s="17">
        <v>408.9</v>
      </c>
      <c r="G8" s="17">
        <v>414.8</v>
      </c>
      <c r="H8" s="17">
        <v>1735.2</v>
      </c>
      <c r="I8" s="17">
        <v>356.2</v>
      </c>
      <c r="J8" s="2">
        <v>601</v>
      </c>
      <c r="L8" s="2" t="s">
        <v>1</v>
      </c>
    </row>
    <row r="9" spans="1:12" x14ac:dyDescent="0.2">
      <c r="A9" s="2" t="s">
        <v>614</v>
      </c>
      <c r="B9" s="19">
        <v>31988</v>
      </c>
      <c r="C9" s="2">
        <v>1205</v>
      </c>
      <c r="D9" s="2">
        <v>1</v>
      </c>
      <c r="E9" s="2">
        <v>539</v>
      </c>
      <c r="F9" s="17">
        <v>331.1</v>
      </c>
      <c r="G9" s="17">
        <v>336.3</v>
      </c>
      <c r="H9" s="17">
        <v>1719.4</v>
      </c>
      <c r="I9" s="17">
        <v>354.7</v>
      </c>
      <c r="J9" s="2">
        <v>626</v>
      </c>
      <c r="L9" s="2" t="s">
        <v>1</v>
      </c>
    </row>
    <row r="10" spans="1:12" x14ac:dyDescent="0.2">
      <c r="A10" s="2" t="s">
        <v>615</v>
      </c>
      <c r="B10" s="19">
        <v>31988</v>
      </c>
      <c r="C10" s="2">
        <v>1514</v>
      </c>
      <c r="D10" s="2">
        <v>1</v>
      </c>
      <c r="E10" s="2">
        <v>635</v>
      </c>
      <c r="F10" s="17">
        <v>632.70000000000005</v>
      </c>
      <c r="G10" s="17">
        <v>660.2</v>
      </c>
      <c r="H10" s="17">
        <v>1749.7</v>
      </c>
      <c r="I10" s="17">
        <v>363.1</v>
      </c>
      <c r="J10" s="2">
        <v>664</v>
      </c>
      <c r="L10" s="2" t="s">
        <v>1</v>
      </c>
    </row>
    <row r="11" spans="1:12" x14ac:dyDescent="0.2">
      <c r="A11" s="2" t="s">
        <v>616</v>
      </c>
      <c r="B11" s="19">
        <v>31988</v>
      </c>
      <c r="C11" s="2">
        <v>1118</v>
      </c>
      <c r="E11" s="2">
        <v>518</v>
      </c>
      <c r="F11" s="17">
        <v>227.6</v>
      </c>
      <c r="G11" s="17">
        <v>229.8</v>
      </c>
      <c r="H11" s="17">
        <v>1716.3</v>
      </c>
      <c r="I11" s="17">
        <v>347.9</v>
      </c>
      <c r="J11" s="2">
        <v>663</v>
      </c>
      <c r="L11" s="2" t="s">
        <v>1</v>
      </c>
    </row>
    <row r="12" spans="1:12" x14ac:dyDescent="0.2">
      <c r="A12" s="2" t="s">
        <v>617</v>
      </c>
      <c r="B12" s="19">
        <v>31988</v>
      </c>
      <c r="C12" s="2">
        <v>1825</v>
      </c>
      <c r="E12" s="2">
        <v>520</v>
      </c>
      <c r="F12" s="17">
        <v>251.1</v>
      </c>
      <c r="G12" s="17">
        <v>254.5</v>
      </c>
      <c r="H12" s="17">
        <v>1729.6</v>
      </c>
      <c r="I12" s="17">
        <v>361.5</v>
      </c>
      <c r="J12" s="2">
        <v>598</v>
      </c>
      <c r="L12" s="2" t="s">
        <v>1</v>
      </c>
    </row>
    <row r="13" spans="1:12" x14ac:dyDescent="0.2">
      <c r="A13" s="2" t="s">
        <v>618</v>
      </c>
      <c r="B13" s="19">
        <v>31999</v>
      </c>
      <c r="C13" s="2">
        <v>949</v>
      </c>
      <c r="D13" s="2">
        <v>2</v>
      </c>
      <c r="E13" s="2">
        <v>684</v>
      </c>
      <c r="F13" s="17">
        <v>1015</v>
      </c>
      <c r="G13" s="17">
        <v>1149.2</v>
      </c>
      <c r="H13" s="17">
        <v>1732.7</v>
      </c>
      <c r="I13" s="17">
        <v>400.4</v>
      </c>
      <c r="J13" s="2">
        <v>733</v>
      </c>
      <c r="L13" s="2" t="s">
        <v>1</v>
      </c>
    </row>
    <row r="14" spans="1:12" x14ac:dyDescent="0.2">
      <c r="A14" s="2" t="s">
        <v>558</v>
      </c>
      <c r="B14" s="19">
        <v>31999</v>
      </c>
      <c r="C14" s="2">
        <v>1016</v>
      </c>
      <c r="E14" s="2">
        <v>630</v>
      </c>
      <c r="F14" s="17">
        <v>797.8</v>
      </c>
      <c r="G14" s="17">
        <v>887.7</v>
      </c>
      <c r="H14" s="17">
        <v>1718.5</v>
      </c>
      <c r="I14" s="17">
        <v>380.8</v>
      </c>
      <c r="J14" s="2">
        <v>681</v>
      </c>
      <c r="L14" s="2" t="s">
        <v>1</v>
      </c>
    </row>
    <row r="15" spans="1:12" x14ac:dyDescent="0.2">
      <c r="A15" s="2" t="s">
        <v>619</v>
      </c>
      <c r="B15" s="19">
        <v>31999</v>
      </c>
      <c r="C15" s="2">
        <v>940</v>
      </c>
      <c r="E15" s="2">
        <v>847</v>
      </c>
      <c r="F15" s="17">
        <v>1390.6</v>
      </c>
      <c r="G15" s="17">
        <v>1637.9</v>
      </c>
      <c r="H15" s="17">
        <v>1763.8</v>
      </c>
      <c r="I15" s="17">
        <v>409.3</v>
      </c>
      <c r="J15" s="2">
        <v>744</v>
      </c>
      <c r="L15" s="2" t="s">
        <v>1</v>
      </c>
    </row>
    <row r="16" spans="1:12" x14ac:dyDescent="0.2">
      <c r="A16" s="2" t="s">
        <v>620</v>
      </c>
      <c r="B16" s="19">
        <v>31999</v>
      </c>
      <c r="C16" s="2">
        <v>505</v>
      </c>
      <c r="E16" s="2">
        <v>494</v>
      </c>
      <c r="F16" s="17">
        <v>191.6</v>
      </c>
      <c r="G16" s="17">
        <v>197.1</v>
      </c>
      <c r="H16" s="17">
        <v>1708.1</v>
      </c>
      <c r="I16" s="17">
        <v>380.7</v>
      </c>
      <c r="J16" s="2">
        <v>526</v>
      </c>
      <c r="L16" s="2" t="s">
        <v>1</v>
      </c>
    </row>
    <row r="17" spans="2:12" x14ac:dyDescent="0.2">
      <c r="B17" s="19"/>
      <c r="F17" s="17"/>
      <c r="G17" s="17"/>
      <c r="H17" s="17"/>
      <c r="I17" s="17"/>
      <c r="L17" s="2" t="s">
        <v>1</v>
      </c>
    </row>
    <row r="18" spans="2:12" x14ac:dyDescent="0.2">
      <c r="B18" s="19"/>
      <c r="F18" s="17"/>
      <c r="G18" s="17"/>
      <c r="H18" s="17"/>
      <c r="I18" s="17"/>
      <c r="L18" s="2" t="s">
        <v>1</v>
      </c>
    </row>
    <row r="19" spans="2:12" x14ac:dyDescent="0.2">
      <c r="B19" s="7"/>
      <c r="D19" s="4"/>
      <c r="E19" s="8" t="s">
        <v>117</v>
      </c>
      <c r="F19" s="8" t="s">
        <v>118</v>
      </c>
      <c r="G19" s="8" t="s">
        <v>118</v>
      </c>
      <c r="H19" s="8" t="s">
        <v>123</v>
      </c>
      <c r="I19" s="8" t="s">
        <v>134</v>
      </c>
      <c r="J19" s="8" t="s">
        <v>115</v>
      </c>
      <c r="L19" s="2" t="s">
        <v>1</v>
      </c>
    </row>
    <row r="20" spans="2:12" x14ac:dyDescent="0.2">
      <c r="D20" s="4"/>
      <c r="E20" s="8" t="s">
        <v>266</v>
      </c>
      <c r="F20" s="8" t="s">
        <v>266</v>
      </c>
      <c r="G20" s="8" t="s">
        <v>266</v>
      </c>
      <c r="H20" s="8" t="s">
        <v>266</v>
      </c>
      <c r="I20" s="8" t="s">
        <v>371</v>
      </c>
      <c r="J20" s="8" t="s">
        <v>144</v>
      </c>
      <c r="L20" s="2" t="s">
        <v>1</v>
      </c>
    </row>
    <row r="21" spans="2:12" x14ac:dyDescent="0.2">
      <c r="D21" s="4"/>
      <c r="L21" s="2" t="s">
        <v>1</v>
      </c>
    </row>
    <row r="22" spans="2:12" x14ac:dyDescent="0.2">
      <c r="B22" s="7">
        <f>AVERAGE(B6:B16)</f>
        <v>31992</v>
      </c>
      <c r="C22" s="2" t="s">
        <v>529</v>
      </c>
      <c r="D22" s="4"/>
      <c r="E22" s="4">
        <f t="shared" ref="E22:J22" si="0">AVERAGE(E6:E16)</f>
        <v>598</v>
      </c>
      <c r="F22" s="4">
        <f t="shared" si="0"/>
        <v>552.56363636363642</v>
      </c>
      <c r="G22" s="4">
        <f t="shared" si="0"/>
        <v>601.48181818181831</v>
      </c>
      <c r="H22" s="4">
        <f t="shared" si="0"/>
        <v>1729.6</v>
      </c>
      <c r="I22" s="4">
        <f t="shared" si="0"/>
        <v>372.77272727272737</v>
      </c>
      <c r="J22" s="4">
        <f t="shared" si="0"/>
        <v>640.90909090909088</v>
      </c>
      <c r="L22" s="2" t="s">
        <v>1</v>
      </c>
    </row>
    <row r="23" spans="2:12" x14ac:dyDescent="0.2">
      <c r="C23" s="2" t="s">
        <v>255</v>
      </c>
      <c r="D23" s="4"/>
      <c r="E23" s="4">
        <f t="shared" ref="E23:J23" si="1">STDEV(E6:E16)</f>
        <v>101.0376167573246</v>
      </c>
      <c r="F23" s="4">
        <f t="shared" si="1"/>
        <v>379.78160638115997</v>
      </c>
      <c r="G23" s="4">
        <f t="shared" si="1"/>
        <v>455.78257934717465</v>
      </c>
      <c r="H23" s="4">
        <f t="shared" si="1"/>
        <v>15.853138490532416</v>
      </c>
      <c r="I23" s="4">
        <f t="shared" si="1"/>
        <v>19.718067395619226</v>
      </c>
      <c r="J23" s="4">
        <f t="shared" si="1"/>
        <v>65.733483926313454</v>
      </c>
      <c r="L23" s="2" t="s">
        <v>1</v>
      </c>
    </row>
    <row r="24" spans="2:12" x14ac:dyDescent="0.2">
      <c r="C24" s="2" t="s">
        <v>365</v>
      </c>
      <c r="E24" s="2">
        <f t="shared" ref="E24:J24" si="2">COUNTA(E6:E16)</f>
        <v>11</v>
      </c>
      <c r="F24" s="2">
        <f t="shared" si="2"/>
        <v>11</v>
      </c>
      <c r="G24" s="2">
        <f t="shared" si="2"/>
        <v>11</v>
      </c>
      <c r="H24" s="2">
        <f t="shared" si="2"/>
        <v>11</v>
      </c>
      <c r="I24" s="2">
        <f t="shared" si="2"/>
        <v>11</v>
      </c>
      <c r="J24" s="2">
        <f t="shared" si="2"/>
        <v>11</v>
      </c>
      <c r="L24" s="2" t="s">
        <v>1</v>
      </c>
    </row>
    <row r="25" spans="2:12" x14ac:dyDescent="0.2">
      <c r="B25" s="19"/>
      <c r="L25" s="2" t="s">
        <v>1</v>
      </c>
    </row>
    <row r="26" spans="2:12" x14ac:dyDescent="0.2">
      <c r="B26" s="19"/>
      <c r="L26" s="2" t="s">
        <v>1</v>
      </c>
    </row>
    <row r="27" spans="2:12" x14ac:dyDescent="0.2">
      <c r="B27" s="19"/>
      <c r="L27" s="2" t="s">
        <v>1</v>
      </c>
    </row>
    <row r="28" spans="2:12" x14ac:dyDescent="0.2">
      <c r="B28" s="19"/>
      <c r="L28" s="2" t="s">
        <v>1</v>
      </c>
    </row>
    <row r="29" spans="2:12" x14ac:dyDescent="0.2">
      <c r="B29" s="19"/>
      <c r="L29" s="2" t="s">
        <v>1</v>
      </c>
    </row>
    <row r="30" spans="2:12" x14ac:dyDescent="0.2">
      <c r="B30" s="19"/>
      <c r="L30" s="2" t="s">
        <v>1</v>
      </c>
    </row>
    <row r="31" spans="2:12" x14ac:dyDescent="0.2">
      <c r="B31" s="19"/>
      <c r="L31" s="2" t="s">
        <v>1</v>
      </c>
    </row>
    <row r="32" spans="2:12" x14ac:dyDescent="0.2">
      <c r="L32" s="2" t="s">
        <v>1</v>
      </c>
    </row>
    <row r="33" spans="12:12" x14ac:dyDescent="0.2">
      <c r="L33" s="2" t="s">
        <v>1</v>
      </c>
    </row>
    <row r="34" spans="12:12" x14ac:dyDescent="0.2">
      <c r="L34" s="2" t="s">
        <v>1</v>
      </c>
    </row>
    <row r="35" spans="12:12" x14ac:dyDescent="0.2">
      <c r="L35" s="2" t="s">
        <v>1</v>
      </c>
    </row>
    <row r="36" spans="12:12" x14ac:dyDescent="0.2">
      <c r="L36" s="2" t="s">
        <v>1</v>
      </c>
    </row>
    <row r="37" spans="12:12" x14ac:dyDescent="0.2">
      <c r="L37" s="2" t="s">
        <v>1</v>
      </c>
    </row>
    <row r="38" spans="12:12" x14ac:dyDescent="0.2">
      <c r="L38" s="2" t="s">
        <v>1</v>
      </c>
    </row>
    <row r="39" spans="12:12" x14ac:dyDescent="0.2">
      <c r="L39" s="2" t="s">
        <v>1</v>
      </c>
    </row>
    <row r="40" spans="12:12" x14ac:dyDescent="0.2">
      <c r="L40" s="2" t="s">
        <v>1</v>
      </c>
    </row>
    <row r="41" spans="12:12" x14ac:dyDescent="0.2">
      <c r="L41" s="2" t="s">
        <v>1</v>
      </c>
    </row>
    <row r="42" spans="12:12" x14ac:dyDescent="0.2">
      <c r="L42" s="2" t="s">
        <v>1</v>
      </c>
    </row>
    <row r="43" spans="12:12" x14ac:dyDescent="0.2">
      <c r="L43" s="2" t="s">
        <v>1</v>
      </c>
    </row>
    <row r="44" spans="12:12" x14ac:dyDescent="0.2">
      <c r="L44" s="2" t="s">
        <v>1</v>
      </c>
    </row>
    <row r="45" spans="12:12" x14ac:dyDescent="0.2">
      <c r="L45" s="2" t="s">
        <v>1</v>
      </c>
    </row>
  </sheetData>
  <pageMargins left="0.5" right="0.5" top="0.75" bottom="0.75" header="0.5" footer="0.5"/>
  <pageSetup orientation="portrait" horizontalDpi="0" verticalDpi="0" copies="0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252"/>
  <sheetViews>
    <sheetView showOutlineSymbols="0" defaultGridColor="0" topLeftCell="A103" colorId="9" workbookViewId="0">
      <selection activeCell="F110" sqref="F110"/>
    </sheetView>
  </sheetViews>
  <sheetFormatPr defaultColWidth="8.6640625" defaultRowHeight="15" x14ac:dyDescent="0.2"/>
  <cols>
    <col min="1" max="16384" width="8.6640625" style="2"/>
  </cols>
  <sheetData>
    <row r="1" spans="1:55" ht="18" x14ac:dyDescent="0.25">
      <c r="A1" s="18" t="s">
        <v>621</v>
      </c>
      <c r="D1" s="2" t="s">
        <v>622</v>
      </c>
      <c r="BC1" s="2" t="s">
        <v>1</v>
      </c>
    </row>
    <row r="2" spans="1:55" x14ac:dyDescent="0.2">
      <c r="A2" s="2" t="s">
        <v>623</v>
      </c>
      <c r="BC2" s="2" t="s">
        <v>1</v>
      </c>
    </row>
    <row r="3" spans="1:55" x14ac:dyDescent="0.2">
      <c r="BC3" s="2" t="s">
        <v>1</v>
      </c>
    </row>
    <row r="4" spans="1:55" x14ac:dyDescent="0.2">
      <c r="A4" s="2" t="s">
        <v>284</v>
      </c>
      <c r="B4" s="15" t="s">
        <v>285</v>
      </c>
      <c r="C4" s="15" t="s">
        <v>253</v>
      </c>
      <c r="D4" s="8" t="s">
        <v>286</v>
      </c>
      <c r="E4" s="2" t="s">
        <v>624</v>
      </c>
      <c r="F4" s="2" t="s">
        <v>203</v>
      </c>
      <c r="G4" s="8" t="s">
        <v>116</v>
      </c>
      <c r="H4" s="11" t="s">
        <v>117</v>
      </c>
      <c r="I4" s="11" t="s">
        <v>118</v>
      </c>
      <c r="J4" s="11" t="s">
        <v>118</v>
      </c>
      <c r="K4" s="11" t="s">
        <v>123</v>
      </c>
      <c r="L4" s="11" t="s">
        <v>134</v>
      </c>
      <c r="M4" s="11" t="s">
        <v>138</v>
      </c>
      <c r="N4" s="11" t="s">
        <v>136</v>
      </c>
      <c r="O4" s="11" t="s">
        <v>130</v>
      </c>
      <c r="P4" s="11" t="s">
        <v>133</v>
      </c>
      <c r="Q4" s="11" t="s">
        <v>127</v>
      </c>
      <c r="R4" s="11" t="s">
        <v>121</v>
      </c>
      <c r="S4" s="11" t="s">
        <v>112</v>
      </c>
      <c r="T4" s="11" t="s">
        <v>115</v>
      </c>
      <c r="U4" s="11" t="s">
        <v>126</v>
      </c>
      <c r="V4" s="11" t="s">
        <v>122</v>
      </c>
      <c r="W4" s="11" t="s">
        <v>113</v>
      </c>
      <c r="X4" s="11" t="s">
        <v>131</v>
      </c>
      <c r="Y4" s="11" t="s">
        <v>129</v>
      </c>
      <c r="Z4" s="11" t="s">
        <v>149</v>
      </c>
      <c r="AA4" s="11" t="s">
        <v>151</v>
      </c>
      <c r="AB4" s="8" t="s">
        <v>146</v>
      </c>
      <c r="BC4" s="2" t="s">
        <v>1</v>
      </c>
    </row>
    <row r="5" spans="1:55" x14ac:dyDescent="0.2">
      <c r="A5" s="2" t="s">
        <v>289</v>
      </c>
      <c r="B5" s="15" t="s">
        <v>290</v>
      </c>
      <c r="H5" s="11" t="s">
        <v>266</v>
      </c>
      <c r="I5" s="11" t="s">
        <v>266</v>
      </c>
      <c r="J5" s="11" t="s">
        <v>266</v>
      </c>
      <c r="K5" s="11" t="s">
        <v>266</v>
      </c>
      <c r="L5" s="11" t="s">
        <v>371</v>
      </c>
      <c r="M5" s="11" t="s">
        <v>266</v>
      </c>
      <c r="N5" s="11" t="s">
        <v>144</v>
      </c>
      <c r="O5" s="11" t="s">
        <v>144</v>
      </c>
      <c r="P5" s="11" t="s">
        <v>144</v>
      </c>
      <c r="Q5" s="11" t="s">
        <v>144</v>
      </c>
      <c r="R5" s="11" t="s">
        <v>144</v>
      </c>
      <c r="S5" s="11" t="s">
        <v>144</v>
      </c>
      <c r="T5" s="11" t="s">
        <v>144</v>
      </c>
      <c r="U5" s="11" t="s">
        <v>144</v>
      </c>
      <c r="V5" s="11" t="s">
        <v>144</v>
      </c>
      <c r="W5" s="11" t="s">
        <v>144</v>
      </c>
      <c r="X5" s="11" t="s">
        <v>144</v>
      </c>
      <c r="Y5" s="11" t="s">
        <v>144</v>
      </c>
      <c r="Z5" s="11" t="s">
        <v>144</v>
      </c>
      <c r="AA5" s="11" t="s">
        <v>144</v>
      </c>
      <c r="BC5" s="2" t="s">
        <v>1</v>
      </c>
    </row>
    <row r="6" spans="1:55" x14ac:dyDescent="0.2">
      <c r="A6" s="2" t="s">
        <v>625</v>
      </c>
      <c r="BC6" s="2" t="s">
        <v>1</v>
      </c>
    </row>
    <row r="7" spans="1:55" x14ac:dyDescent="0.2">
      <c r="A7" s="2">
        <v>17</v>
      </c>
      <c r="B7" s="2" t="s">
        <v>626</v>
      </c>
      <c r="C7" s="7">
        <f>DATE(87,9,16)</f>
        <v>32036</v>
      </c>
      <c r="D7" s="2">
        <v>930</v>
      </c>
      <c r="G7" s="17">
        <v>8.5</v>
      </c>
      <c r="H7" s="2">
        <v>544</v>
      </c>
      <c r="I7" s="2">
        <v>163</v>
      </c>
      <c r="J7" s="2">
        <v>169</v>
      </c>
      <c r="K7" s="2">
        <v>1696</v>
      </c>
      <c r="L7" s="2">
        <v>352</v>
      </c>
      <c r="M7" s="2">
        <v>341</v>
      </c>
      <c r="N7" s="2">
        <v>420</v>
      </c>
      <c r="O7" s="2">
        <v>257</v>
      </c>
      <c r="P7" s="2">
        <v>48</v>
      </c>
      <c r="R7" s="2">
        <v>163</v>
      </c>
      <c r="S7" s="2">
        <v>156</v>
      </c>
      <c r="T7" s="2">
        <v>787</v>
      </c>
      <c r="U7" s="4">
        <v>617</v>
      </c>
      <c r="V7" s="4">
        <v>1080</v>
      </c>
      <c r="W7" s="4">
        <v>648</v>
      </c>
      <c r="X7" s="4">
        <v>876</v>
      </c>
      <c r="Y7" s="4">
        <v>245</v>
      </c>
      <c r="Z7" s="4">
        <v>207</v>
      </c>
      <c r="AA7" s="4">
        <v>349</v>
      </c>
      <c r="BC7" s="2" t="s">
        <v>1</v>
      </c>
    </row>
    <row r="8" spans="1:55" x14ac:dyDescent="0.2">
      <c r="A8" s="2">
        <v>18</v>
      </c>
      <c r="B8" s="2" t="s">
        <v>627</v>
      </c>
      <c r="C8" s="7">
        <f>DATE(87,9,16)</f>
        <v>32036</v>
      </c>
      <c r="D8" s="2">
        <v>1155</v>
      </c>
      <c r="G8" s="17">
        <v>6.1</v>
      </c>
      <c r="H8" s="2">
        <v>542</v>
      </c>
      <c r="I8" s="2">
        <v>181</v>
      </c>
      <c r="J8" s="2">
        <v>187</v>
      </c>
      <c r="K8" s="2">
        <v>1696</v>
      </c>
      <c r="L8" s="2">
        <v>351</v>
      </c>
      <c r="M8" s="2">
        <v>342</v>
      </c>
      <c r="N8" s="2">
        <v>419</v>
      </c>
      <c r="O8" s="2">
        <v>252</v>
      </c>
      <c r="P8" s="2">
        <v>42</v>
      </c>
      <c r="R8" s="2">
        <v>178</v>
      </c>
      <c r="S8" s="2">
        <v>157</v>
      </c>
      <c r="T8" s="2">
        <v>817</v>
      </c>
      <c r="U8" s="4">
        <v>732</v>
      </c>
      <c r="V8" s="4">
        <v>1260</v>
      </c>
      <c r="W8" s="4">
        <v>518</v>
      </c>
      <c r="X8" s="4">
        <v>785</v>
      </c>
      <c r="Y8" s="4">
        <v>299</v>
      </c>
      <c r="Z8" s="4">
        <v>200</v>
      </c>
      <c r="AA8" s="4">
        <v>314</v>
      </c>
      <c r="BC8" s="2" t="s">
        <v>1</v>
      </c>
    </row>
    <row r="9" spans="1:55" x14ac:dyDescent="0.2">
      <c r="A9" s="2">
        <v>19</v>
      </c>
      <c r="B9" s="2" t="s">
        <v>628</v>
      </c>
      <c r="C9" s="7">
        <f>DATE(87,9,16)</f>
        <v>32036</v>
      </c>
      <c r="D9" s="2">
        <v>1555</v>
      </c>
      <c r="G9" s="17">
        <v>12.5</v>
      </c>
      <c r="H9" s="2">
        <v>530</v>
      </c>
      <c r="I9" s="2">
        <v>146</v>
      </c>
      <c r="J9" s="2">
        <v>152</v>
      </c>
      <c r="K9" s="2">
        <v>1676</v>
      </c>
      <c r="L9" s="2">
        <v>350</v>
      </c>
      <c r="M9" s="2">
        <v>342</v>
      </c>
      <c r="N9" s="2">
        <v>420</v>
      </c>
      <c r="O9" s="2">
        <v>252</v>
      </c>
      <c r="P9" s="2">
        <v>42</v>
      </c>
      <c r="R9" s="2">
        <v>161</v>
      </c>
      <c r="S9" s="2">
        <v>156</v>
      </c>
      <c r="T9" s="2">
        <v>733</v>
      </c>
      <c r="U9" s="4">
        <v>539</v>
      </c>
      <c r="V9" s="4">
        <v>980</v>
      </c>
      <c r="W9" s="4">
        <v>168</v>
      </c>
      <c r="X9" s="4">
        <v>164</v>
      </c>
      <c r="Y9" s="4">
        <v>342</v>
      </c>
      <c r="Z9" s="4">
        <v>42</v>
      </c>
      <c r="AA9" s="4">
        <v>52</v>
      </c>
      <c r="BC9" s="2" t="s">
        <v>1</v>
      </c>
    </row>
    <row r="10" spans="1:55" x14ac:dyDescent="0.2">
      <c r="A10" s="2">
        <v>20</v>
      </c>
      <c r="B10" s="2" t="s">
        <v>629</v>
      </c>
      <c r="C10" s="7">
        <f>DATE(87,9,23)</f>
        <v>32043</v>
      </c>
      <c r="D10" s="2">
        <v>1000</v>
      </c>
      <c r="G10" s="17">
        <v>9</v>
      </c>
      <c r="H10" s="2">
        <v>545</v>
      </c>
      <c r="I10" s="2">
        <v>168</v>
      </c>
      <c r="J10" s="2">
        <v>177</v>
      </c>
      <c r="K10" s="2">
        <v>1695</v>
      </c>
      <c r="L10" s="2">
        <v>349</v>
      </c>
      <c r="M10" s="2">
        <v>332</v>
      </c>
      <c r="N10" s="2">
        <v>429</v>
      </c>
      <c r="O10" s="2">
        <v>253</v>
      </c>
      <c r="P10" s="2">
        <v>42</v>
      </c>
      <c r="R10" s="2">
        <v>160</v>
      </c>
      <c r="S10" s="2">
        <v>156</v>
      </c>
      <c r="T10" s="2">
        <v>563</v>
      </c>
      <c r="U10" s="11" t="s">
        <v>299</v>
      </c>
      <c r="BC10" s="2" t="s">
        <v>1</v>
      </c>
    </row>
    <row r="11" spans="1:55" x14ac:dyDescent="0.2">
      <c r="A11" s="2">
        <v>21</v>
      </c>
      <c r="B11" s="2" t="s">
        <v>630</v>
      </c>
      <c r="C11" s="7">
        <f>DATE(87,9,23)</f>
        <v>32043</v>
      </c>
      <c r="D11" s="2">
        <v>1600</v>
      </c>
      <c r="G11" s="17">
        <v>14.1</v>
      </c>
      <c r="H11" s="2">
        <v>535</v>
      </c>
      <c r="I11" s="2">
        <v>120</v>
      </c>
      <c r="J11" s="2">
        <v>126</v>
      </c>
      <c r="K11" s="2">
        <v>1670</v>
      </c>
      <c r="L11" s="2">
        <v>348</v>
      </c>
      <c r="M11" s="2">
        <v>338</v>
      </c>
      <c r="N11" s="2">
        <v>416</v>
      </c>
      <c r="O11" s="2">
        <v>256</v>
      </c>
      <c r="P11" s="2">
        <v>43</v>
      </c>
      <c r="R11" s="2">
        <v>161</v>
      </c>
      <c r="S11" s="2">
        <v>158</v>
      </c>
      <c r="T11" s="2">
        <v>679</v>
      </c>
      <c r="U11" s="4">
        <v>420</v>
      </c>
      <c r="V11" s="4">
        <v>476</v>
      </c>
      <c r="W11" s="4">
        <v>88</v>
      </c>
      <c r="X11" s="4">
        <v>85</v>
      </c>
      <c r="Y11" s="4">
        <v>165</v>
      </c>
      <c r="Z11" s="4">
        <v>33</v>
      </c>
      <c r="AA11" s="4">
        <v>45</v>
      </c>
      <c r="BC11" s="2" t="s">
        <v>1</v>
      </c>
    </row>
    <row r="12" spans="1:55" x14ac:dyDescent="0.2">
      <c r="A12" s="2">
        <v>22</v>
      </c>
      <c r="B12" s="2" t="s">
        <v>631</v>
      </c>
      <c r="C12" s="7">
        <f>DATE(87,9,23)</f>
        <v>32043</v>
      </c>
      <c r="D12" s="2">
        <v>1150</v>
      </c>
      <c r="G12" s="17">
        <v>8.6999999999999993</v>
      </c>
      <c r="H12" s="2">
        <v>562</v>
      </c>
      <c r="I12" s="2">
        <v>170</v>
      </c>
      <c r="J12" s="2">
        <v>176</v>
      </c>
      <c r="K12" s="2">
        <v>1688</v>
      </c>
      <c r="L12" s="2">
        <v>349</v>
      </c>
      <c r="M12" s="2">
        <v>338</v>
      </c>
      <c r="N12" s="2">
        <v>428</v>
      </c>
      <c r="O12" s="2">
        <v>271</v>
      </c>
      <c r="P12" s="2">
        <v>39</v>
      </c>
      <c r="R12" s="2">
        <v>161</v>
      </c>
      <c r="S12" s="2">
        <v>157</v>
      </c>
      <c r="T12" s="2">
        <v>756</v>
      </c>
      <c r="U12" s="11" t="s">
        <v>299</v>
      </c>
      <c r="BC12" s="2" t="s">
        <v>1</v>
      </c>
    </row>
    <row r="13" spans="1:55" x14ac:dyDescent="0.2">
      <c r="A13" s="2">
        <v>23</v>
      </c>
      <c r="B13" s="2" t="s">
        <v>632</v>
      </c>
      <c r="C13" s="7">
        <f>DATE(87,10,14)</f>
        <v>32064</v>
      </c>
      <c r="D13" s="2">
        <v>930</v>
      </c>
      <c r="G13" s="17">
        <v>15</v>
      </c>
      <c r="H13" s="2">
        <v>525</v>
      </c>
      <c r="I13" s="2">
        <v>108</v>
      </c>
      <c r="J13" s="2">
        <v>108</v>
      </c>
      <c r="K13" s="2">
        <v>1690</v>
      </c>
      <c r="L13" s="2">
        <v>371</v>
      </c>
      <c r="M13" s="2">
        <v>337</v>
      </c>
      <c r="N13" s="2">
        <v>413</v>
      </c>
      <c r="O13" s="2">
        <v>256</v>
      </c>
      <c r="P13" s="2">
        <v>50</v>
      </c>
      <c r="R13" s="2">
        <v>161</v>
      </c>
      <c r="S13" s="2">
        <v>156</v>
      </c>
      <c r="T13" s="2">
        <v>797</v>
      </c>
      <c r="U13" s="4">
        <v>543</v>
      </c>
      <c r="V13" s="4">
        <v>563</v>
      </c>
      <c r="W13" s="4">
        <v>138</v>
      </c>
      <c r="X13" s="4">
        <v>111</v>
      </c>
      <c r="Y13" s="4">
        <v>203</v>
      </c>
      <c r="Z13" s="4">
        <v>30</v>
      </c>
      <c r="AA13" s="4">
        <v>53</v>
      </c>
      <c r="BC13" s="2" t="s">
        <v>1</v>
      </c>
    </row>
    <row r="14" spans="1:55" x14ac:dyDescent="0.2">
      <c r="A14" s="2">
        <v>24</v>
      </c>
      <c r="B14" s="2" t="s">
        <v>633</v>
      </c>
      <c r="C14" s="7">
        <f>DATE(87,10,14)</f>
        <v>32064</v>
      </c>
      <c r="D14" s="2">
        <v>1150</v>
      </c>
      <c r="G14" s="17">
        <v>16.7</v>
      </c>
      <c r="H14" s="2">
        <v>522</v>
      </c>
      <c r="I14" s="2">
        <v>143</v>
      </c>
      <c r="J14" s="2">
        <v>143</v>
      </c>
      <c r="K14" s="2">
        <v>1673</v>
      </c>
      <c r="L14" s="2">
        <v>349</v>
      </c>
      <c r="M14" s="2">
        <v>326</v>
      </c>
      <c r="N14" s="2">
        <v>414</v>
      </c>
      <c r="O14" s="2">
        <v>256</v>
      </c>
      <c r="P14" s="2">
        <v>45</v>
      </c>
      <c r="R14" s="2">
        <v>163</v>
      </c>
      <c r="S14" s="2">
        <v>158</v>
      </c>
      <c r="T14" s="2">
        <v>753</v>
      </c>
      <c r="U14" s="4">
        <v>579</v>
      </c>
      <c r="V14" s="4">
        <v>883</v>
      </c>
      <c r="W14" s="4">
        <v>135</v>
      </c>
      <c r="X14" s="4">
        <v>170</v>
      </c>
      <c r="Y14" s="4">
        <v>314</v>
      </c>
      <c r="Z14" s="4">
        <v>37</v>
      </c>
      <c r="AA14" s="4">
        <v>48</v>
      </c>
      <c r="BC14" s="2" t="s">
        <v>1</v>
      </c>
    </row>
    <row r="15" spans="1:55" x14ac:dyDescent="0.2">
      <c r="BC15" s="2" t="s">
        <v>1</v>
      </c>
    </row>
    <row r="16" spans="1:55" x14ac:dyDescent="0.2">
      <c r="G16" s="8" t="s">
        <v>116</v>
      </c>
      <c r="H16" s="11" t="s">
        <v>117</v>
      </c>
      <c r="I16" s="11" t="s">
        <v>118</v>
      </c>
      <c r="J16" s="11" t="s">
        <v>118</v>
      </c>
      <c r="K16" s="11" t="s">
        <v>123</v>
      </c>
      <c r="L16" s="11" t="s">
        <v>134</v>
      </c>
      <c r="M16" s="11" t="s">
        <v>138</v>
      </c>
      <c r="N16" s="11" t="s">
        <v>136</v>
      </c>
      <c r="O16" s="11" t="s">
        <v>130</v>
      </c>
      <c r="P16" s="11" t="s">
        <v>133</v>
      </c>
      <c r="Q16" s="11" t="s">
        <v>127</v>
      </c>
      <c r="R16" s="11" t="s">
        <v>121</v>
      </c>
      <c r="S16" s="11" t="s">
        <v>112</v>
      </c>
      <c r="T16" s="11" t="s">
        <v>115</v>
      </c>
      <c r="U16" s="11" t="s">
        <v>126</v>
      </c>
      <c r="V16" s="11" t="s">
        <v>122</v>
      </c>
      <c r="W16" s="11" t="s">
        <v>113</v>
      </c>
      <c r="X16" s="11" t="s">
        <v>131</v>
      </c>
      <c r="Y16" s="11" t="s">
        <v>129</v>
      </c>
      <c r="Z16" s="11" t="s">
        <v>149</v>
      </c>
      <c r="AA16" s="11" t="s">
        <v>151</v>
      </c>
      <c r="AB16" s="8" t="s">
        <v>146</v>
      </c>
      <c r="BC16" s="2" t="s">
        <v>1</v>
      </c>
    </row>
    <row r="17" spans="1:55" x14ac:dyDescent="0.2">
      <c r="B17" s="2" t="s">
        <v>363</v>
      </c>
      <c r="C17" s="7">
        <f>AVERAGE(C7:C14)</f>
        <v>32045.625</v>
      </c>
      <c r="D17" s="4">
        <f>AVERAGE(D7:D14)</f>
        <v>1183.75</v>
      </c>
      <c r="E17" s="4"/>
      <c r="F17" s="4"/>
      <c r="G17" s="4">
        <f t="shared" ref="G17:AA17" si="0">AVERAGE(G7:G14)</f>
        <v>11.325000000000001</v>
      </c>
      <c r="H17" s="4">
        <f t="shared" si="0"/>
        <v>538.125</v>
      </c>
      <c r="I17" s="4">
        <f t="shared" si="0"/>
        <v>149.875</v>
      </c>
      <c r="J17" s="4">
        <f t="shared" si="0"/>
        <v>154.75</v>
      </c>
      <c r="K17" s="4">
        <f t="shared" si="0"/>
        <v>1685.5</v>
      </c>
      <c r="L17" s="4">
        <f t="shared" si="0"/>
        <v>352.375</v>
      </c>
      <c r="M17" s="4">
        <f t="shared" si="0"/>
        <v>337</v>
      </c>
      <c r="N17" s="4">
        <f t="shared" si="0"/>
        <v>419.875</v>
      </c>
      <c r="O17" s="4">
        <f t="shared" si="0"/>
        <v>256.625</v>
      </c>
      <c r="P17" s="4">
        <f t="shared" si="0"/>
        <v>43.875</v>
      </c>
      <c r="Q17" s="4" t="e">
        <f t="shared" si="0"/>
        <v>#DIV/0!</v>
      </c>
      <c r="R17" s="4">
        <f t="shared" si="0"/>
        <v>163.5</v>
      </c>
      <c r="S17" s="4">
        <f t="shared" si="0"/>
        <v>156.75</v>
      </c>
      <c r="T17" s="4">
        <f t="shared" si="0"/>
        <v>735.625</v>
      </c>
      <c r="U17" s="4">
        <f t="shared" si="0"/>
        <v>571.66666666666663</v>
      </c>
      <c r="V17" s="4">
        <f t="shared" si="0"/>
        <v>873.66666666666663</v>
      </c>
      <c r="W17" s="4">
        <f t="shared" si="0"/>
        <v>282.5</v>
      </c>
      <c r="X17" s="4">
        <f t="shared" si="0"/>
        <v>365.16666666666669</v>
      </c>
      <c r="Y17" s="4">
        <f t="shared" si="0"/>
        <v>261.33333333333331</v>
      </c>
      <c r="Z17" s="4">
        <f t="shared" si="0"/>
        <v>91.5</v>
      </c>
      <c r="AA17" s="4">
        <f t="shared" si="0"/>
        <v>143.5</v>
      </c>
      <c r="BC17" s="2" t="s">
        <v>1</v>
      </c>
    </row>
    <row r="18" spans="1:55" x14ac:dyDescent="0.2">
      <c r="B18" s="2" t="s">
        <v>364</v>
      </c>
      <c r="C18" s="4"/>
      <c r="D18" s="4">
        <f>STDEV(D7:D14)</f>
        <v>260.97003112015972</v>
      </c>
      <c r="E18" s="4"/>
      <c r="F18" s="4"/>
      <c r="G18" s="4">
        <f t="shared" ref="G18:AA18" si="1">STDEV(G7:G14)</f>
        <v>3.7617435167371833</v>
      </c>
      <c r="H18" s="4">
        <f t="shared" si="1"/>
        <v>12.95528022523194</v>
      </c>
      <c r="I18" s="4">
        <f t="shared" si="1"/>
        <v>25.587036338181658</v>
      </c>
      <c r="J18" s="4">
        <f t="shared" si="1"/>
        <v>27.639257794459159</v>
      </c>
      <c r="K18" s="4">
        <f t="shared" si="1"/>
        <v>10.8496214548843</v>
      </c>
      <c r="L18" s="4">
        <f t="shared" si="1"/>
        <v>7.6333385319175475</v>
      </c>
      <c r="M18" s="4">
        <f t="shared" si="1"/>
        <v>5.5291435658181793</v>
      </c>
      <c r="N18" s="4">
        <f t="shared" si="1"/>
        <v>5.9386746958271042</v>
      </c>
      <c r="O18" s="4">
        <f t="shared" si="1"/>
        <v>6.1397417349126799</v>
      </c>
      <c r="P18" s="4">
        <f t="shared" si="1"/>
        <v>3.6030740843261686</v>
      </c>
      <c r="Q18" s="4" t="e">
        <f t="shared" si="1"/>
        <v>#DIV/0!</v>
      </c>
      <c r="R18" s="4">
        <f t="shared" si="1"/>
        <v>5.9521904731427595</v>
      </c>
      <c r="S18" s="4">
        <f t="shared" si="1"/>
        <v>0.88640526042791834</v>
      </c>
      <c r="T18" s="4">
        <f t="shared" si="1"/>
        <v>81.729409814163148</v>
      </c>
      <c r="U18" s="4">
        <f t="shared" si="1"/>
        <v>102.6716449009494</v>
      </c>
      <c r="V18" s="4">
        <f t="shared" si="1"/>
        <v>302.61306426964882</v>
      </c>
      <c r="W18" s="4">
        <f t="shared" si="1"/>
        <v>237.75092008234165</v>
      </c>
      <c r="X18" s="4">
        <f t="shared" si="1"/>
        <v>363.00491273076</v>
      </c>
      <c r="Y18" s="4">
        <f t="shared" si="1"/>
        <v>68.774026104821459</v>
      </c>
      <c r="Z18" s="4">
        <f t="shared" si="1"/>
        <v>86.87634891039103</v>
      </c>
      <c r="AA18" s="4">
        <f t="shared" si="1"/>
        <v>146.0722424008066</v>
      </c>
      <c r="BC18" s="2" t="s">
        <v>1</v>
      </c>
    </row>
    <row r="19" spans="1:55" x14ac:dyDescent="0.2">
      <c r="B19" s="2" t="s">
        <v>365</v>
      </c>
      <c r="D19" s="2">
        <f>COUNTA(D7:D14)</f>
        <v>8</v>
      </c>
      <c r="G19" s="2">
        <f t="shared" ref="G19:AA19" si="2">COUNTA(G7:G14)</f>
        <v>8</v>
      </c>
      <c r="H19" s="2">
        <f t="shared" si="2"/>
        <v>8</v>
      </c>
      <c r="I19" s="2">
        <f t="shared" si="2"/>
        <v>8</v>
      </c>
      <c r="J19" s="2">
        <f t="shared" si="2"/>
        <v>8</v>
      </c>
      <c r="K19" s="2">
        <f t="shared" si="2"/>
        <v>8</v>
      </c>
      <c r="L19" s="2">
        <f t="shared" si="2"/>
        <v>8</v>
      </c>
      <c r="M19" s="2">
        <f t="shared" si="2"/>
        <v>8</v>
      </c>
      <c r="N19" s="2">
        <f t="shared" si="2"/>
        <v>8</v>
      </c>
      <c r="O19" s="2">
        <f t="shared" si="2"/>
        <v>8</v>
      </c>
      <c r="P19" s="2">
        <f t="shared" si="2"/>
        <v>8</v>
      </c>
      <c r="Q19" s="2">
        <f t="shared" si="2"/>
        <v>0</v>
      </c>
      <c r="R19" s="2">
        <f t="shared" si="2"/>
        <v>8</v>
      </c>
      <c r="S19" s="2">
        <f t="shared" si="2"/>
        <v>8</v>
      </c>
      <c r="T19" s="2">
        <f t="shared" si="2"/>
        <v>8</v>
      </c>
      <c r="U19" s="2">
        <f t="shared" si="2"/>
        <v>8</v>
      </c>
      <c r="V19" s="2">
        <f t="shared" si="2"/>
        <v>6</v>
      </c>
      <c r="W19" s="2">
        <f t="shared" si="2"/>
        <v>6</v>
      </c>
      <c r="X19" s="2">
        <f t="shared" si="2"/>
        <v>6</v>
      </c>
      <c r="Y19" s="2">
        <f t="shared" si="2"/>
        <v>6</v>
      </c>
      <c r="Z19" s="2">
        <f t="shared" si="2"/>
        <v>6</v>
      </c>
      <c r="AA19" s="2">
        <f t="shared" si="2"/>
        <v>6</v>
      </c>
      <c r="BC19" s="2" t="s">
        <v>1</v>
      </c>
    </row>
    <row r="20" spans="1:55" x14ac:dyDescent="0.2">
      <c r="BC20" s="2" t="s">
        <v>1</v>
      </c>
    </row>
    <row r="21" spans="1:55" x14ac:dyDescent="0.2">
      <c r="A21" s="2" t="s">
        <v>634</v>
      </c>
      <c r="BC21" s="2" t="s">
        <v>1</v>
      </c>
    </row>
    <row r="22" spans="1:55" x14ac:dyDescent="0.2">
      <c r="A22" s="8" t="s">
        <v>284</v>
      </c>
      <c r="B22" s="15" t="s">
        <v>285</v>
      </c>
      <c r="C22" s="15" t="s">
        <v>253</v>
      </c>
      <c r="D22" s="8" t="s">
        <v>286</v>
      </c>
      <c r="G22" s="8" t="s">
        <v>116</v>
      </c>
      <c r="H22" s="8" t="s">
        <v>117</v>
      </c>
      <c r="I22" s="8" t="s">
        <v>118</v>
      </c>
      <c r="K22" s="8" t="s">
        <v>123</v>
      </c>
      <c r="L22" s="8" t="s">
        <v>134</v>
      </c>
      <c r="M22" s="8" t="s">
        <v>138</v>
      </c>
      <c r="N22" s="8" t="s">
        <v>136</v>
      </c>
      <c r="O22" s="8" t="s">
        <v>130</v>
      </c>
      <c r="P22" s="8" t="s">
        <v>133</v>
      </c>
      <c r="R22" s="8" t="s">
        <v>121</v>
      </c>
      <c r="S22" s="8" t="s">
        <v>112</v>
      </c>
      <c r="T22" s="8" t="s">
        <v>115</v>
      </c>
      <c r="U22" s="8" t="s">
        <v>126</v>
      </c>
      <c r="V22" s="8" t="s">
        <v>122</v>
      </c>
      <c r="W22" s="8" t="s">
        <v>113</v>
      </c>
      <c r="X22" s="8" t="s">
        <v>131</v>
      </c>
      <c r="Y22" s="8" t="s">
        <v>129</v>
      </c>
      <c r="Z22" s="8" t="s">
        <v>149</v>
      </c>
      <c r="AA22" s="8" t="s">
        <v>151</v>
      </c>
      <c r="BC22" s="2" t="s">
        <v>1</v>
      </c>
    </row>
    <row r="23" spans="1:55" x14ac:dyDescent="0.2">
      <c r="A23" s="8" t="s">
        <v>289</v>
      </c>
      <c r="B23" s="15" t="s">
        <v>290</v>
      </c>
      <c r="G23" s="8" t="s">
        <v>635</v>
      </c>
      <c r="H23" s="8" t="s">
        <v>266</v>
      </c>
      <c r="I23" s="8" t="s">
        <v>266</v>
      </c>
      <c r="K23" s="8" t="s">
        <v>266</v>
      </c>
      <c r="L23" s="8" t="s">
        <v>371</v>
      </c>
      <c r="M23" s="8" t="s">
        <v>266</v>
      </c>
      <c r="N23" s="8" t="s">
        <v>144</v>
      </c>
      <c r="O23" s="8" t="s">
        <v>144</v>
      </c>
      <c r="P23" s="8" t="s">
        <v>144</v>
      </c>
      <c r="R23" s="8" t="s">
        <v>144</v>
      </c>
      <c r="S23" s="8" t="s">
        <v>144</v>
      </c>
      <c r="T23" s="8" t="s">
        <v>144</v>
      </c>
      <c r="U23" s="8" t="s">
        <v>144</v>
      </c>
      <c r="V23" s="8" t="s">
        <v>144</v>
      </c>
      <c r="W23" s="8" t="s">
        <v>144</v>
      </c>
      <c r="X23" s="8" t="s">
        <v>144</v>
      </c>
      <c r="Y23" s="8" t="s">
        <v>144</v>
      </c>
      <c r="Z23" s="8" t="s">
        <v>144</v>
      </c>
      <c r="AA23" s="8" t="s">
        <v>144</v>
      </c>
      <c r="BC23" s="2" t="s">
        <v>1</v>
      </c>
    </row>
    <row r="24" spans="1:55" x14ac:dyDescent="0.2">
      <c r="BC24" s="2" t="s">
        <v>1</v>
      </c>
    </row>
    <row r="25" spans="1:55" x14ac:dyDescent="0.2">
      <c r="A25" s="2">
        <v>1</v>
      </c>
      <c r="B25" s="2" t="s">
        <v>636</v>
      </c>
      <c r="C25" s="7">
        <f>DATE(87,7,23)</f>
        <v>31981</v>
      </c>
      <c r="D25" s="2">
        <v>800</v>
      </c>
      <c r="G25" s="17">
        <v>1.4</v>
      </c>
      <c r="H25" s="2">
        <v>470</v>
      </c>
      <c r="I25" s="2">
        <v>315</v>
      </c>
      <c r="K25" s="2">
        <v>1802</v>
      </c>
      <c r="L25" s="2">
        <v>388</v>
      </c>
      <c r="M25" s="2">
        <v>345</v>
      </c>
      <c r="N25" s="2">
        <v>410</v>
      </c>
      <c r="O25" s="2">
        <v>249</v>
      </c>
      <c r="P25" s="2">
        <v>48</v>
      </c>
      <c r="R25" s="2">
        <v>157</v>
      </c>
      <c r="S25" s="2">
        <v>155</v>
      </c>
      <c r="T25" s="2">
        <v>888</v>
      </c>
      <c r="BC25" s="2" t="s">
        <v>1</v>
      </c>
    </row>
    <row r="26" spans="1:55" x14ac:dyDescent="0.2">
      <c r="A26" s="2">
        <v>2</v>
      </c>
      <c r="B26" s="2" t="s">
        <v>637</v>
      </c>
      <c r="C26" s="7">
        <f>DATE(87,7,23)</f>
        <v>31981</v>
      </c>
      <c r="D26" s="2">
        <v>1400</v>
      </c>
      <c r="G26" s="17">
        <v>5.4</v>
      </c>
      <c r="H26" s="2">
        <v>527</v>
      </c>
      <c r="I26" s="2">
        <v>222</v>
      </c>
      <c r="K26" s="2">
        <v>1680</v>
      </c>
      <c r="L26" s="2">
        <v>355</v>
      </c>
      <c r="M26" s="2">
        <v>339</v>
      </c>
      <c r="N26" s="2">
        <v>410</v>
      </c>
      <c r="O26" s="2">
        <v>250</v>
      </c>
      <c r="P26" s="2">
        <v>43</v>
      </c>
      <c r="R26" s="2">
        <v>157</v>
      </c>
      <c r="S26" s="2">
        <v>154</v>
      </c>
      <c r="T26" s="2">
        <v>728</v>
      </c>
      <c r="BC26" s="2" t="s">
        <v>1</v>
      </c>
    </row>
    <row r="27" spans="1:55" x14ac:dyDescent="0.2">
      <c r="A27" s="2">
        <v>3</v>
      </c>
      <c r="B27" s="2" t="s">
        <v>638</v>
      </c>
      <c r="C27" s="7">
        <f>DATE(87,7,23)</f>
        <v>31981</v>
      </c>
      <c r="D27" s="2">
        <v>1600</v>
      </c>
      <c r="G27" s="17">
        <v>17.2</v>
      </c>
      <c r="H27" s="2">
        <v>514</v>
      </c>
      <c r="I27" s="2">
        <v>200</v>
      </c>
      <c r="K27" s="2">
        <v>1726</v>
      </c>
      <c r="L27" s="2">
        <v>353</v>
      </c>
      <c r="M27" s="2">
        <v>341</v>
      </c>
      <c r="N27" s="2">
        <v>415</v>
      </c>
      <c r="O27" s="2">
        <v>250</v>
      </c>
      <c r="P27" s="2">
        <v>51</v>
      </c>
      <c r="R27" s="2">
        <v>157</v>
      </c>
      <c r="S27" s="2">
        <v>154</v>
      </c>
      <c r="T27" s="2">
        <v>706</v>
      </c>
      <c r="BC27" s="2" t="s">
        <v>1</v>
      </c>
    </row>
    <row r="28" spans="1:55" x14ac:dyDescent="0.2">
      <c r="A28" s="2">
        <v>4</v>
      </c>
      <c r="B28" s="2" t="s">
        <v>639</v>
      </c>
      <c r="C28" s="7">
        <f>DATE(87,7,24)</f>
        <v>31982</v>
      </c>
      <c r="D28" s="2">
        <v>800</v>
      </c>
      <c r="G28" s="17">
        <v>2.2999999999999998</v>
      </c>
      <c r="H28" s="2">
        <v>484</v>
      </c>
      <c r="I28" s="2">
        <v>241</v>
      </c>
      <c r="K28" s="2">
        <v>2040</v>
      </c>
      <c r="L28" s="2">
        <v>385</v>
      </c>
      <c r="M28" s="2">
        <v>345</v>
      </c>
      <c r="N28" s="2">
        <v>414</v>
      </c>
      <c r="O28" s="2">
        <v>252</v>
      </c>
      <c r="P28" s="2">
        <v>35</v>
      </c>
      <c r="R28" s="2">
        <v>159</v>
      </c>
      <c r="S28" s="2">
        <v>154</v>
      </c>
      <c r="T28" s="2">
        <v>774</v>
      </c>
      <c r="BC28" s="2" t="s">
        <v>1</v>
      </c>
    </row>
    <row r="29" spans="1:55" x14ac:dyDescent="0.2">
      <c r="A29" s="2">
        <v>5</v>
      </c>
      <c r="B29" s="2" t="s">
        <v>640</v>
      </c>
      <c r="C29" s="7">
        <f>DATE(87,7,24)</f>
        <v>31982</v>
      </c>
      <c r="D29" s="2">
        <v>1200</v>
      </c>
      <c r="G29" s="17">
        <v>8.5</v>
      </c>
      <c r="H29" s="2">
        <v>530</v>
      </c>
      <c r="I29" s="2">
        <v>307</v>
      </c>
      <c r="K29" s="2">
        <v>1761</v>
      </c>
      <c r="L29" s="2">
        <v>345</v>
      </c>
      <c r="M29" s="2">
        <v>344</v>
      </c>
      <c r="N29" s="2">
        <v>419</v>
      </c>
      <c r="O29" s="2">
        <v>254</v>
      </c>
      <c r="P29" s="2">
        <v>46</v>
      </c>
      <c r="R29" s="2">
        <v>161</v>
      </c>
      <c r="S29" s="2">
        <v>156</v>
      </c>
      <c r="T29" s="2">
        <v>772</v>
      </c>
      <c r="BC29" s="2" t="s">
        <v>1</v>
      </c>
    </row>
    <row r="30" spans="1:55" x14ac:dyDescent="0.2">
      <c r="A30" s="2">
        <v>6</v>
      </c>
      <c r="B30" s="2" t="s">
        <v>641</v>
      </c>
      <c r="C30" s="7">
        <f>DATE(87,7,24)</f>
        <v>31982</v>
      </c>
      <c r="D30" s="2">
        <v>1600</v>
      </c>
      <c r="G30" s="17">
        <v>12</v>
      </c>
      <c r="H30" s="2">
        <v>548</v>
      </c>
      <c r="I30" s="2">
        <v>299</v>
      </c>
      <c r="K30" s="2">
        <v>1767</v>
      </c>
      <c r="L30" s="2">
        <v>350</v>
      </c>
      <c r="M30" s="2">
        <v>342</v>
      </c>
      <c r="N30" s="2">
        <v>411</v>
      </c>
      <c r="O30" s="2">
        <v>254</v>
      </c>
      <c r="P30" s="2">
        <v>43</v>
      </c>
      <c r="R30" s="2">
        <v>160</v>
      </c>
      <c r="S30" s="2">
        <v>158</v>
      </c>
      <c r="T30" s="2">
        <v>789</v>
      </c>
      <c r="BC30" s="2" t="s">
        <v>1</v>
      </c>
    </row>
    <row r="31" spans="1:55" x14ac:dyDescent="0.2">
      <c r="A31" s="2">
        <v>7</v>
      </c>
      <c r="B31" s="2" t="s">
        <v>642</v>
      </c>
      <c r="C31" s="7">
        <f>DATE(87,7,25)</f>
        <v>31983</v>
      </c>
      <c r="D31" s="2">
        <v>800</v>
      </c>
      <c r="G31" s="17">
        <v>5.6</v>
      </c>
      <c r="H31" s="2">
        <v>540</v>
      </c>
      <c r="I31" s="2">
        <v>395</v>
      </c>
      <c r="K31" s="2">
        <v>1879</v>
      </c>
      <c r="L31" s="2">
        <v>375</v>
      </c>
      <c r="M31" s="2">
        <v>344</v>
      </c>
      <c r="N31" s="2">
        <v>416</v>
      </c>
      <c r="O31" s="2">
        <v>253</v>
      </c>
      <c r="P31" s="2">
        <v>37</v>
      </c>
      <c r="R31" s="2">
        <v>160</v>
      </c>
      <c r="S31" s="2">
        <v>157</v>
      </c>
      <c r="T31" s="2">
        <v>845</v>
      </c>
      <c r="BC31" s="2" t="s">
        <v>1</v>
      </c>
    </row>
    <row r="32" spans="1:55" x14ac:dyDescent="0.2">
      <c r="A32" s="2">
        <v>8</v>
      </c>
      <c r="B32" s="2" t="s">
        <v>643</v>
      </c>
      <c r="C32" s="7">
        <f>DATE(87,7,25)</f>
        <v>31983</v>
      </c>
      <c r="D32" s="2">
        <v>1200</v>
      </c>
      <c r="G32" s="17">
        <v>13.6</v>
      </c>
      <c r="H32" s="2">
        <v>554</v>
      </c>
      <c r="I32" s="2">
        <v>322</v>
      </c>
      <c r="K32" s="2">
        <v>1741</v>
      </c>
      <c r="L32" s="2">
        <v>344</v>
      </c>
      <c r="M32" s="2">
        <v>342</v>
      </c>
      <c r="N32" s="2">
        <v>404</v>
      </c>
      <c r="O32" s="2">
        <v>255</v>
      </c>
      <c r="P32" s="2">
        <v>53</v>
      </c>
      <c r="R32" s="2">
        <v>158</v>
      </c>
      <c r="S32" s="2">
        <v>157</v>
      </c>
      <c r="T32" s="2">
        <v>807</v>
      </c>
      <c r="BC32" s="2" t="s">
        <v>1</v>
      </c>
    </row>
    <row r="33" spans="1:55" x14ac:dyDescent="0.2">
      <c r="A33" s="2">
        <v>9</v>
      </c>
      <c r="B33" s="2" t="s">
        <v>644</v>
      </c>
      <c r="C33" s="7">
        <f>DATE(87,7,25)</f>
        <v>31983</v>
      </c>
      <c r="D33" s="2">
        <v>1600</v>
      </c>
      <c r="G33" s="17">
        <v>14.4</v>
      </c>
      <c r="H33" s="2">
        <v>553</v>
      </c>
      <c r="I33" s="2">
        <v>356</v>
      </c>
      <c r="K33" s="2">
        <v>1774</v>
      </c>
      <c r="L33" s="2">
        <v>346</v>
      </c>
      <c r="M33" s="2">
        <v>341</v>
      </c>
      <c r="N33" s="2">
        <v>411</v>
      </c>
      <c r="O33" s="2">
        <v>254</v>
      </c>
      <c r="P33" s="2">
        <v>46</v>
      </c>
      <c r="R33" s="2">
        <v>158</v>
      </c>
      <c r="S33" s="2">
        <v>157</v>
      </c>
      <c r="T33" s="2">
        <v>867</v>
      </c>
      <c r="BC33" s="2" t="s">
        <v>1</v>
      </c>
    </row>
    <row r="34" spans="1:55" x14ac:dyDescent="0.2">
      <c r="A34" s="2">
        <v>10</v>
      </c>
      <c r="B34" s="2" t="s">
        <v>645</v>
      </c>
      <c r="C34" s="7">
        <f>DATE(87,7,26)</f>
        <v>31984</v>
      </c>
      <c r="D34" s="2">
        <v>800</v>
      </c>
      <c r="G34" s="17">
        <v>4.4000000000000004</v>
      </c>
      <c r="H34" s="2">
        <v>510</v>
      </c>
      <c r="I34" s="2">
        <v>359</v>
      </c>
      <c r="K34" s="2">
        <v>2029</v>
      </c>
      <c r="L34" s="2">
        <v>381</v>
      </c>
      <c r="M34" s="2">
        <v>342</v>
      </c>
      <c r="N34" s="2">
        <v>415</v>
      </c>
      <c r="O34" s="2">
        <v>250</v>
      </c>
      <c r="P34" s="2">
        <v>43</v>
      </c>
      <c r="R34" s="2">
        <v>160</v>
      </c>
      <c r="S34" s="2">
        <v>156</v>
      </c>
      <c r="T34" s="2">
        <v>897</v>
      </c>
      <c r="BC34" s="2" t="s">
        <v>1</v>
      </c>
    </row>
    <row r="35" spans="1:55" x14ac:dyDescent="0.2">
      <c r="A35" s="2">
        <v>11</v>
      </c>
      <c r="B35" s="2" t="s">
        <v>646</v>
      </c>
      <c r="C35" s="7">
        <f>DATE(87,7,26)</f>
        <v>31984</v>
      </c>
      <c r="D35" s="2">
        <v>1200</v>
      </c>
      <c r="G35" s="17">
        <v>10.199999999999999</v>
      </c>
      <c r="H35" s="2">
        <v>554</v>
      </c>
      <c r="I35" s="2">
        <v>351</v>
      </c>
      <c r="K35" s="2">
        <v>1713</v>
      </c>
      <c r="L35" s="2">
        <v>348</v>
      </c>
      <c r="M35" s="2">
        <v>340</v>
      </c>
      <c r="N35" s="2">
        <v>415</v>
      </c>
      <c r="O35" s="2">
        <v>251</v>
      </c>
      <c r="P35" s="2">
        <v>39</v>
      </c>
      <c r="R35" s="2">
        <v>159</v>
      </c>
      <c r="S35" s="2">
        <v>156</v>
      </c>
      <c r="T35" s="2">
        <v>923</v>
      </c>
      <c r="BC35" s="2" t="s">
        <v>1</v>
      </c>
    </row>
    <row r="36" spans="1:55" x14ac:dyDescent="0.2">
      <c r="A36" s="2">
        <v>12</v>
      </c>
      <c r="B36" s="2" t="s">
        <v>647</v>
      </c>
      <c r="C36" s="7">
        <f>DATE(87,7,26)</f>
        <v>31984</v>
      </c>
      <c r="D36" s="2">
        <v>1600</v>
      </c>
      <c r="G36" s="17">
        <v>19.7</v>
      </c>
      <c r="H36" s="2">
        <v>548</v>
      </c>
      <c r="I36" s="2">
        <v>345</v>
      </c>
      <c r="K36" s="2">
        <v>1783</v>
      </c>
      <c r="L36" s="2">
        <v>348</v>
      </c>
      <c r="M36" s="2">
        <v>341</v>
      </c>
      <c r="N36" s="2">
        <v>422</v>
      </c>
      <c r="O36" s="2">
        <v>254</v>
      </c>
      <c r="P36" s="2">
        <v>46</v>
      </c>
      <c r="R36" s="2">
        <v>158</v>
      </c>
      <c r="S36" s="2">
        <v>152</v>
      </c>
      <c r="T36" s="2">
        <v>883</v>
      </c>
      <c r="BC36" s="2" t="s">
        <v>1</v>
      </c>
    </row>
    <row r="37" spans="1:55" x14ac:dyDescent="0.2">
      <c r="A37" s="2">
        <v>13</v>
      </c>
      <c r="B37" s="2" t="s">
        <v>648</v>
      </c>
      <c r="C37" s="7">
        <f>DATE(87,7,27)</f>
        <v>31985</v>
      </c>
      <c r="D37" s="2">
        <v>800</v>
      </c>
      <c r="G37" s="17">
        <v>5.4</v>
      </c>
      <c r="H37" s="2">
        <v>480</v>
      </c>
      <c r="I37" s="2">
        <v>229</v>
      </c>
      <c r="K37" s="2">
        <v>2259</v>
      </c>
      <c r="L37" s="2">
        <v>408</v>
      </c>
      <c r="M37" s="2">
        <v>346</v>
      </c>
      <c r="N37" s="2">
        <v>415</v>
      </c>
      <c r="O37" s="2">
        <v>251</v>
      </c>
      <c r="P37" s="2">
        <v>50</v>
      </c>
      <c r="R37" s="2">
        <v>161</v>
      </c>
      <c r="S37" s="2">
        <v>156</v>
      </c>
      <c r="T37" s="2">
        <v>756</v>
      </c>
      <c r="BC37" s="2" t="s">
        <v>1</v>
      </c>
    </row>
    <row r="38" spans="1:55" x14ac:dyDescent="0.2">
      <c r="A38" s="2">
        <v>14</v>
      </c>
      <c r="B38" s="2" t="s">
        <v>649</v>
      </c>
      <c r="C38" s="7">
        <f>DATE(87,7,27)</f>
        <v>31985</v>
      </c>
      <c r="D38" s="2">
        <v>1200</v>
      </c>
      <c r="G38" s="17">
        <v>8.9</v>
      </c>
      <c r="H38" s="2">
        <v>523</v>
      </c>
      <c r="I38" s="2">
        <v>293</v>
      </c>
      <c r="K38" s="2">
        <v>1756</v>
      </c>
      <c r="L38" s="2">
        <v>356</v>
      </c>
      <c r="M38" s="2">
        <v>341</v>
      </c>
      <c r="N38" s="2">
        <v>414</v>
      </c>
      <c r="O38" s="2">
        <v>252</v>
      </c>
      <c r="P38" s="2">
        <v>56</v>
      </c>
      <c r="R38" s="2">
        <v>161</v>
      </c>
      <c r="S38" s="2">
        <v>155</v>
      </c>
      <c r="T38" s="2">
        <v>1019</v>
      </c>
      <c r="BC38" s="2" t="s">
        <v>1</v>
      </c>
    </row>
    <row r="39" spans="1:55" x14ac:dyDescent="0.2">
      <c r="A39" s="2">
        <v>15</v>
      </c>
      <c r="B39" s="2" t="s">
        <v>650</v>
      </c>
      <c r="C39" s="7">
        <f>DATE(87,7,27)</f>
        <v>31985</v>
      </c>
      <c r="D39" s="2">
        <v>1600</v>
      </c>
      <c r="G39" s="17">
        <v>7.9</v>
      </c>
      <c r="H39" s="2">
        <v>508</v>
      </c>
      <c r="I39" s="2">
        <v>200</v>
      </c>
      <c r="K39" s="2">
        <v>1706</v>
      </c>
      <c r="L39" s="2">
        <v>349</v>
      </c>
      <c r="M39" s="2">
        <v>342</v>
      </c>
      <c r="N39" s="2">
        <v>403</v>
      </c>
      <c r="O39" s="2">
        <v>251</v>
      </c>
      <c r="P39" s="2">
        <v>39</v>
      </c>
      <c r="R39" s="2">
        <v>160</v>
      </c>
      <c r="S39" s="2">
        <v>155</v>
      </c>
      <c r="T39" s="2">
        <v>798</v>
      </c>
      <c r="BC39" s="2" t="s">
        <v>1</v>
      </c>
    </row>
    <row r="40" spans="1:55" x14ac:dyDescent="0.2">
      <c r="BC40" s="2" t="s">
        <v>1</v>
      </c>
    </row>
    <row r="41" spans="1:55" x14ac:dyDescent="0.2">
      <c r="BC41" s="2" t="s">
        <v>1</v>
      </c>
    </row>
    <row r="42" spans="1:55" x14ac:dyDescent="0.2">
      <c r="G42" s="8" t="s">
        <v>116</v>
      </c>
      <c r="H42" s="8" t="s">
        <v>117</v>
      </c>
      <c r="I42" s="8" t="s">
        <v>118</v>
      </c>
      <c r="K42" s="8" t="s">
        <v>123</v>
      </c>
      <c r="L42" s="8" t="s">
        <v>134</v>
      </c>
      <c r="M42" s="8" t="s">
        <v>138</v>
      </c>
      <c r="N42" s="8" t="s">
        <v>136</v>
      </c>
      <c r="O42" s="8" t="s">
        <v>130</v>
      </c>
      <c r="P42" s="8" t="s">
        <v>133</v>
      </c>
      <c r="R42" s="8" t="s">
        <v>121</v>
      </c>
      <c r="S42" s="8" t="s">
        <v>112</v>
      </c>
      <c r="T42" s="8" t="s">
        <v>115</v>
      </c>
      <c r="U42" s="8" t="s">
        <v>126</v>
      </c>
      <c r="V42" s="8" t="s">
        <v>122</v>
      </c>
      <c r="W42" s="8" t="s">
        <v>113</v>
      </c>
      <c r="X42" s="8" t="s">
        <v>131</v>
      </c>
      <c r="Y42" s="8" t="s">
        <v>129</v>
      </c>
      <c r="Z42" s="8" t="s">
        <v>149</v>
      </c>
      <c r="AA42" s="8" t="s">
        <v>151</v>
      </c>
      <c r="BC42" s="2" t="s">
        <v>1</v>
      </c>
    </row>
    <row r="43" spans="1:55" x14ac:dyDescent="0.2">
      <c r="G43" s="8" t="s">
        <v>635</v>
      </c>
      <c r="H43" s="8" t="s">
        <v>266</v>
      </c>
      <c r="I43" s="8" t="s">
        <v>266</v>
      </c>
      <c r="K43" s="8" t="s">
        <v>266</v>
      </c>
      <c r="L43" s="8" t="s">
        <v>371</v>
      </c>
      <c r="M43" s="8" t="s">
        <v>266</v>
      </c>
      <c r="N43" s="8" t="s">
        <v>144</v>
      </c>
      <c r="O43" s="8" t="s">
        <v>144</v>
      </c>
      <c r="P43" s="8" t="s">
        <v>144</v>
      </c>
      <c r="R43" s="8" t="s">
        <v>144</v>
      </c>
      <c r="S43" s="8" t="s">
        <v>144</v>
      </c>
      <c r="T43" s="8" t="s">
        <v>144</v>
      </c>
      <c r="U43" s="8" t="s">
        <v>144</v>
      </c>
      <c r="V43" s="8" t="s">
        <v>144</v>
      </c>
      <c r="W43" s="8" t="s">
        <v>144</v>
      </c>
      <c r="X43" s="8" t="s">
        <v>144</v>
      </c>
      <c r="Y43" s="8" t="s">
        <v>144</v>
      </c>
      <c r="Z43" s="8" t="s">
        <v>144</v>
      </c>
      <c r="AA43" s="8" t="s">
        <v>144</v>
      </c>
      <c r="BC43" s="2" t="s">
        <v>1</v>
      </c>
    </row>
    <row r="44" spans="1:55" x14ac:dyDescent="0.2">
      <c r="B44" s="2" t="s">
        <v>363</v>
      </c>
      <c r="C44" s="7">
        <f>AVERAGE(C25:C39)</f>
        <v>31983</v>
      </c>
      <c r="D44" s="4"/>
      <c r="E44" s="4"/>
      <c r="F44" s="4"/>
      <c r="G44" s="4">
        <f>AVERAGE(G25:G39)</f>
        <v>9.1266666666666687</v>
      </c>
      <c r="H44" s="4">
        <f>AVERAGE(H25:H39)</f>
        <v>522.86666666666667</v>
      </c>
      <c r="I44" s="4">
        <f>AVERAGE(I25:I39)</f>
        <v>295.60000000000002</v>
      </c>
      <c r="K44" s="4">
        <f t="shared" ref="K44:P44" si="3">AVERAGE(K25:K39)</f>
        <v>1827.7333333333333</v>
      </c>
      <c r="L44" s="4">
        <f t="shared" si="3"/>
        <v>362.06666666666666</v>
      </c>
      <c r="M44" s="4">
        <f t="shared" si="3"/>
        <v>342.33333333333331</v>
      </c>
      <c r="N44" s="4">
        <f t="shared" si="3"/>
        <v>412.93333333333334</v>
      </c>
      <c r="O44" s="4">
        <f t="shared" si="3"/>
        <v>252</v>
      </c>
      <c r="P44" s="4">
        <f t="shared" si="3"/>
        <v>45</v>
      </c>
      <c r="R44" s="4">
        <f>AVERAGE(R25:R39)</f>
        <v>159.06666666666666</v>
      </c>
      <c r="S44" s="4">
        <f>AVERAGE(S25:S39)</f>
        <v>155.46666666666667</v>
      </c>
      <c r="T44" s="4">
        <f>AVERAGE(T25:T39)</f>
        <v>830.13333333333333</v>
      </c>
      <c r="BC44" s="2" t="s">
        <v>1</v>
      </c>
    </row>
    <row r="45" spans="1:55" x14ac:dyDescent="0.2">
      <c r="B45" s="2" t="s">
        <v>364</v>
      </c>
      <c r="C45" s="4"/>
      <c r="D45" s="4"/>
      <c r="E45" s="4"/>
      <c r="F45" s="4"/>
      <c r="G45" s="4">
        <f>STDEV(G25:G39)</f>
        <v>5.3785907164644966</v>
      </c>
      <c r="H45" s="4">
        <f>STDEV(H25:H39)</f>
        <v>28.132001773949955</v>
      </c>
      <c r="I45" s="4">
        <f>STDEV(I25:I39)</f>
        <v>62.901056089249117</v>
      </c>
      <c r="K45" s="4">
        <f t="shared" ref="K45:P45" si="4">STDEV(K25:K39)</f>
        <v>160.5132244959749</v>
      </c>
      <c r="L45" s="4">
        <f t="shared" si="4"/>
        <v>19.983802965211126</v>
      </c>
      <c r="M45" s="4">
        <f t="shared" si="4"/>
        <v>2.0236694629405507</v>
      </c>
      <c r="N45" s="4">
        <f t="shared" si="4"/>
        <v>5.00666222813829</v>
      </c>
      <c r="O45" s="4">
        <f t="shared" si="4"/>
        <v>1.8898223650461361</v>
      </c>
      <c r="P45" s="4">
        <f t="shared" si="4"/>
        <v>6.0118929750002321</v>
      </c>
      <c r="R45" s="4">
        <f>STDEV(R25:R39)</f>
        <v>1.4864467059144133</v>
      </c>
      <c r="S45" s="4">
        <f>STDEV(S25:S39)</f>
        <v>1.5522640914238173</v>
      </c>
      <c r="T45" s="4">
        <f>STDEV(T25:T39)</f>
        <v>83.501810644754173</v>
      </c>
      <c r="BC45" s="2" t="s">
        <v>1</v>
      </c>
    </row>
    <row r="46" spans="1:55" x14ac:dyDescent="0.2">
      <c r="B46" s="2" t="s">
        <v>365</v>
      </c>
      <c r="G46" s="2">
        <f>COUNTA(G25:G39)</f>
        <v>15</v>
      </c>
      <c r="H46" s="2">
        <f>COUNTA(H25:H39)</f>
        <v>15</v>
      </c>
      <c r="I46" s="2">
        <f>COUNTA(I25:I39)</f>
        <v>15</v>
      </c>
      <c r="K46" s="2">
        <f t="shared" ref="K46:P46" si="5">COUNTA(K25:K39)</f>
        <v>15</v>
      </c>
      <c r="L46" s="2">
        <f t="shared" si="5"/>
        <v>15</v>
      </c>
      <c r="M46" s="2">
        <f t="shared" si="5"/>
        <v>15</v>
      </c>
      <c r="N46" s="2">
        <f t="shared" si="5"/>
        <v>15</v>
      </c>
      <c r="O46" s="2">
        <f t="shared" si="5"/>
        <v>15</v>
      </c>
      <c r="P46" s="2">
        <f t="shared" si="5"/>
        <v>15</v>
      </c>
      <c r="R46" s="2">
        <f>COUNTA(R25:R39)</f>
        <v>15</v>
      </c>
      <c r="S46" s="2">
        <f>COUNTA(S25:S39)</f>
        <v>15</v>
      </c>
      <c r="T46" s="2">
        <f>COUNTA(T25:T39)</f>
        <v>15</v>
      </c>
      <c r="BC46" s="2" t="s">
        <v>1</v>
      </c>
    </row>
    <row r="47" spans="1:55" x14ac:dyDescent="0.2">
      <c r="BC47" s="2" t="s">
        <v>1</v>
      </c>
    </row>
    <row r="48" spans="1:55" x14ac:dyDescent="0.2">
      <c r="A48" s="2" t="s">
        <v>651</v>
      </c>
      <c r="G48" s="8" t="s">
        <v>116</v>
      </c>
      <c r="H48" s="8" t="s">
        <v>117</v>
      </c>
      <c r="I48" s="8" t="s">
        <v>118</v>
      </c>
      <c r="K48" s="8" t="s">
        <v>123</v>
      </c>
      <c r="L48" s="8" t="s">
        <v>134</v>
      </c>
      <c r="M48" s="8" t="s">
        <v>138</v>
      </c>
      <c r="N48" s="8" t="s">
        <v>136</v>
      </c>
      <c r="O48" s="8" t="s">
        <v>130</v>
      </c>
      <c r="P48" s="8" t="s">
        <v>133</v>
      </c>
      <c r="R48" s="8" t="s">
        <v>121</v>
      </c>
      <c r="S48" s="8" t="s">
        <v>112</v>
      </c>
      <c r="T48" s="8" t="s">
        <v>115</v>
      </c>
      <c r="U48" s="8" t="s">
        <v>126</v>
      </c>
      <c r="V48" s="8" t="s">
        <v>122</v>
      </c>
      <c r="W48" s="8" t="s">
        <v>113</v>
      </c>
      <c r="X48" s="8" t="s">
        <v>131</v>
      </c>
      <c r="Y48" s="8" t="s">
        <v>129</v>
      </c>
      <c r="Z48" s="8" t="s">
        <v>149</v>
      </c>
      <c r="AA48" s="8" t="s">
        <v>151</v>
      </c>
      <c r="BC48" s="2" t="s">
        <v>1</v>
      </c>
    </row>
    <row r="49" spans="1:55" x14ac:dyDescent="0.2">
      <c r="BC49" s="2" t="s">
        <v>1</v>
      </c>
    </row>
    <row r="50" spans="1:55" x14ac:dyDescent="0.2">
      <c r="A50" s="2">
        <v>16</v>
      </c>
      <c r="B50" s="2" t="s">
        <v>652</v>
      </c>
      <c r="C50" s="7">
        <f>DATE(87,7,21)</f>
        <v>31979</v>
      </c>
      <c r="D50" s="2">
        <v>1600</v>
      </c>
      <c r="G50" s="17">
        <v>5</v>
      </c>
      <c r="H50" s="2">
        <v>485</v>
      </c>
      <c r="I50" s="2">
        <v>215</v>
      </c>
      <c r="K50" s="2">
        <v>1808</v>
      </c>
      <c r="L50" s="2">
        <v>385</v>
      </c>
      <c r="M50" s="2">
        <v>341</v>
      </c>
      <c r="N50" s="2">
        <v>424</v>
      </c>
      <c r="O50" s="2">
        <v>249</v>
      </c>
      <c r="P50" s="2">
        <v>47</v>
      </c>
      <c r="R50" s="2">
        <v>163</v>
      </c>
      <c r="S50" s="2">
        <v>154</v>
      </c>
      <c r="T50" s="2">
        <v>784</v>
      </c>
      <c r="BC50" s="2" t="s">
        <v>1</v>
      </c>
    </row>
    <row r="51" spans="1:55" x14ac:dyDescent="0.2">
      <c r="A51" s="2">
        <v>17</v>
      </c>
      <c r="B51" s="2" t="s">
        <v>653</v>
      </c>
      <c r="C51" s="7">
        <f>DATE(87,7,22)</f>
        <v>31980</v>
      </c>
      <c r="D51" s="2">
        <v>900</v>
      </c>
      <c r="G51" s="17">
        <v>2.8</v>
      </c>
      <c r="H51" s="2">
        <v>444</v>
      </c>
      <c r="I51" s="2">
        <v>253</v>
      </c>
      <c r="K51" s="2">
        <v>1937</v>
      </c>
      <c r="L51" s="2">
        <v>386</v>
      </c>
      <c r="M51" s="2">
        <v>341</v>
      </c>
      <c r="N51" s="2">
        <v>421</v>
      </c>
      <c r="O51" s="2">
        <v>245</v>
      </c>
      <c r="P51" s="2">
        <v>43</v>
      </c>
      <c r="R51" s="2">
        <v>157</v>
      </c>
      <c r="S51" s="2">
        <v>153</v>
      </c>
      <c r="T51" s="2">
        <v>778</v>
      </c>
      <c r="BC51" s="2" t="s">
        <v>1</v>
      </c>
    </row>
    <row r="52" spans="1:55" x14ac:dyDescent="0.2">
      <c r="A52" s="2">
        <v>18</v>
      </c>
      <c r="B52" s="2" t="s">
        <v>654</v>
      </c>
      <c r="C52" s="7">
        <f>DATE(87,7,22)</f>
        <v>31980</v>
      </c>
      <c r="D52" s="2">
        <v>1250</v>
      </c>
      <c r="G52" s="17">
        <v>6.4</v>
      </c>
      <c r="H52" s="2">
        <v>531</v>
      </c>
      <c r="I52" s="2">
        <v>196</v>
      </c>
      <c r="K52" s="2">
        <v>1648</v>
      </c>
      <c r="L52" s="2">
        <v>364</v>
      </c>
      <c r="M52" s="2">
        <v>340</v>
      </c>
      <c r="N52" s="2">
        <v>416</v>
      </c>
      <c r="O52" s="2">
        <v>250</v>
      </c>
      <c r="P52" s="2">
        <v>37</v>
      </c>
      <c r="R52" s="2">
        <v>159</v>
      </c>
      <c r="S52" s="2">
        <v>154</v>
      </c>
      <c r="T52" s="2">
        <v>710</v>
      </c>
      <c r="BC52" s="2" t="s">
        <v>1</v>
      </c>
    </row>
    <row r="53" spans="1:55" x14ac:dyDescent="0.2">
      <c r="A53" s="2">
        <v>19</v>
      </c>
      <c r="B53" s="2" t="s">
        <v>655</v>
      </c>
      <c r="C53" s="7">
        <f>DATE(87,7,29)</f>
        <v>31987</v>
      </c>
      <c r="D53" s="2">
        <v>1059</v>
      </c>
      <c r="G53" s="17">
        <v>6.4</v>
      </c>
      <c r="H53" s="2">
        <v>597</v>
      </c>
      <c r="I53" s="2">
        <v>403</v>
      </c>
      <c r="K53" s="2">
        <v>1669</v>
      </c>
      <c r="L53" s="2">
        <v>359</v>
      </c>
      <c r="M53" s="2">
        <v>340</v>
      </c>
      <c r="N53" s="2">
        <v>414</v>
      </c>
      <c r="O53" s="2">
        <v>247</v>
      </c>
      <c r="P53" s="2">
        <v>39</v>
      </c>
      <c r="R53" s="2">
        <v>160</v>
      </c>
      <c r="S53" s="2">
        <v>155</v>
      </c>
      <c r="T53" s="2">
        <v>836</v>
      </c>
      <c r="BC53" s="2" t="s">
        <v>1</v>
      </c>
    </row>
    <row r="54" spans="1:55" x14ac:dyDescent="0.2">
      <c r="A54" s="2">
        <v>20</v>
      </c>
      <c r="B54" s="2" t="s">
        <v>656</v>
      </c>
      <c r="C54" s="7">
        <f>DATE(87,7,31)</f>
        <v>31989</v>
      </c>
      <c r="D54" s="2">
        <v>1040</v>
      </c>
      <c r="G54" s="17">
        <v>3.4</v>
      </c>
      <c r="H54" s="2">
        <v>504</v>
      </c>
      <c r="I54" s="2">
        <v>90</v>
      </c>
      <c r="K54" s="2">
        <v>1672</v>
      </c>
      <c r="L54" s="2">
        <v>365</v>
      </c>
      <c r="M54" s="2">
        <v>340</v>
      </c>
      <c r="N54" s="2">
        <v>398</v>
      </c>
      <c r="O54" s="2">
        <v>245</v>
      </c>
      <c r="P54" s="2">
        <v>38</v>
      </c>
      <c r="R54" s="2">
        <v>157</v>
      </c>
      <c r="S54" s="2">
        <v>155</v>
      </c>
      <c r="T54" s="2">
        <v>726</v>
      </c>
      <c r="BC54" s="2" t="s">
        <v>1</v>
      </c>
    </row>
    <row r="55" spans="1:55" x14ac:dyDescent="0.2">
      <c r="A55" s="2">
        <v>21</v>
      </c>
      <c r="B55" s="2" t="s">
        <v>657</v>
      </c>
      <c r="C55" s="7">
        <f>DATE(87,8,5)</f>
        <v>31994</v>
      </c>
      <c r="D55" s="2">
        <v>1055</v>
      </c>
      <c r="G55" s="17">
        <v>0.5</v>
      </c>
      <c r="H55" s="2">
        <v>492</v>
      </c>
      <c r="I55" s="2">
        <v>154</v>
      </c>
      <c r="K55" s="2">
        <v>1692</v>
      </c>
      <c r="L55" s="2">
        <v>367</v>
      </c>
      <c r="M55" s="2">
        <v>340</v>
      </c>
      <c r="N55" s="2">
        <v>407</v>
      </c>
      <c r="O55" s="2">
        <v>244</v>
      </c>
      <c r="P55" s="2">
        <v>35</v>
      </c>
      <c r="R55" s="2">
        <v>156</v>
      </c>
      <c r="S55" s="2">
        <v>152</v>
      </c>
      <c r="T55" s="2">
        <v>798</v>
      </c>
      <c r="BC55" s="2" t="s">
        <v>1</v>
      </c>
    </row>
    <row r="56" spans="1:55" x14ac:dyDescent="0.2">
      <c r="A56" s="2">
        <v>22</v>
      </c>
      <c r="B56" s="2" t="s">
        <v>658</v>
      </c>
      <c r="C56" s="7">
        <f>DATE(87,8,14)</f>
        <v>32003</v>
      </c>
      <c r="D56" s="2">
        <v>1049</v>
      </c>
      <c r="G56" s="17">
        <v>4.2</v>
      </c>
      <c r="H56" s="2">
        <v>537</v>
      </c>
      <c r="I56" s="2">
        <v>416</v>
      </c>
      <c r="K56" s="2">
        <v>1670</v>
      </c>
      <c r="L56" s="2">
        <v>369</v>
      </c>
      <c r="M56" s="2">
        <v>340</v>
      </c>
      <c r="N56" s="2">
        <v>409</v>
      </c>
      <c r="O56" s="2">
        <v>247</v>
      </c>
      <c r="P56" s="2">
        <v>39</v>
      </c>
      <c r="R56" s="2">
        <v>160</v>
      </c>
      <c r="S56" s="2">
        <v>152</v>
      </c>
      <c r="T56" s="2">
        <v>854</v>
      </c>
      <c r="BC56" s="2" t="s">
        <v>1</v>
      </c>
    </row>
    <row r="57" spans="1:55" x14ac:dyDescent="0.2">
      <c r="A57" s="2">
        <v>23</v>
      </c>
      <c r="B57" s="2" t="s">
        <v>659</v>
      </c>
      <c r="C57" s="7">
        <f>DATE(87,8,14)</f>
        <v>32003</v>
      </c>
      <c r="D57" s="2">
        <v>1050</v>
      </c>
      <c r="G57" s="17">
        <v>6.4</v>
      </c>
      <c r="H57" s="2">
        <v>610</v>
      </c>
      <c r="I57" s="2">
        <v>541</v>
      </c>
      <c r="K57" s="2">
        <v>1695</v>
      </c>
      <c r="L57" s="2">
        <v>363</v>
      </c>
      <c r="M57" s="2">
        <v>341</v>
      </c>
      <c r="N57" s="2">
        <v>408</v>
      </c>
      <c r="O57" s="2">
        <v>247</v>
      </c>
      <c r="P57" s="2">
        <v>40</v>
      </c>
      <c r="R57" s="2">
        <v>158</v>
      </c>
      <c r="S57" s="2">
        <v>153</v>
      </c>
      <c r="T57" s="2">
        <v>962</v>
      </c>
      <c r="BC57" s="2" t="s">
        <v>1</v>
      </c>
    </row>
    <row r="58" spans="1:55" x14ac:dyDescent="0.2">
      <c r="C58" s="7"/>
      <c r="G58" s="17"/>
      <c r="BC58" s="2" t="s">
        <v>1</v>
      </c>
    </row>
    <row r="59" spans="1:55" x14ac:dyDescent="0.2">
      <c r="C59" s="7"/>
      <c r="G59" s="17"/>
      <c r="BC59" s="2" t="s">
        <v>1</v>
      </c>
    </row>
    <row r="60" spans="1:55" x14ac:dyDescent="0.2">
      <c r="C60" s="7"/>
      <c r="G60" s="8" t="s">
        <v>116</v>
      </c>
      <c r="H60" s="8" t="s">
        <v>117</v>
      </c>
      <c r="I60" s="8" t="s">
        <v>118</v>
      </c>
      <c r="K60" s="8" t="s">
        <v>123</v>
      </c>
      <c r="L60" s="8" t="s">
        <v>134</v>
      </c>
      <c r="M60" s="8" t="s">
        <v>138</v>
      </c>
      <c r="N60" s="8" t="s">
        <v>136</v>
      </c>
      <c r="O60" s="8" t="s">
        <v>130</v>
      </c>
      <c r="P60" s="8" t="s">
        <v>133</v>
      </c>
      <c r="R60" s="8" t="s">
        <v>121</v>
      </c>
      <c r="S60" s="8" t="s">
        <v>112</v>
      </c>
      <c r="T60" s="8" t="s">
        <v>115</v>
      </c>
      <c r="U60" s="8" t="s">
        <v>126</v>
      </c>
      <c r="V60" s="8" t="s">
        <v>122</v>
      </c>
      <c r="W60" s="8" t="s">
        <v>113</v>
      </c>
      <c r="X60" s="8" t="s">
        <v>131</v>
      </c>
      <c r="Y60" s="8" t="s">
        <v>129</v>
      </c>
      <c r="Z60" s="8" t="s">
        <v>149</v>
      </c>
      <c r="AA60" s="8" t="s">
        <v>151</v>
      </c>
      <c r="BC60" s="2" t="s">
        <v>1</v>
      </c>
    </row>
    <row r="61" spans="1:55" x14ac:dyDescent="0.2">
      <c r="C61" s="7"/>
      <c r="G61" s="8" t="s">
        <v>635</v>
      </c>
      <c r="H61" s="8" t="s">
        <v>266</v>
      </c>
      <c r="I61" s="8" t="s">
        <v>266</v>
      </c>
      <c r="K61" s="8" t="s">
        <v>266</v>
      </c>
      <c r="L61" s="8" t="s">
        <v>371</v>
      </c>
      <c r="M61" s="8" t="s">
        <v>266</v>
      </c>
      <c r="N61" s="8" t="s">
        <v>144</v>
      </c>
      <c r="O61" s="8" t="s">
        <v>144</v>
      </c>
      <c r="P61" s="8" t="s">
        <v>144</v>
      </c>
      <c r="R61" s="8" t="s">
        <v>144</v>
      </c>
      <c r="S61" s="8" t="s">
        <v>144</v>
      </c>
      <c r="T61" s="8" t="s">
        <v>144</v>
      </c>
      <c r="U61" s="8" t="s">
        <v>144</v>
      </c>
      <c r="V61" s="8" t="s">
        <v>144</v>
      </c>
      <c r="W61" s="8" t="s">
        <v>144</v>
      </c>
      <c r="X61" s="8" t="s">
        <v>144</v>
      </c>
      <c r="Y61" s="8" t="s">
        <v>144</v>
      </c>
      <c r="Z61" s="8" t="s">
        <v>144</v>
      </c>
      <c r="AA61" s="8" t="s">
        <v>144</v>
      </c>
      <c r="BC61" s="2" t="s">
        <v>1</v>
      </c>
    </row>
    <row r="62" spans="1:55" x14ac:dyDescent="0.2">
      <c r="B62" s="2" t="s">
        <v>363</v>
      </c>
      <c r="C62" s="7">
        <f>AVERAGE(C50:C57)</f>
        <v>31989.375</v>
      </c>
      <c r="D62" s="4">
        <f>AVERAGE(D50:D57)</f>
        <v>1125.375</v>
      </c>
      <c r="E62" s="4"/>
      <c r="F62" s="4"/>
      <c r="G62" s="4">
        <f>AVERAGE(G50:G57)</f>
        <v>4.3875000000000002</v>
      </c>
      <c r="H62" s="4">
        <f>AVERAGE(H50:H57)</f>
        <v>525</v>
      </c>
      <c r="I62" s="4">
        <f>AVERAGE(I50:I57)</f>
        <v>283.5</v>
      </c>
      <c r="K62" s="4">
        <f t="shared" ref="K62:P62" si="6">AVERAGE(K50:K57)</f>
        <v>1723.875</v>
      </c>
      <c r="L62" s="4">
        <f t="shared" si="6"/>
        <v>369.75</v>
      </c>
      <c r="M62" s="4">
        <f t="shared" si="6"/>
        <v>340.375</v>
      </c>
      <c r="N62" s="4">
        <f t="shared" si="6"/>
        <v>412.125</v>
      </c>
      <c r="O62" s="4">
        <f t="shared" si="6"/>
        <v>246.75</v>
      </c>
      <c r="P62" s="4">
        <f t="shared" si="6"/>
        <v>39.75</v>
      </c>
      <c r="R62" s="4">
        <f>AVERAGE(R50:R57)</f>
        <v>158.75</v>
      </c>
      <c r="S62" s="4">
        <f>AVERAGE(S50:S57)</f>
        <v>153.5</v>
      </c>
      <c r="T62" s="4">
        <f>AVERAGE(T50:T57)</f>
        <v>806</v>
      </c>
      <c r="BC62" s="2" t="s">
        <v>1</v>
      </c>
    </row>
    <row r="63" spans="1:55" x14ac:dyDescent="0.2">
      <c r="B63" s="2" t="s">
        <v>364</v>
      </c>
      <c r="C63" s="4"/>
      <c r="D63" s="4">
        <f>STDEV(D50:D57)</f>
        <v>213.72742153099054</v>
      </c>
      <c r="E63" s="4"/>
      <c r="F63" s="4"/>
      <c r="G63" s="4">
        <f>STDEV(G50:G57)</f>
        <v>2.1101370977802789</v>
      </c>
      <c r="H63" s="4">
        <f>STDEV(H50:H57)</f>
        <v>56.416816135414294</v>
      </c>
      <c r="I63" s="4">
        <f>STDEV(I50:I57)</f>
        <v>153.82457540978294</v>
      </c>
      <c r="K63" s="4">
        <f t="shared" ref="K63:P63" si="7">STDEV(K50:K57)</f>
        <v>99.074917540789741</v>
      </c>
      <c r="L63" s="4">
        <f t="shared" si="7"/>
        <v>10.152409988344077</v>
      </c>
      <c r="M63" s="4">
        <f t="shared" si="7"/>
        <v>0.51754916950676566</v>
      </c>
      <c r="N63" s="4">
        <f t="shared" si="7"/>
        <v>8.3740671122221126</v>
      </c>
      <c r="O63" s="4">
        <f t="shared" si="7"/>
        <v>2.0528725518857018</v>
      </c>
      <c r="P63" s="4">
        <f t="shared" si="7"/>
        <v>3.7321001364608946</v>
      </c>
      <c r="R63" s="4">
        <f>STDEV(R50:R57)</f>
        <v>2.2519832529192065</v>
      </c>
      <c r="S63" s="4">
        <f>STDEV(S50:S57)</f>
        <v>1.1952286093343936</v>
      </c>
      <c r="T63" s="4">
        <f>STDEV(T50:T57)</f>
        <v>79.720941862402583</v>
      </c>
      <c r="BC63" s="2" t="s">
        <v>1</v>
      </c>
    </row>
    <row r="64" spans="1:55" x14ac:dyDescent="0.2">
      <c r="B64" s="2" t="s">
        <v>365</v>
      </c>
      <c r="D64" s="2">
        <f>COUNTA(D50:D57)</f>
        <v>8</v>
      </c>
      <c r="G64" s="2">
        <f>COUNTA(G50:G57)</f>
        <v>8</v>
      </c>
      <c r="H64" s="2">
        <f>COUNTA(H50:H57)</f>
        <v>8</v>
      </c>
      <c r="I64" s="2">
        <f>COUNTA(I50:I57)</f>
        <v>8</v>
      </c>
      <c r="K64" s="2">
        <f t="shared" ref="K64:P64" si="8">COUNTA(K50:K57)</f>
        <v>8</v>
      </c>
      <c r="L64" s="2">
        <f t="shared" si="8"/>
        <v>8</v>
      </c>
      <c r="M64" s="2">
        <f t="shared" si="8"/>
        <v>8</v>
      </c>
      <c r="N64" s="2">
        <f t="shared" si="8"/>
        <v>8</v>
      </c>
      <c r="O64" s="2">
        <f t="shared" si="8"/>
        <v>8</v>
      </c>
      <c r="P64" s="2">
        <f t="shared" si="8"/>
        <v>8</v>
      </c>
      <c r="R64" s="2">
        <f>COUNTA(R50:R57)</f>
        <v>8</v>
      </c>
      <c r="S64" s="2">
        <f>COUNTA(S50:S57)</f>
        <v>8</v>
      </c>
      <c r="T64" s="2">
        <f>COUNTA(T50:T57)</f>
        <v>8</v>
      </c>
      <c r="BC64" s="2" t="s">
        <v>1</v>
      </c>
    </row>
    <row r="65" spans="1:55" x14ac:dyDescent="0.2">
      <c r="C65" s="7"/>
      <c r="G65" s="17"/>
      <c r="BC65" s="2" t="s">
        <v>1</v>
      </c>
    </row>
    <row r="66" spans="1:55" x14ac:dyDescent="0.2">
      <c r="C66" s="7"/>
      <c r="G66" s="17"/>
      <c r="BC66" s="2" t="s">
        <v>1</v>
      </c>
    </row>
    <row r="67" spans="1:55" x14ac:dyDescent="0.2">
      <c r="A67" s="2" t="s">
        <v>660</v>
      </c>
      <c r="BC67" s="2" t="s">
        <v>1</v>
      </c>
    </row>
    <row r="68" spans="1:55" x14ac:dyDescent="0.2">
      <c r="A68" s="2" t="s">
        <v>661</v>
      </c>
      <c r="BC68" s="2" t="s">
        <v>1</v>
      </c>
    </row>
    <row r="69" spans="1:55" x14ac:dyDescent="0.2">
      <c r="A69" s="2" t="s">
        <v>662</v>
      </c>
      <c r="B69" s="15" t="s">
        <v>285</v>
      </c>
      <c r="C69" s="15" t="s">
        <v>253</v>
      </c>
      <c r="D69" s="8" t="s">
        <v>286</v>
      </c>
      <c r="G69" s="8" t="s">
        <v>116</v>
      </c>
      <c r="H69" s="8" t="s">
        <v>117</v>
      </c>
      <c r="I69" s="8" t="s">
        <v>118</v>
      </c>
      <c r="J69" s="8" t="s">
        <v>118</v>
      </c>
      <c r="K69" s="8" t="s">
        <v>123</v>
      </c>
      <c r="L69" s="8" t="s">
        <v>134</v>
      </c>
      <c r="M69" s="8" t="s">
        <v>138</v>
      </c>
      <c r="N69" s="8" t="s">
        <v>136</v>
      </c>
      <c r="O69" s="8" t="s">
        <v>130</v>
      </c>
      <c r="P69" s="8" t="s">
        <v>133</v>
      </c>
      <c r="Q69" s="8" t="s">
        <v>127</v>
      </c>
      <c r="R69" s="8" t="s">
        <v>121</v>
      </c>
      <c r="S69" s="8" t="s">
        <v>112</v>
      </c>
      <c r="T69" s="8" t="s">
        <v>115</v>
      </c>
      <c r="BC69" s="2" t="s">
        <v>1</v>
      </c>
    </row>
    <row r="70" spans="1:55" x14ac:dyDescent="0.2">
      <c r="A70" s="2" t="s">
        <v>289</v>
      </c>
      <c r="B70" s="15" t="s">
        <v>367</v>
      </c>
      <c r="G70" s="8" t="s">
        <v>635</v>
      </c>
      <c r="H70" s="8" t="s">
        <v>266</v>
      </c>
      <c r="I70" s="8" t="s">
        <v>266</v>
      </c>
      <c r="J70" s="8" t="s">
        <v>266</v>
      </c>
      <c r="K70" s="8" t="s">
        <v>266</v>
      </c>
      <c r="L70" s="8" t="s">
        <v>371</v>
      </c>
      <c r="M70" s="8" t="s">
        <v>266</v>
      </c>
      <c r="N70" s="8" t="s">
        <v>144</v>
      </c>
      <c r="O70" s="8" t="s">
        <v>144</v>
      </c>
      <c r="P70" s="8" t="s">
        <v>144</v>
      </c>
      <c r="Q70" s="8" t="s">
        <v>144</v>
      </c>
      <c r="R70" s="8" t="s">
        <v>144</v>
      </c>
      <c r="S70" s="8" t="s">
        <v>144</v>
      </c>
      <c r="T70" s="8" t="s">
        <v>144</v>
      </c>
      <c r="BC70" s="2" t="s">
        <v>1</v>
      </c>
    </row>
    <row r="71" spans="1:55" x14ac:dyDescent="0.2">
      <c r="BC71" s="2" t="s">
        <v>1</v>
      </c>
    </row>
    <row r="72" spans="1:55" x14ac:dyDescent="0.2">
      <c r="A72" s="2">
        <v>1</v>
      </c>
      <c r="B72" s="2" t="s">
        <v>663</v>
      </c>
      <c r="C72" s="7">
        <f>DATE(88,3,20)</f>
        <v>32222</v>
      </c>
      <c r="D72" s="8" t="s">
        <v>664</v>
      </c>
      <c r="G72" s="2">
        <v>6.7</v>
      </c>
      <c r="H72" s="2">
        <v>512</v>
      </c>
      <c r="I72" s="2">
        <v>135</v>
      </c>
      <c r="J72" s="2">
        <v>152</v>
      </c>
      <c r="K72" s="2">
        <v>2243</v>
      </c>
      <c r="L72" s="2">
        <v>374</v>
      </c>
      <c r="M72" s="2">
        <v>342</v>
      </c>
      <c r="N72" s="2">
        <v>429</v>
      </c>
      <c r="O72" s="2">
        <v>267</v>
      </c>
      <c r="P72" s="2">
        <v>45</v>
      </c>
      <c r="R72" s="2">
        <v>173</v>
      </c>
      <c r="S72" s="2">
        <v>157</v>
      </c>
      <c r="T72" s="2">
        <v>830</v>
      </c>
      <c r="BC72" s="2" t="s">
        <v>1</v>
      </c>
    </row>
    <row r="73" spans="1:55" x14ac:dyDescent="0.2">
      <c r="A73" s="2">
        <v>2</v>
      </c>
      <c r="B73" s="2" t="s">
        <v>665</v>
      </c>
      <c r="C73" s="7">
        <f>DATE(88,3,20)</f>
        <v>32222</v>
      </c>
      <c r="D73" s="2">
        <v>1200</v>
      </c>
      <c r="G73" s="2">
        <v>12.5</v>
      </c>
      <c r="H73" s="2">
        <v>500</v>
      </c>
      <c r="I73" s="2">
        <v>151</v>
      </c>
      <c r="J73" s="2">
        <v>179</v>
      </c>
      <c r="K73" s="2">
        <v>1913</v>
      </c>
      <c r="L73" s="2">
        <v>356</v>
      </c>
      <c r="M73" s="2">
        <v>344</v>
      </c>
      <c r="N73" s="2">
        <v>440</v>
      </c>
      <c r="O73" s="2">
        <v>262</v>
      </c>
      <c r="P73" s="2">
        <v>51</v>
      </c>
      <c r="R73" s="2">
        <v>173</v>
      </c>
      <c r="S73" s="2">
        <v>158</v>
      </c>
      <c r="T73" s="2">
        <v>768</v>
      </c>
      <c r="BC73" s="2" t="s">
        <v>1</v>
      </c>
    </row>
    <row r="74" spans="1:55" x14ac:dyDescent="0.2">
      <c r="A74" s="2">
        <v>3</v>
      </c>
      <c r="B74" s="2" t="s">
        <v>666</v>
      </c>
      <c r="C74" s="7">
        <f>DATE(88,3,20)</f>
        <v>32222</v>
      </c>
      <c r="G74" s="2">
        <v>12.5</v>
      </c>
      <c r="H74" s="2">
        <v>485</v>
      </c>
      <c r="I74" s="2">
        <v>118</v>
      </c>
      <c r="J74" s="2">
        <v>139</v>
      </c>
      <c r="K74" s="2">
        <v>1876</v>
      </c>
      <c r="L74" s="2">
        <v>345</v>
      </c>
      <c r="M74" s="2">
        <v>343</v>
      </c>
      <c r="N74" s="2">
        <v>431</v>
      </c>
      <c r="O74" s="2">
        <v>261</v>
      </c>
      <c r="P74" s="2">
        <v>46</v>
      </c>
      <c r="R74" s="2">
        <v>174</v>
      </c>
      <c r="S74" s="2">
        <v>158</v>
      </c>
      <c r="T74" s="2">
        <v>703</v>
      </c>
      <c r="BC74" s="2" t="s">
        <v>1</v>
      </c>
    </row>
    <row r="75" spans="1:55" x14ac:dyDescent="0.2">
      <c r="A75" s="2">
        <v>4</v>
      </c>
      <c r="B75" s="2" t="s">
        <v>667</v>
      </c>
      <c r="C75" s="7">
        <f>DATE(88,3,21)</f>
        <v>32223</v>
      </c>
      <c r="D75" s="8" t="s">
        <v>664</v>
      </c>
      <c r="G75" s="17">
        <v>9</v>
      </c>
      <c r="H75" s="2">
        <v>471</v>
      </c>
      <c r="I75" s="2">
        <v>119</v>
      </c>
      <c r="J75" s="2">
        <v>124</v>
      </c>
      <c r="K75" s="2">
        <v>1916</v>
      </c>
      <c r="L75" s="2">
        <v>376</v>
      </c>
      <c r="M75" s="2">
        <v>347</v>
      </c>
      <c r="N75" s="2">
        <v>428</v>
      </c>
      <c r="O75" s="2">
        <v>262</v>
      </c>
      <c r="P75" s="2">
        <v>48</v>
      </c>
      <c r="R75" s="2">
        <v>176</v>
      </c>
      <c r="S75" s="2">
        <v>158</v>
      </c>
      <c r="T75" s="2">
        <v>663</v>
      </c>
      <c r="BC75" s="2" t="s">
        <v>1</v>
      </c>
    </row>
    <row r="76" spans="1:55" x14ac:dyDescent="0.2">
      <c r="A76" s="2">
        <v>5</v>
      </c>
      <c r="B76" s="2" t="s">
        <v>668</v>
      </c>
      <c r="C76" s="7">
        <f>DATE(88,3,21)</f>
        <v>32223</v>
      </c>
      <c r="D76" s="2">
        <v>1200</v>
      </c>
      <c r="G76" s="17">
        <v>5.9</v>
      </c>
      <c r="H76" s="2">
        <v>470</v>
      </c>
      <c r="I76" s="2">
        <v>119</v>
      </c>
      <c r="J76" s="2">
        <v>130</v>
      </c>
      <c r="K76" s="2">
        <v>1875</v>
      </c>
      <c r="L76" s="2">
        <v>359</v>
      </c>
      <c r="M76" s="2">
        <v>343</v>
      </c>
      <c r="N76" s="2">
        <v>426</v>
      </c>
      <c r="O76" s="2">
        <v>262</v>
      </c>
      <c r="P76" s="2">
        <v>52</v>
      </c>
      <c r="R76" s="2">
        <v>177</v>
      </c>
      <c r="S76" s="2">
        <v>159</v>
      </c>
      <c r="T76" s="2">
        <v>779</v>
      </c>
      <c r="BC76" s="2" t="s">
        <v>1</v>
      </c>
    </row>
    <row r="77" spans="1:55" x14ac:dyDescent="0.2">
      <c r="A77" s="2">
        <v>6</v>
      </c>
      <c r="B77" s="2" t="s">
        <v>669</v>
      </c>
      <c r="C77" s="7">
        <f>DATE(88,3,21)</f>
        <v>32223</v>
      </c>
      <c r="D77" s="2">
        <v>1600</v>
      </c>
      <c r="G77" s="17">
        <v>3.8</v>
      </c>
      <c r="H77" s="2">
        <v>548</v>
      </c>
      <c r="I77" s="2">
        <v>124</v>
      </c>
      <c r="J77" s="2">
        <v>162</v>
      </c>
      <c r="K77" s="2">
        <v>1806</v>
      </c>
      <c r="L77" s="2">
        <v>355</v>
      </c>
      <c r="M77" s="2">
        <v>345</v>
      </c>
      <c r="N77" s="2">
        <v>422</v>
      </c>
      <c r="O77" s="2">
        <v>261</v>
      </c>
      <c r="P77" s="2">
        <v>43</v>
      </c>
      <c r="Q77" s="2">
        <v>17</v>
      </c>
      <c r="R77" s="2">
        <v>173</v>
      </c>
      <c r="S77" s="2">
        <v>158</v>
      </c>
      <c r="T77" s="2">
        <v>717</v>
      </c>
      <c r="BC77" s="2" t="s">
        <v>1</v>
      </c>
    </row>
    <row r="78" spans="1:55" x14ac:dyDescent="0.2">
      <c r="A78" s="2">
        <v>7</v>
      </c>
      <c r="B78" s="2" t="s">
        <v>670</v>
      </c>
      <c r="C78" s="7">
        <f>DATE(88,3,22)</f>
        <v>32224</v>
      </c>
      <c r="D78" s="8" t="s">
        <v>664</v>
      </c>
      <c r="G78" s="17">
        <v>5.8</v>
      </c>
      <c r="H78" s="2">
        <v>502</v>
      </c>
      <c r="I78" s="2">
        <v>117</v>
      </c>
      <c r="J78" s="2">
        <v>124</v>
      </c>
      <c r="K78" s="2">
        <v>1880</v>
      </c>
      <c r="L78" s="2">
        <v>360</v>
      </c>
      <c r="M78" s="2">
        <v>342</v>
      </c>
      <c r="N78" s="2">
        <v>429</v>
      </c>
      <c r="O78" s="2">
        <v>260</v>
      </c>
      <c r="P78" s="2">
        <v>45</v>
      </c>
      <c r="R78" s="2">
        <v>176</v>
      </c>
      <c r="S78" s="2">
        <v>159</v>
      </c>
      <c r="T78" s="2">
        <v>699</v>
      </c>
      <c r="BC78" s="2" t="s">
        <v>1</v>
      </c>
    </row>
    <row r="79" spans="1:55" x14ac:dyDescent="0.2">
      <c r="A79" s="2">
        <v>8</v>
      </c>
      <c r="B79" s="2" t="s">
        <v>671</v>
      </c>
      <c r="C79" s="7">
        <f>DATE(88,3,22)</f>
        <v>32224</v>
      </c>
      <c r="D79" s="2">
        <v>1200</v>
      </c>
      <c r="G79" s="17">
        <v>10.5</v>
      </c>
      <c r="H79" s="2">
        <v>512</v>
      </c>
      <c r="I79" s="2">
        <v>136</v>
      </c>
      <c r="J79" s="2">
        <v>143</v>
      </c>
      <c r="K79" s="2">
        <v>1883</v>
      </c>
      <c r="L79" s="2">
        <v>347</v>
      </c>
      <c r="M79" s="2">
        <v>344</v>
      </c>
      <c r="N79" s="2">
        <v>436</v>
      </c>
      <c r="O79" s="2">
        <v>261</v>
      </c>
      <c r="P79" s="2">
        <v>72</v>
      </c>
      <c r="R79" s="2">
        <v>190</v>
      </c>
      <c r="S79" s="2">
        <v>159</v>
      </c>
      <c r="T79" s="2">
        <v>701</v>
      </c>
      <c r="BC79" s="2" t="s">
        <v>1</v>
      </c>
    </row>
    <row r="80" spans="1:55" x14ac:dyDescent="0.2">
      <c r="A80" s="2">
        <v>9</v>
      </c>
      <c r="B80" s="2" t="s">
        <v>672</v>
      </c>
      <c r="C80" s="7">
        <f>DATE(88,3,22)</f>
        <v>32224</v>
      </c>
      <c r="D80" s="2">
        <v>1600</v>
      </c>
      <c r="G80" s="17">
        <v>17.2</v>
      </c>
      <c r="H80" s="2">
        <v>513</v>
      </c>
      <c r="I80" s="2">
        <v>134</v>
      </c>
      <c r="J80" s="2">
        <v>144</v>
      </c>
      <c r="K80" s="2">
        <v>1889</v>
      </c>
      <c r="L80" s="2">
        <v>346</v>
      </c>
      <c r="M80" s="2">
        <v>343</v>
      </c>
      <c r="N80" s="2">
        <v>426</v>
      </c>
      <c r="O80" s="2">
        <v>262</v>
      </c>
      <c r="P80" s="2">
        <v>56</v>
      </c>
      <c r="R80" s="2">
        <v>176</v>
      </c>
      <c r="S80" s="2">
        <v>158</v>
      </c>
      <c r="T80" s="2">
        <v>791</v>
      </c>
      <c r="BC80" s="2" t="s">
        <v>1</v>
      </c>
    </row>
    <row r="81" spans="1:55" x14ac:dyDescent="0.2">
      <c r="A81" s="2">
        <v>10</v>
      </c>
      <c r="B81" s="2" t="s">
        <v>673</v>
      </c>
      <c r="C81" s="7">
        <f>DATE(88,3,23)</f>
        <v>32225</v>
      </c>
      <c r="D81" s="8" t="s">
        <v>664</v>
      </c>
      <c r="G81" s="17">
        <v>5.3</v>
      </c>
      <c r="H81" s="2">
        <v>530</v>
      </c>
      <c r="I81" s="2">
        <v>114</v>
      </c>
      <c r="J81" s="4">
        <v>120.4</v>
      </c>
      <c r="K81" s="4">
        <v>1936</v>
      </c>
      <c r="L81" s="4">
        <v>359.3</v>
      </c>
      <c r="M81" s="2">
        <v>341</v>
      </c>
      <c r="N81" s="2">
        <v>435</v>
      </c>
      <c r="O81" s="2">
        <v>261</v>
      </c>
      <c r="P81" s="2">
        <v>59</v>
      </c>
      <c r="R81" s="2">
        <v>174</v>
      </c>
      <c r="S81" s="2">
        <v>159</v>
      </c>
      <c r="T81" s="2">
        <v>727</v>
      </c>
      <c r="BC81" s="2" t="s">
        <v>1</v>
      </c>
    </row>
    <row r="82" spans="1:55" x14ac:dyDescent="0.2">
      <c r="A82" s="2">
        <v>11</v>
      </c>
      <c r="B82" s="2" t="s">
        <v>674</v>
      </c>
      <c r="C82" s="7">
        <f>DATE(88,3,23)</f>
        <v>32225</v>
      </c>
      <c r="D82" s="2">
        <v>1200</v>
      </c>
      <c r="G82" s="17">
        <v>4.4000000000000004</v>
      </c>
      <c r="H82" s="2">
        <v>534</v>
      </c>
      <c r="I82" s="2">
        <v>119</v>
      </c>
      <c r="J82" s="4">
        <v>127.1</v>
      </c>
      <c r="K82" s="4">
        <v>1805.6</v>
      </c>
      <c r="L82" s="4">
        <v>349.4</v>
      </c>
      <c r="M82" s="2">
        <v>342</v>
      </c>
      <c r="N82" s="2">
        <v>426</v>
      </c>
      <c r="O82" s="2">
        <v>260</v>
      </c>
      <c r="P82" s="2">
        <v>45</v>
      </c>
      <c r="Q82" s="2">
        <v>13</v>
      </c>
      <c r="R82" s="2">
        <v>172</v>
      </c>
      <c r="S82" s="2">
        <v>159</v>
      </c>
      <c r="T82" s="2">
        <v>699</v>
      </c>
      <c r="BC82" s="2" t="s">
        <v>1</v>
      </c>
    </row>
    <row r="83" spans="1:55" x14ac:dyDescent="0.2">
      <c r="A83" s="2">
        <v>13</v>
      </c>
      <c r="B83" s="2" t="s">
        <v>675</v>
      </c>
      <c r="C83" s="7">
        <f>DATE(88,3,24)</f>
        <v>32226</v>
      </c>
      <c r="D83" s="8" t="s">
        <v>664</v>
      </c>
      <c r="G83" s="17">
        <v>4.5</v>
      </c>
      <c r="H83" s="2">
        <v>557</v>
      </c>
      <c r="I83" s="2">
        <v>95</v>
      </c>
      <c r="J83" s="4">
        <v>98.1</v>
      </c>
      <c r="K83" s="4">
        <v>1816.9</v>
      </c>
      <c r="L83" s="4">
        <v>357.4</v>
      </c>
      <c r="M83" s="2">
        <v>343</v>
      </c>
      <c r="N83" s="2">
        <v>433</v>
      </c>
      <c r="O83" s="2">
        <v>257</v>
      </c>
      <c r="P83" s="2">
        <v>45</v>
      </c>
      <c r="R83" s="2">
        <v>172</v>
      </c>
      <c r="S83" s="2">
        <v>158</v>
      </c>
      <c r="T83" s="2">
        <v>697</v>
      </c>
      <c r="BC83" s="2" t="s">
        <v>1</v>
      </c>
    </row>
    <row r="84" spans="1:55" x14ac:dyDescent="0.2">
      <c r="A84" s="2">
        <v>14</v>
      </c>
      <c r="B84" s="2" t="s">
        <v>676</v>
      </c>
      <c r="C84" s="7">
        <f>DATE(88,3,24)</f>
        <v>32226</v>
      </c>
      <c r="D84" s="2">
        <v>1200</v>
      </c>
      <c r="G84" s="17">
        <v>12</v>
      </c>
      <c r="H84" s="2">
        <v>509</v>
      </c>
      <c r="I84" s="2">
        <v>102</v>
      </c>
      <c r="J84" s="4">
        <v>103.5</v>
      </c>
      <c r="K84" s="4">
        <v>1809.6</v>
      </c>
      <c r="L84" s="4">
        <v>353</v>
      </c>
      <c r="M84" s="2">
        <v>343</v>
      </c>
      <c r="N84" s="2">
        <v>435</v>
      </c>
      <c r="O84" s="2">
        <v>261</v>
      </c>
      <c r="P84" s="2">
        <v>58</v>
      </c>
      <c r="R84" s="2">
        <v>169</v>
      </c>
      <c r="S84" s="2">
        <v>159</v>
      </c>
      <c r="T84" s="2">
        <v>708</v>
      </c>
      <c r="BC84" s="2" t="s">
        <v>1</v>
      </c>
    </row>
    <row r="85" spans="1:55" x14ac:dyDescent="0.2">
      <c r="A85" s="2">
        <v>15</v>
      </c>
      <c r="B85" s="2" t="s">
        <v>677</v>
      </c>
      <c r="C85" s="7">
        <f>DATE(88,3,24)</f>
        <v>32226</v>
      </c>
      <c r="D85" s="2">
        <v>1600</v>
      </c>
      <c r="G85" s="17">
        <v>6.9</v>
      </c>
      <c r="H85" s="2">
        <v>599</v>
      </c>
      <c r="I85" s="2">
        <v>101</v>
      </c>
      <c r="J85" s="4">
        <v>112.9</v>
      </c>
      <c r="K85" s="4">
        <v>1804.3</v>
      </c>
      <c r="L85" s="4">
        <v>346.4</v>
      </c>
      <c r="M85" s="2">
        <v>342</v>
      </c>
      <c r="N85" s="2">
        <v>424</v>
      </c>
      <c r="O85" s="2">
        <v>259</v>
      </c>
      <c r="P85" s="2">
        <v>43</v>
      </c>
      <c r="R85" s="2">
        <v>169</v>
      </c>
      <c r="S85" s="2">
        <v>158</v>
      </c>
      <c r="T85" s="2">
        <v>724</v>
      </c>
      <c r="BC85" s="2" t="s">
        <v>1</v>
      </c>
    </row>
    <row r="86" spans="1:55" x14ac:dyDescent="0.2">
      <c r="C86" s="7"/>
      <c r="G86" s="17"/>
      <c r="J86" s="4"/>
      <c r="K86" s="4"/>
      <c r="L86" s="4"/>
      <c r="BC86" s="2" t="s">
        <v>1</v>
      </c>
    </row>
    <row r="87" spans="1:55" x14ac:dyDescent="0.2">
      <c r="C87" s="7"/>
      <c r="G87" s="17"/>
      <c r="J87" s="4"/>
      <c r="K87" s="4"/>
      <c r="L87" s="4"/>
    </row>
    <row r="88" spans="1:55" x14ac:dyDescent="0.2">
      <c r="C88" s="7"/>
      <c r="G88" s="8" t="s">
        <v>116</v>
      </c>
      <c r="H88" s="8" t="s">
        <v>117</v>
      </c>
      <c r="I88" s="8" t="s">
        <v>118</v>
      </c>
      <c r="J88" s="8" t="s">
        <v>118</v>
      </c>
      <c r="K88" s="8" t="s">
        <v>123</v>
      </c>
      <c r="L88" s="8" t="s">
        <v>134</v>
      </c>
      <c r="M88" s="8" t="s">
        <v>138</v>
      </c>
      <c r="N88" s="8" t="s">
        <v>136</v>
      </c>
      <c r="O88" s="8" t="s">
        <v>130</v>
      </c>
      <c r="P88" s="8" t="s">
        <v>133</v>
      </c>
      <c r="Q88" s="8" t="s">
        <v>127</v>
      </c>
      <c r="R88" s="8" t="s">
        <v>121</v>
      </c>
      <c r="S88" s="8" t="s">
        <v>112</v>
      </c>
      <c r="T88" s="8" t="s">
        <v>115</v>
      </c>
    </row>
    <row r="89" spans="1:55" x14ac:dyDescent="0.2">
      <c r="C89" s="7"/>
      <c r="G89" s="8" t="s">
        <v>635</v>
      </c>
      <c r="H89" s="8" t="s">
        <v>266</v>
      </c>
      <c r="I89" s="8" t="s">
        <v>266</v>
      </c>
      <c r="J89" s="8" t="s">
        <v>266</v>
      </c>
      <c r="K89" s="8" t="s">
        <v>266</v>
      </c>
      <c r="L89" s="8" t="s">
        <v>371</v>
      </c>
      <c r="M89" s="8" t="s">
        <v>266</v>
      </c>
      <c r="N89" s="8" t="s">
        <v>144</v>
      </c>
      <c r="O89" s="8" t="s">
        <v>144</v>
      </c>
      <c r="P89" s="8" t="s">
        <v>144</v>
      </c>
      <c r="Q89" s="8" t="s">
        <v>144</v>
      </c>
      <c r="R89" s="8" t="s">
        <v>144</v>
      </c>
      <c r="S89" s="8" t="s">
        <v>144</v>
      </c>
      <c r="T89" s="8" t="s">
        <v>144</v>
      </c>
    </row>
    <row r="90" spans="1:55" x14ac:dyDescent="0.2">
      <c r="B90" s="2" t="s">
        <v>363</v>
      </c>
      <c r="C90" s="7">
        <f>AVERAGE(C72:C85)</f>
        <v>32223.928571428572</v>
      </c>
      <c r="D90" s="4">
        <f>AVERAGE(D72:D85)</f>
        <v>1350</v>
      </c>
      <c r="E90" s="4"/>
      <c r="F90" s="4"/>
      <c r="G90" s="4">
        <f t="shared" ref="G90:T90" si="9">AVERAGE(G72:G85)</f>
        <v>8.3571428571428577</v>
      </c>
      <c r="H90" s="4">
        <f t="shared" si="9"/>
        <v>517.28571428571433</v>
      </c>
      <c r="I90" s="4">
        <f t="shared" si="9"/>
        <v>120.28571428571429</v>
      </c>
      <c r="J90" s="4">
        <f t="shared" si="9"/>
        <v>132.78571428571428</v>
      </c>
      <c r="K90" s="4">
        <f t="shared" si="9"/>
        <v>1889.5285714285712</v>
      </c>
      <c r="L90" s="4">
        <f t="shared" si="9"/>
        <v>355.96428571428572</v>
      </c>
      <c r="M90" s="4">
        <f t="shared" si="9"/>
        <v>343.14285714285717</v>
      </c>
      <c r="N90" s="4">
        <f t="shared" si="9"/>
        <v>430</v>
      </c>
      <c r="O90" s="4">
        <f t="shared" si="9"/>
        <v>261.14285714285717</v>
      </c>
      <c r="P90" s="4">
        <f t="shared" si="9"/>
        <v>50.571428571428569</v>
      </c>
      <c r="Q90" s="4">
        <f t="shared" si="9"/>
        <v>15</v>
      </c>
      <c r="R90" s="4">
        <f t="shared" si="9"/>
        <v>174.57142857142858</v>
      </c>
      <c r="S90" s="4">
        <f t="shared" si="9"/>
        <v>158.35714285714286</v>
      </c>
      <c r="T90" s="4">
        <f t="shared" si="9"/>
        <v>729</v>
      </c>
      <c r="BC90" s="2" t="s">
        <v>1</v>
      </c>
    </row>
    <row r="91" spans="1:55" x14ac:dyDescent="0.2">
      <c r="B91" s="2" t="s">
        <v>364</v>
      </c>
      <c r="C91" s="4"/>
      <c r="D91" s="4">
        <f>STDEV(D72:D85)</f>
        <v>207.01966780270627</v>
      </c>
      <c r="E91" s="4"/>
      <c r="F91" s="4"/>
      <c r="G91" s="4">
        <f t="shared" ref="G91:T91" si="10">STDEV(G72:G85)</f>
        <v>4.0085896782772856</v>
      </c>
      <c r="H91" s="4">
        <f t="shared" si="10"/>
        <v>34.790424348858217</v>
      </c>
      <c r="I91" s="4">
        <f t="shared" si="10"/>
        <v>15.228660082623387</v>
      </c>
      <c r="J91" s="4">
        <f t="shared" si="10"/>
        <v>22.242020423681641</v>
      </c>
      <c r="K91" s="4">
        <f t="shared" si="10"/>
        <v>111.57250439182469</v>
      </c>
      <c r="L91" s="4">
        <f t="shared" si="10"/>
        <v>9.6458526075963125</v>
      </c>
      <c r="M91" s="4">
        <f t="shared" si="10"/>
        <v>1.5118578920369088</v>
      </c>
      <c r="N91" s="4">
        <f t="shared" si="10"/>
        <v>5.1887452166277086</v>
      </c>
      <c r="O91" s="4">
        <f t="shared" si="10"/>
        <v>2.1788191176076892</v>
      </c>
      <c r="P91" s="4">
        <f t="shared" si="10"/>
        <v>8.2435455937384159</v>
      </c>
      <c r="Q91" s="4">
        <f t="shared" si="10"/>
        <v>2.8284271247461903</v>
      </c>
      <c r="R91" s="4">
        <f t="shared" si="10"/>
        <v>5.0644201690175406</v>
      </c>
      <c r="S91" s="4">
        <f t="shared" si="10"/>
        <v>0.63332369377665099</v>
      </c>
      <c r="T91" s="4">
        <f t="shared" si="10"/>
        <v>45.842539867883211</v>
      </c>
      <c r="BC91" s="2" t="s">
        <v>1</v>
      </c>
    </row>
    <row r="92" spans="1:55" x14ac:dyDescent="0.2">
      <c r="B92" s="2" t="s">
        <v>365</v>
      </c>
      <c r="D92" s="2">
        <f>COUNTA(D72:D85)</f>
        <v>13</v>
      </c>
      <c r="G92" s="2">
        <f t="shared" ref="G92:T92" si="11">COUNTA(G72:G85)</f>
        <v>14</v>
      </c>
      <c r="H92" s="2">
        <f t="shared" si="11"/>
        <v>14</v>
      </c>
      <c r="I92" s="2">
        <f t="shared" si="11"/>
        <v>14</v>
      </c>
      <c r="J92" s="2">
        <f t="shared" si="11"/>
        <v>14</v>
      </c>
      <c r="K92" s="2">
        <f t="shared" si="11"/>
        <v>14</v>
      </c>
      <c r="L92" s="2">
        <f t="shared" si="11"/>
        <v>14</v>
      </c>
      <c r="M92" s="2">
        <f t="shared" si="11"/>
        <v>14</v>
      </c>
      <c r="N92" s="2">
        <f t="shared" si="11"/>
        <v>14</v>
      </c>
      <c r="O92" s="2">
        <f t="shared" si="11"/>
        <v>14</v>
      </c>
      <c r="P92" s="2">
        <f t="shared" si="11"/>
        <v>14</v>
      </c>
      <c r="Q92" s="2">
        <f t="shared" si="11"/>
        <v>2</v>
      </c>
      <c r="R92" s="2">
        <f t="shared" si="11"/>
        <v>14</v>
      </c>
      <c r="S92" s="2">
        <f t="shared" si="11"/>
        <v>14</v>
      </c>
      <c r="T92" s="2">
        <f t="shared" si="11"/>
        <v>14</v>
      </c>
      <c r="BC92" s="2" t="s">
        <v>1</v>
      </c>
    </row>
    <row r="93" spans="1:55" x14ac:dyDescent="0.2">
      <c r="BC93" s="2" t="s">
        <v>1</v>
      </c>
    </row>
    <row r="94" spans="1:55" x14ac:dyDescent="0.2">
      <c r="BC94" s="2" t="s">
        <v>1</v>
      </c>
    </row>
    <row r="95" spans="1:55" x14ac:dyDescent="0.2">
      <c r="A95" s="2" t="s">
        <v>678</v>
      </c>
      <c r="BC95" s="2" t="s">
        <v>1</v>
      </c>
    </row>
    <row r="96" spans="1:55" x14ac:dyDescent="0.2">
      <c r="A96" s="2" t="s">
        <v>679</v>
      </c>
      <c r="AF96" s="2" t="s">
        <v>680</v>
      </c>
      <c r="BC96" s="2" t="s">
        <v>1</v>
      </c>
    </row>
    <row r="97" spans="1:57" x14ac:dyDescent="0.2">
      <c r="A97" s="2" t="s">
        <v>681</v>
      </c>
      <c r="B97" s="2" t="s">
        <v>682</v>
      </c>
      <c r="C97" s="15" t="s">
        <v>253</v>
      </c>
      <c r="D97" s="8" t="s">
        <v>683</v>
      </c>
      <c r="E97" s="2" t="s">
        <v>624</v>
      </c>
      <c r="F97" s="2" t="s">
        <v>203</v>
      </c>
      <c r="I97" s="8" t="s">
        <v>118</v>
      </c>
      <c r="K97" s="8" t="s">
        <v>123</v>
      </c>
      <c r="M97" s="8" t="s">
        <v>138</v>
      </c>
      <c r="N97" s="8" t="s">
        <v>136</v>
      </c>
      <c r="O97" s="8" t="s">
        <v>130</v>
      </c>
      <c r="R97" s="8" t="s">
        <v>121</v>
      </c>
      <c r="S97" s="8" t="s">
        <v>112</v>
      </c>
      <c r="T97" s="8" t="s">
        <v>115</v>
      </c>
      <c r="U97" s="8" t="s">
        <v>126</v>
      </c>
      <c r="V97" s="8" t="s">
        <v>122</v>
      </c>
      <c r="W97" s="8" t="s">
        <v>113</v>
      </c>
      <c r="X97" s="8" t="s">
        <v>131</v>
      </c>
      <c r="Y97" s="8" t="s">
        <v>129</v>
      </c>
      <c r="Z97" s="8" t="s">
        <v>149</v>
      </c>
      <c r="AA97" s="8" t="s">
        <v>151</v>
      </c>
      <c r="AB97" s="8" t="s">
        <v>116</v>
      </c>
      <c r="AC97" s="8" t="s">
        <v>132</v>
      </c>
      <c r="AD97" s="8" t="s">
        <v>135</v>
      </c>
      <c r="AF97" s="8" t="s">
        <v>116</v>
      </c>
      <c r="AG97" s="8" t="s">
        <v>132</v>
      </c>
      <c r="AH97" s="8" t="s">
        <v>135</v>
      </c>
      <c r="AI97" s="8" t="s">
        <v>123</v>
      </c>
      <c r="AJ97" s="8" t="s">
        <v>118</v>
      </c>
      <c r="AK97" s="8" t="s">
        <v>138</v>
      </c>
      <c r="AL97" s="8" t="s">
        <v>136</v>
      </c>
      <c r="AM97" s="8" t="s">
        <v>130</v>
      </c>
      <c r="AN97" s="8" t="s">
        <v>121</v>
      </c>
      <c r="AO97" s="8" t="s">
        <v>112</v>
      </c>
      <c r="AP97" s="8" t="s">
        <v>115</v>
      </c>
      <c r="AQ97" s="8" t="s">
        <v>126</v>
      </c>
      <c r="AR97" s="8" t="s">
        <v>122</v>
      </c>
      <c r="AS97" s="8" t="s">
        <v>113</v>
      </c>
      <c r="AT97" s="8" t="s">
        <v>131</v>
      </c>
      <c r="AU97" s="8" t="s">
        <v>129</v>
      </c>
      <c r="AV97" s="8" t="s">
        <v>149</v>
      </c>
      <c r="AW97" s="8" t="s">
        <v>151</v>
      </c>
      <c r="AX97" s="8" t="s">
        <v>116</v>
      </c>
      <c r="AY97" s="8" t="s">
        <v>132</v>
      </c>
      <c r="AZ97" s="8" t="s">
        <v>135</v>
      </c>
      <c r="BA97" s="8" t="s">
        <v>116</v>
      </c>
      <c r="BB97" s="8" t="s">
        <v>132</v>
      </c>
      <c r="BC97" s="8" t="s">
        <v>135</v>
      </c>
      <c r="BE97" s="2" t="s">
        <v>1</v>
      </c>
    </row>
    <row r="98" spans="1:57" x14ac:dyDescent="0.2">
      <c r="A98" s="2" t="s">
        <v>289</v>
      </c>
      <c r="I98" s="8" t="s">
        <v>266</v>
      </c>
      <c r="K98" s="8" t="s">
        <v>266</v>
      </c>
      <c r="M98" s="8" t="s">
        <v>266</v>
      </c>
      <c r="N98" s="8" t="s">
        <v>144</v>
      </c>
      <c r="O98" s="8" t="s">
        <v>144</v>
      </c>
      <c r="R98" s="8" t="s">
        <v>144</v>
      </c>
      <c r="S98" s="8" t="s">
        <v>144</v>
      </c>
      <c r="T98" s="8" t="s">
        <v>144</v>
      </c>
      <c r="U98" s="8" t="s">
        <v>144</v>
      </c>
      <c r="V98" s="8" t="s">
        <v>144</v>
      </c>
      <c r="W98" s="8" t="s">
        <v>144</v>
      </c>
      <c r="X98" s="8" t="s">
        <v>144</v>
      </c>
      <c r="Y98" s="8" t="s">
        <v>144</v>
      </c>
      <c r="Z98" s="8" t="s">
        <v>144</v>
      </c>
      <c r="AA98" s="8" t="s">
        <v>144</v>
      </c>
      <c r="AB98" s="8" t="s">
        <v>635</v>
      </c>
      <c r="AC98" s="8" t="s">
        <v>635</v>
      </c>
      <c r="AD98" s="8" t="s">
        <v>635</v>
      </c>
      <c r="AF98" s="8" t="s">
        <v>144</v>
      </c>
      <c r="AG98" s="8" t="s">
        <v>144</v>
      </c>
      <c r="AH98" s="8" t="s">
        <v>144</v>
      </c>
      <c r="BE98" s="2" t="s">
        <v>1</v>
      </c>
    </row>
    <row r="99" spans="1:57" x14ac:dyDescent="0.2">
      <c r="BE99" s="2" t="s">
        <v>1</v>
      </c>
    </row>
    <row r="100" spans="1:57" x14ac:dyDescent="0.2">
      <c r="A100" s="2">
        <v>8</v>
      </c>
      <c r="B100" s="2" t="s">
        <v>684</v>
      </c>
      <c r="C100" s="7">
        <f>DATE(84,5,18)</f>
        <v>30820</v>
      </c>
      <c r="D100" s="2">
        <v>1730</v>
      </c>
      <c r="E100" s="2" t="s">
        <v>685</v>
      </c>
      <c r="F100" s="2" t="s">
        <v>686</v>
      </c>
      <c r="I100" s="4">
        <v>147.4</v>
      </c>
      <c r="K100" s="4">
        <v>1627.8</v>
      </c>
      <c r="M100" s="4">
        <v>309.72000000000003</v>
      </c>
      <c r="N100" s="4">
        <v>368.42</v>
      </c>
      <c r="O100" s="4">
        <v>222.24</v>
      </c>
      <c r="R100" s="4">
        <v>153.24</v>
      </c>
      <c r="S100" s="4">
        <v>152.1</v>
      </c>
      <c r="T100" s="4">
        <v>1580</v>
      </c>
      <c r="U100" s="4">
        <v>544.4</v>
      </c>
      <c r="V100" s="4">
        <v>260</v>
      </c>
      <c r="W100" s="4">
        <v>104.6</v>
      </c>
      <c r="X100" s="4">
        <v>49</v>
      </c>
      <c r="Y100" s="4">
        <v>199.4</v>
      </c>
      <c r="Z100" s="4">
        <v>26.6</v>
      </c>
      <c r="AA100" s="4">
        <v>23.8</v>
      </c>
      <c r="AB100" s="4">
        <v>21.248000000000001</v>
      </c>
      <c r="AC100" s="4">
        <v>0.114</v>
      </c>
      <c r="AD100" s="4">
        <v>0.2</v>
      </c>
      <c r="AF100" s="4">
        <v>5093.6000000000004</v>
      </c>
      <c r="AG100" s="4">
        <v>23.8</v>
      </c>
      <c r="AH100" s="4">
        <v>35.4</v>
      </c>
      <c r="AI100" s="4">
        <v>2.7748873851023217</v>
      </c>
      <c r="AJ100" s="4">
        <v>21.812840255225819</v>
      </c>
      <c r="AK100" s="4">
        <v>1.5006665185843255</v>
      </c>
      <c r="AL100" s="4">
        <v>2.3166786570433113</v>
      </c>
      <c r="AM100" s="4">
        <v>5.0678397764728116</v>
      </c>
      <c r="AN100" s="4">
        <v>3.0509015061125786</v>
      </c>
      <c r="AO100" s="4">
        <v>0.38078865529319544</v>
      </c>
      <c r="AP100" s="4">
        <v>252.27663387638577</v>
      </c>
      <c r="AQ100" s="4">
        <v>20.767763480933617</v>
      </c>
      <c r="AR100" s="4">
        <v>105.46800462699576</v>
      </c>
      <c r="AS100" s="4">
        <v>19.969977466186585</v>
      </c>
      <c r="AT100" s="4">
        <v>7.5828754440515507</v>
      </c>
      <c r="AU100" s="4">
        <v>84.331488780881841</v>
      </c>
      <c r="AV100" s="4">
        <v>6.730527468185536</v>
      </c>
      <c r="AW100" s="4">
        <v>9.9599196783909854</v>
      </c>
      <c r="AX100" s="4">
        <v>2.1450571087968728</v>
      </c>
      <c r="AY100" s="4">
        <v>0.16272676485446394</v>
      </c>
      <c r="AZ100" s="4">
        <v>0.27422618401604176</v>
      </c>
      <c r="BA100" s="4">
        <v>513.88306062761012</v>
      </c>
      <c r="BB100" s="4">
        <v>33.958798565320301</v>
      </c>
      <c r="BC100" s="4">
        <v>48.536584140213243</v>
      </c>
      <c r="BE100" s="2" t="s">
        <v>1</v>
      </c>
    </row>
    <row r="101" spans="1:57" x14ac:dyDescent="0.2">
      <c r="A101" s="2">
        <v>9</v>
      </c>
      <c r="B101" s="2" t="s">
        <v>687</v>
      </c>
      <c r="C101" s="7">
        <f>DATE(84,5,26)</f>
        <v>30828</v>
      </c>
      <c r="D101" s="2">
        <v>1129</v>
      </c>
      <c r="E101" s="2" t="s">
        <v>688</v>
      </c>
      <c r="F101" s="2" t="s">
        <v>689</v>
      </c>
      <c r="I101" s="4">
        <v>111</v>
      </c>
      <c r="K101" s="4">
        <v>1590.3333333333333</v>
      </c>
      <c r="M101" s="4">
        <v>305.86666666666667</v>
      </c>
      <c r="N101" s="4">
        <v>361.66666666666669</v>
      </c>
      <c r="O101" s="4">
        <v>211.63333333333333</v>
      </c>
      <c r="R101" s="4">
        <v>138.33333333333334</v>
      </c>
      <c r="S101" s="4">
        <v>150.93333333333334</v>
      </c>
      <c r="T101" s="4">
        <v>737</v>
      </c>
      <c r="U101" s="4">
        <v>633.66666666666663</v>
      </c>
      <c r="V101" s="4">
        <v>164.33333333333334</v>
      </c>
      <c r="W101" s="4">
        <v>120.66666666666667</v>
      </c>
      <c r="X101" s="4">
        <v>178</v>
      </c>
      <c r="Y101" s="4">
        <v>172.33333333333334</v>
      </c>
      <c r="Z101" s="4">
        <v>53.666666666666664</v>
      </c>
      <c r="AA101" s="4">
        <v>104.66666666666667</v>
      </c>
      <c r="AB101" s="4">
        <v>13.386666666666667</v>
      </c>
      <c r="AC101" s="4">
        <v>0.14666666666666667</v>
      </c>
      <c r="AD101" s="4">
        <v>0</v>
      </c>
      <c r="AF101" s="4">
        <v>3209.3333333333335</v>
      </c>
      <c r="AG101" s="4">
        <v>31</v>
      </c>
      <c r="AH101" s="4">
        <v>0</v>
      </c>
      <c r="AI101" s="4">
        <v>3.2145502536643185</v>
      </c>
      <c r="AJ101" s="4">
        <v>6.0827625302982193</v>
      </c>
      <c r="AK101" s="4">
        <v>0.63508529610858833</v>
      </c>
      <c r="AL101" s="4">
        <v>1.3051181300301262</v>
      </c>
      <c r="AM101" s="4">
        <v>0.6658328118479393</v>
      </c>
      <c r="AN101" s="4">
        <v>1.1239810200058244</v>
      </c>
      <c r="AO101" s="4">
        <v>1.4153915830374764</v>
      </c>
      <c r="AP101" s="4">
        <v>10.392304845413264</v>
      </c>
      <c r="AQ101" s="4">
        <v>504.32760516685317</v>
      </c>
      <c r="AR101" s="4">
        <v>39.310727967481512</v>
      </c>
      <c r="AS101" s="4">
        <v>24.826061575153908</v>
      </c>
      <c r="AT101" s="4">
        <v>215.65481677903696</v>
      </c>
      <c r="AU101" s="4">
        <v>75.082177201605802</v>
      </c>
      <c r="AV101" s="4">
        <v>18.58314648635514</v>
      </c>
      <c r="AW101" s="4">
        <v>86.904161772226615</v>
      </c>
      <c r="AX101" s="4">
        <v>0.27061657993059723</v>
      </c>
      <c r="AY101" s="4">
        <v>0.25403411844343532</v>
      </c>
      <c r="AZ101" s="4">
        <v>0</v>
      </c>
      <c r="BA101" s="4">
        <v>63.971347752984954</v>
      </c>
      <c r="BB101" s="4">
        <v>53.693575034635195</v>
      </c>
      <c r="BC101" s="4">
        <v>0</v>
      </c>
      <c r="BE101" s="2" t="s">
        <v>1</v>
      </c>
    </row>
    <row r="102" spans="1:57" x14ac:dyDescent="0.2">
      <c r="A102" s="2">
        <v>10</v>
      </c>
      <c r="B102" s="2" t="s">
        <v>690</v>
      </c>
      <c r="C102" s="7">
        <f>DATE(84,6,6)</f>
        <v>30839</v>
      </c>
      <c r="D102" s="2">
        <v>1022</v>
      </c>
      <c r="E102" s="2" t="s">
        <v>691</v>
      </c>
      <c r="F102" s="2" t="s">
        <v>692</v>
      </c>
      <c r="I102" s="4">
        <v>128.33333333333334</v>
      </c>
      <c r="K102" s="4">
        <v>1613.6666666666667</v>
      </c>
      <c r="M102" s="4">
        <v>307.66666666666669</v>
      </c>
      <c r="N102" s="4">
        <v>352.13333333333333</v>
      </c>
      <c r="O102" s="4">
        <v>219.4</v>
      </c>
      <c r="R102" s="4">
        <v>138.9</v>
      </c>
      <c r="S102" s="4">
        <v>152.73333333333332</v>
      </c>
      <c r="T102" s="4">
        <v>934.66666666666663</v>
      </c>
      <c r="U102" s="4">
        <v>403.33333333333331</v>
      </c>
      <c r="V102" s="4">
        <v>170.66666666666666</v>
      </c>
      <c r="W102" s="4">
        <v>134.66666666666666</v>
      </c>
      <c r="X102" s="4">
        <v>80.333333333333329</v>
      </c>
      <c r="Y102" s="4">
        <v>119</v>
      </c>
      <c r="Z102" s="4">
        <v>38.666666666666664</v>
      </c>
      <c r="AA102" s="4">
        <v>44.333333333333336</v>
      </c>
      <c r="AB102" s="4">
        <v>35.03</v>
      </c>
      <c r="AC102" s="4">
        <v>0</v>
      </c>
      <c r="AD102" s="4">
        <v>0.28666666666666668</v>
      </c>
      <c r="AF102" s="4">
        <v>8716.6666666666661</v>
      </c>
      <c r="AG102" s="4">
        <v>0</v>
      </c>
      <c r="AH102" s="4">
        <v>51</v>
      </c>
      <c r="AI102" s="4">
        <v>32.192131543800159</v>
      </c>
      <c r="AJ102" s="4">
        <v>9.0737717258774655</v>
      </c>
      <c r="AK102" s="4">
        <v>1.1150485789118487</v>
      </c>
      <c r="AL102" s="4">
        <v>6.542425645991961</v>
      </c>
      <c r="AM102" s="4">
        <v>3.2046840717924132</v>
      </c>
      <c r="AN102" s="4">
        <v>1.452583904633395</v>
      </c>
      <c r="AO102" s="4">
        <v>5.2003205029433843</v>
      </c>
      <c r="AP102" s="4">
        <v>204.75676626996562</v>
      </c>
      <c r="AQ102" s="4">
        <v>23.501772982763097</v>
      </c>
      <c r="AR102" s="4">
        <v>29.838453936712828</v>
      </c>
      <c r="AS102" s="4">
        <v>4.7258156262526088</v>
      </c>
      <c r="AT102" s="4">
        <v>5.5075705472861021</v>
      </c>
      <c r="AU102" s="4">
        <v>5.5677643628300215</v>
      </c>
      <c r="AV102" s="4">
        <v>11.930353445448853</v>
      </c>
      <c r="AW102" s="4">
        <v>16.772994167212165</v>
      </c>
      <c r="AX102" s="4">
        <v>5.8101032693059764</v>
      </c>
      <c r="AY102" s="4">
        <v>0</v>
      </c>
      <c r="AZ102" s="4">
        <v>0.30088757590391352</v>
      </c>
      <c r="BA102" s="4">
        <v>1273.5400792018024</v>
      </c>
      <c r="BB102" s="4">
        <v>0</v>
      </c>
      <c r="BC102" s="4">
        <v>53.674947601278568</v>
      </c>
      <c r="BE102" s="2" t="s">
        <v>1</v>
      </c>
    </row>
    <row r="103" spans="1:57" x14ac:dyDescent="0.2">
      <c r="A103" s="2">
        <v>12</v>
      </c>
      <c r="B103" s="2" t="s">
        <v>693</v>
      </c>
      <c r="C103" s="7">
        <f>DATE(84,6,28)</f>
        <v>30861</v>
      </c>
      <c r="D103" s="2">
        <v>1109</v>
      </c>
      <c r="E103" s="2" t="s">
        <v>694</v>
      </c>
      <c r="F103" s="2" t="s">
        <v>695</v>
      </c>
      <c r="I103" s="4">
        <v>109.66666666666667</v>
      </c>
      <c r="K103" s="4">
        <v>1866.3333333333333</v>
      </c>
      <c r="M103" s="4">
        <v>307.03333333333336</v>
      </c>
      <c r="N103" s="4">
        <v>363.86666666666667</v>
      </c>
      <c r="O103" s="4">
        <v>209.23333333333332</v>
      </c>
      <c r="R103" s="4">
        <v>137.30000000000001</v>
      </c>
      <c r="S103" s="4">
        <v>150.66666666666666</v>
      </c>
      <c r="T103" s="4">
        <v>844.66666666666663</v>
      </c>
      <c r="U103" s="4">
        <v>487.66666666666669</v>
      </c>
      <c r="V103" s="4">
        <v>247.66666666666666</v>
      </c>
      <c r="W103" s="4">
        <v>153.33333333333334</v>
      </c>
      <c r="X103" s="4">
        <v>82.333333333333329</v>
      </c>
      <c r="Y103" s="4">
        <v>193.66666666666666</v>
      </c>
      <c r="Z103" s="4">
        <v>22.666666666666668</v>
      </c>
      <c r="AA103" s="4">
        <v>30.666666666666668</v>
      </c>
      <c r="AB103" s="4">
        <v>0.32</v>
      </c>
      <c r="AC103" s="4">
        <v>0.19333333333333333</v>
      </c>
      <c r="AD103" s="4">
        <v>0.19333333333333333</v>
      </c>
      <c r="AF103" s="4">
        <v>77</v>
      </c>
      <c r="AG103" s="4">
        <v>40.333333333333336</v>
      </c>
      <c r="AH103" s="4">
        <v>34.333333333333336</v>
      </c>
      <c r="AI103" s="4">
        <v>1.5275252316519468</v>
      </c>
      <c r="AJ103" s="4">
        <v>5.5075705472861021</v>
      </c>
      <c r="AK103" s="4">
        <v>0.25166114784235832</v>
      </c>
      <c r="AL103" s="4">
        <v>2.400694344004112</v>
      </c>
      <c r="AM103" s="4">
        <v>2.0033305601755624</v>
      </c>
      <c r="AN103" s="4">
        <v>0.95393920141694566</v>
      </c>
      <c r="AO103" s="4">
        <v>1.171893055416463</v>
      </c>
      <c r="AP103" s="4">
        <v>6.4291005073286369</v>
      </c>
      <c r="AQ103" s="4">
        <v>63.129496539520517</v>
      </c>
      <c r="AR103" s="4">
        <v>35.64173583501978</v>
      </c>
      <c r="AS103" s="4">
        <v>9.4516312525052175</v>
      </c>
      <c r="AT103" s="4">
        <v>19.295940851208403</v>
      </c>
      <c r="AU103" s="4">
        <v>57.500724633115134</v>
      </c>
      <c r="AV103" s="4">
        <v>3.2145502536643185</v>
      </c>
      <c r="AW103" s="4">
        <v>9.8149545762236379</v>
      </c>
      <c r="AX103" s="4">
        <v>0.27730849247724093</v>
      </c>
      <c r="AY103" s="4">
        <v>0.33486315612998296</v>
      </c>
      <c r="AZ103" s="4">
        <v>0.33486315612998296</v>
      </c>
      <c r="BA103" s="4">
        <v>66.730802482811484</v>
      </c>
      <c r="BB103" s="4">
        <v>69.859382571944721</v>
      </c>
      <c r="BC103" s="4">
        <v>59.467077726531457</v>
      </c>
      <c r="BE103" s="2" t="s">
        <v>1</v>
      </c>
    </row>
    <row r="104" spans="1:57" x14ac:dyDescent="0.2">
      <c r="A104" s="2">
        <v>13</v>
      </c>
      <c r="B104" s="2" t="s">
        <v>696</v>
      </c>
      <c r="C104" s="7">
        <f>DATE(84,6,30)</f>
        <v>30863</v>
      </c>
      <c r="D104" s="2">
        <v>1225</v>
      </c>
      <c r="E104" s="2" t="s">
        <v>697</v>
      </c>
      <c r="F104" s="2" t="s">
        <v>698</v>
      </c>
      <c r="I104" s="4">
        <v>126.66666666666667</v>
      </c>
      <c r="K104" s="4">
        <v>1599.6666666666667</v>
      </c>
      <c r="M104" s="4">
        <v>305.23333333333335</v>
      </c>
      <c r="N104" s="4">
        <v>361</v>
      </c>
      <c r="O104" s="4">
        <v>214.2</v>
      </c>
      <c r="R104" s="4">
        <v>142.53333333333333</v>
      </c>
      <c r="S104" s="4">
        <v>150.86666666666667</v>
      </c>
      <c r="T104" s="4">
        <v>711.66666666666663</v>
      </c>
      <c r="U104" s="4">
        <v>451.66666666666669</v>
      </c>
      <c r="V104" s="4">
        <v>259.66666666666669</v>
      </c>
      <c r="W104" s="4">
        <v>182.66666666666666</v>
      </c>
      <c r="X104" s="4">
        <v>75</v>
      </c>
      <c r="Y104" s="4">
        <v>210.66666666666666</v>
      </c>
      <c r="Z104" s="4">
        <v>19</v>
      </c>
      <c r="AA104" s="4">
        <v>23.333333333333332</v>
      </c>
      <c r="AB104" s="4">
        <v>17.406666666666666</v>
      </c>
      <c r="AC104" s="4">
        <v>0.63666666666666671</v>
      </c>
      <c r="AD104" s="4">
        <v>0.23333333333333334</v>
      </c>
      <c r="AF104" s="4">
        <v>4172.333333333333</v>
      </c>
      <c r="AG104" s="4">
        <v>133.33333333333334</v>
      </c>
      <c r="AH104" s="4">
        <v>41.666666666666664</v>
      </c>
      <c r="AI104" s="4">
        <v>6.0277137733417083</v>
      </c>
      <c r="AJ104" s="4">
        <v>5.0332229568471663</v>
      </c>
      <c r="AK104" s="4">
        <v>0.2309401076758503</v>
      </c>
      <c r="AL104" s="4">
        <v>2.2715633383201093</v>
      </c>
      <c r="AM104" s="4">
        <v>1.5620499351813308</v>
      </c>
      <c r="AN104" s="4">
        <v>1.1547005383792515</v>
      </c>
      <c r="AO104" s="4">
        <v>0.85049005481153828</v>
      </c>
      <c r="AP104" s="4">
        <v>19.425069712444621</v>
      </c>
      <c r="AQ104" s="4">
        <v>23.072349974229617</v>
      </c>
      <c r="AR104" s="4">
        <v>118.62686598462143</v>
      </c>
      <c r="AS104" s="4">
        <v>10.785793124908958</v>
      </c>
      <c r="AT104" s="4">
        <v>6.0827625302982193</v>
      </c>
      <c r="AU104" s="4">
        <v>98.398848231741681</v>
      </c>
      <c r="AV104" s="4">
        <v>2</v>
      </c>
      <c r="AW104" s="4">
        <v>4.7258156262526088</v>
      </c>
      <c r="AX104" s="4">
        <v>1.0050041459284302</v>
      </c>
      <c r="AY104" s="4">
        <v>0.23860706890897707</v>
      </c>
      <c r="AZ104" s="4">
        <v>1.1547005383792516E-2</v>
      </c>
      <c r="BA104" s="4">
        <v>241.50431328101229</v>
      </c>
      <c r="BB104" s="4">
        <v>49.440199568097754</v>
      </c>
      <c r="BC104" s="4">
        <v>1.5275252316519468</v>
      </c>
      <c r="BE104" s="2" t="s">
        <v>1</v>
      </c>
    </row>
    <row r="105" spans="1:57" x14ac:dyDescent="0.2">
      <c r="A105" s="2">
        <v>14</v>
      </c>
      <c r="B105" s="2" t="s">
        <v>699</v>
      </c>
      <c r="C105" s="7">
        <f>DATE(84,6,30)</f>
        <v>30863</v>
      </c>
      <c r="D105" s="2">
        <v>1500</v>
      </c>
      <c r="E105" s="2" t="s">
        <v>700</v>
      </c>
      <c r="F105" s="2" t="s">
        <v>701</v>
      </c>
      <c r="I105" s="4">
        <v>129.66666666666666</v>
      </c>
      <c r="K105" s="4">
        <v>1596.6666666666667</v>
      </c>
      <c r="M105" s="4">
        <v>306.83333333333331</v>
      </c>
      <c r="N105" s="4">
        <v>364.2</v>
      </c>
      <c r="O105" s="4">
        <v>213.86666666666667</v>
      </c>
      <c r="R105" s="4">
        <v>142</v>
      </c>
      <c r="S105" s="4">
        <v>150.23333333333332</v>
      </c>
      <c r="T105" s="4">
        <v>738.5</v>
      </c>
      <c r="U105" s="4">
        <v>443.66666666666669</v>
      </c>
      <c r="V105" s="4">
        <v>260.33333333333331</v>
      </c>
      <c r="W105" s="4">
        <v>178.33333333333334</v>
      </c>
      <c r="X105" s="4">
        <v>78.333333333333329</v>
      </c>
      <c r="Y105" s="4">
        <v>253.66666666666666</v>
      </c>
      <c r="Z105" s="4">
        <v>27.333333333333332</v>
      </c>
      <c r="AA105" s="4">
        <v>36.333333333333336</v>
      </c>
      <c r="AB105" s="4">
        <v>16.72</v>
      </c>
      <c r="AC105" s="4">
        <v>0.78333333333333333</v>
      </c>
      <c r="AD105" s="4">
        <v>108.77666666666667</v>
      </c>
      <c r="AF105" s="4">
        <v>4007.3333333333335</v>
      </c>
      <c r="AG105" s="4">
        <v>164</v>
      </c>
      <c r="AH105" s="4">
        <v>35</v>
      </c>
      <c r="AI105" s="4">
        <v>5.0332229568471663</v>
      </c>
      <c r="AJ105" s="4">
        <v>10.115993936995679</v>
      </c>
      <c r="AK105" s="4">
        <v>0.58594652770823152</v>
      </c>
      <c r="AL105" s="4">
        <v>0.95393920141694566</v>
      </c>
      <c r="AM105" s="4">
        <v>0.15275252316519466</v>
      </c>
      <c r="AN105" s="4">
        <v>0.7</v>
      </c>
      <c r="AO105" s="4">
        <v>0.65064070986477118</v>
      </c>
      <c r="AP105" s="4">
        <v>24.748737341529164</v>
      </c>
      <c r="AQ105" s="4">
        <v>49.923274465256519</v>
      </c>
      <c r="AR105" s="4">
        <v>27.465129406819354</v>
      </c>
      <c r="AS105" s="4">
        <v>16.289055630494154</v>
      </c>
      <c r="AT105" s="4">
        <v>4.5092497528228943</v>
      </c>
      <c r="AU105" s="4">
        <v>40.06661120351125</v>
      </c>
      <c r="AV105" s="4">
        <v>9.0737717258774655</v>
      </c>
      <c r="AW105" s="4">
        <v>22.278539748675929</v>
      </c>
      <c r="AX105" s="4">
        <v>1.2644366334458994</v>
      </c>
      <c r="AY105" s="4">
        <v>0.27537852736430513</v>
      </c>
      <c r="AZ105" s="4">
        <v>188.12099732175921</v>
      </c>
      <c r="BA105" s="4">
        <v>302.82393124278229</v>
      </c>
      <c r="BB105" s="4">
        <v>57.55866572463264</v>
      </c>
      <c r="BC105" s="4">
        <v>31</v>
      </c>
      <c r="BE105" s="2" t="s">
        <v>1</v>
      </c>
    </row>
    <row r="106" spans="1:57" x14ac:dyDescent="0.2">
      <c r="A106" s="2">
        <v>15</v>
      </c>
      <c r="B106" s="2" t="s">
        <v>702</v>
      </c>
      <c r="C106" s="7">
        <f>DATE(84,7,2)</f>
        <v>30865</v>
      </c>
      <c r="D106" s="2">
        <v>1637</v>
      </c>
      <c r="E106" s="2" t="s">
        <v>703</v>
      </c>
      <c r="F106" s="2" t="s">
        <v>704</v>
      </c>
      <c r="I106" s="4">
        <v>89.666666666666671</v>
      </c>
      <c r="K106" s="4">
        <v>1628.6666666666667</v>
      </c>
      <c r="M106" s="4">
        <v>305.93333333333334</v>
      </c>
      <c r="N106" s="4">
        <v>369.03333333333336</v>
      </c>
      <c r="O106" s="4">
        <v>210.63333333333333</v>
      </c>
      <c r="R106" s="4">
        <v>139.76666666666668</v>
      </c>
      <c r="S106" s="4">
        <v>151.23333333333332</v>
      </c>
      <c r="T106" s="4">
        <v>763</v>
      </c>
      <c r="U106" s="4">
        <v>556.66666666666663</v>
      </c>
      <c r="V106" s="4">
        <v>194</v>
      </c>
      <c r="W106" s="4">
        <v>138</v>
      </c>
      <c r="X106" s="4">
        <v>265.66666666666669</v>
      </c>
      <c r="Y106" s="4">
        <v>214.66666666666666</v>
      </c>
      <c r="Z106" s="4">
        <v>239.66666666666666</v>
      </c>
      <c r="AA106" s="4">
        <v>433</v>
      </c>
      <c r="AB106" s="4">
        <v>3.6933333333333334</v>
      </c>
      <c r="AC106" s="4">
        <v>0.52333333333333332</v>
      </c>
      <c r="AD106" s="4">
        <v>0.35666666666666669</v>
      </c>
      <c r="AF106" s="4">
        <v>885.33333333333337</v>
      </c>
      <c r="AG106" s="4">
        <v>109.33333333333333</v>
      </c>
      <c r="AH106" s="4">
        <v>62.666666666666664</v>
      </c>
      <c r="AI106" s="4">
        <v>1.5275252316519468</v>
      </c>
      <c r="AJ106" s="4">
        <v>5.6862407030773268</v>
      </c>
      <c r="AK106" s="4">
        <v>0.87368949480541047</v>
      </c>
      <c r="AL106" s="4">
        <v>1.0503967504392486</v>
      </c>
      <c r="AM106" s="4">
        <v>2.5735837529276822</v>
      </c>
      <c r="AN106" s="4">
        <v>3.035347316755256</v>
      </c>
      <c r="AO106" s="4">
        <v>0.51316014394468845</v>
      </c>
      <c r="AP106" s="4">
        <v>9.5393920141694561</v>
      </c>
      <c r="AQ106" s="4">
        <v>77.732447107583937</v>
      </c>
      <c r="AR106" s="4">
        <v>43.554563480765133</v>
      </c>
      <c r="AS106" s="4">
        <v>10.392304845413264</v>
      </c>
      <c r="AT106" s="4">
        <v>182.65358833960349</v>
      </c>
      <c r="AU106" s="4">
        <v>91.816846674961198</v>
      </c>
      <c r="AV106" s="4">
        <v>237.13357698422493</v>
      </c>
      <c r="AW106" s="4">
        <v>443.65865256974308</v>
      </c>
      <c r="AX106" s="4">
        <v>7.0945988845975874E-2</v>
      </c>
      <c r="AY106" s="4">
        <v>0.52003205029433841</v>
      </c>
      <c r="AZ106" s="4">
        <v>0.27024680078279062</v>
      </c>
      <c r="BA106" s="4">
        <v>16.623276853055579</v>
      </c>
      <c r="BB106" s="4">
        <v>108.50960018972208</v>
      </c>
      <c r="BC106" s="4">
        <v>47.542963026438869</v>
      </c>
      <c r="BE106" s="2" t="s">
        <v>1</v>
      </c>
    </row>
    <row r="107" spans="1:57" x14ac:dyDescent="0.2">
      <c r="A107" s="2">
        <v>16</v>
      </c>
      <c r="B107" s="2" t="s">
        <v>705</v>
      </c>
      <c r="C107" s="7">
        <f>DATE(84,7,3)</f>
        <v>30866</v>
      </c>
      <c r="D107" s="2">
        <v>1550</v>
      </c>
      <c r="E107" s="2" t="s">
        <v>691</v>
      </c>
      <c r="F107" s="2" t="s">
        <v>706</v>
      </c>
      <c r="I107" s="4">
        <v>116.33333333333333</v>
      </c>
      <c r="K107" s="4">
        <v>1628.3333333333333</v>
      </c>
      <c r="M107" s="4">
        <v>307.56666666666666</v>
      </c>
      <c r="N107" s="4">
        <v>365.8</v>
      </c>
      <c r="O107" s="4">
        <v>214.8</v>
      </c>
      <c r="R107" s="4">
        <v>142.73333333333332</v>
      </c>
      <c r="S107" s="4">
        <v>152.30000000000001</v>
      </c>
      <c r="T107" s="4">
        <v>782</v>
      </c>
      <c r="U107" s="4">
        <v>395.33333333333331</v>
      </c>
      <c r="V107" s="4">
        <v>170</v>
      </c>
      <c r="W107" s="4">
        <v>126.66666666666667</v>
      </c>
      <c r="X107" s="4">
        <v>65</v>
      </c>
      <c r="Y107" s="4">
        <v>162.33333333333334</v>
      </c>
      <c r="Z107" s="4">
        <v>26.333333333333332</v>
      </c>
      <c r="AA107" s="4">
        <v>30</v>
      </c>
      <c r="AB107" s="4">
        <v>25.456666666666667</v>
      </c>
      <c r="AC107" s="4">
        <v>0.23333333333333334</v>
      </c>
      <c r="AD107" s="4">
        <v>0.47666666666666668</v>
      </c>
      <c r="AF107" s="4">
        <v>6102</v>
      </c>
      <c r="AG107" s="4">
        <v>49</v>
      </c>
      <c r="AH107" s="4">
        <v>85</v>
      </c>
      <c r="AI107" s="4">
        <v>3.2145502536643185</v>
      </c>
      <c r="AJ107" s="4">
        <v>4.0414518843273806</v>
      </c>
      <c r="AK107" s="4">
        <v>1.7953644012660308</v>
      </c>
      <c r="AL107" s="4">
        <v>2.2338307903688674</v>
      </c>
      <c r="AM107" s="4">
        <v>1.9</v>
      </c>
      <c r="AN107" s="4">
        <v>1.8147543451754933</v>
      </c>
      <c r="AO107" s="4">
        <v>1.8248287590894658</v>
      </c>
      <c r="AP107" s="4">
        <v>19.157244060668017</v>
      </c>
      <c r="AQ107" s="4">
        <v>28.290163190291661</v>
      </c>
      <c r="AR107" s="4">
        <v>57.297469403107151</v>
      </c>
      <c r="AS107" s="4">
        <v>5.8594652770823155</v>
      </c>
      <c r="AT107" s="4">
        <v>13.114877048604001</v>
      </c>
      <c r="AU107" s="4">
        <v>56.518433571122024</v>
      </c>
      <c r="AV107" s="4">
        <v>4.9328828623162471</v>
      </c>
      <c r="AW107" s="4">
        <v>8.5440037453175304</v>
      </c>
      <c r="AX107" s="4">
        <v>1.7990089864515222</v>
      </c>
      <c r="AY107" s="4">
        <v>0.40414518843273806</v>
      </c>
      <c r="AZ107" s="4">
        <v>0.16258331197676265</v>
      </c>
      <c r="BA107" s="4">
        <v>430.56822920415294</v>
      </c>
      <c r="BB107" s="4">
        <v>84.870489570874994</v>
      </c>
      <c r="BC107" s="4">
        <v>28.354893757515651</v>
      </c>
      <c r="BE107" s="2" t="s">
        <v>1</v>
      </c>
    </row>
    <row r="108" spans="1:57" x14ac:dyDescent="0.2">
      <c r="A108" s="2">
        <v>17</v>
      </c>
      <c r="B108" s="2" t="s">
        <v>707</v>
      </c>
      <c r="C108" s="7">
        <f>DATE(84,7,5)</f>
        <v>30868</v>
      </c>
      <c r="D108" s="2">
        <v>1219</v>
      </c>
      <c r="E108" s="2" t="s">
        <v>708</v>
      </c>
      <c r="F108" s="2" t="s">
        <v>709</v>
      </c>
      <c r="I108" s="4">
        <v>129.66666666666666</v>
      </c>
      <c r="K108" s="4">
        <v>1622</v>
      </c>
      <c r="M108" s="4">
        <v>307.2</v>
      </c>
      <c r="N108" s="4">
        <v>370</v>
      </c>
      <c r="O108" s="4">
        <v>213.63333333333333</v>
      </c>
      <c r="R108" s="4">
        <v>145.83333333333334</v>
      </c>
      <c r="S108" s="4">
        <v>151.9</v>
      </c>
      <c r="T108" s="4">
        <v>765.33333333333337</v>
      </c>
      <c r="U108" s="4">
        <v>382.33333333333331</v>
      </c>
      <c r="V108" s="4">
        <v>205</v>
      </c>
      <c r="W108" s="4">
        <v>110.33333333333333</v>
      </c>
      <c r="X108" s="4">
        <v>28.333333333333332</v>
      </c>
      <c r="Y108" s="4">
        <v>217</v>
      </c>
      <c r="Z108" s="4">
        <v>7.666666666666667</v>
      </c>
      <c r="AA108" s="4">
        <v>3.6666666666666665</v>
      </c>
      <c r="AB108" s="4">
        <v>8.52</v>
      </c>
      <c r="AC108" s="4">
        <v>0.22</v>
      </c>
      <c r="AD108" s="4">
        <v>0.26666666666666666</v>
      </c>
      <c r="AF108" s="4">
        <v>2042</v>
      </c>
      <c r="AG108" s="4">
        <v>45.666666666666664</v>
      </c>
      <c r="AH108" s="4">
        <v>47.333333333333336</v>
      </c>
      <c r="AI108" s="4">
        <v>3.6055512754639891</v>
      </c>
      <c r="AJ108" s="4">
        <v>4.1633319989322652</v>
      </c>
      <c r="AK108" s="4">
        <v>1.3856406460551018</v>
      </c>
      <c r="AL108" s="4">
        <v>1.0583005244258363</v>
      </c>
      <c r="AM108" s="4">
        <v>1.1930353445448854</v>
      </c>
      <c r="AN108" s="4">
        <v>1.8147543451754933</v>
      </c>
      <c r="AO108" s="4">
        <v>0.8660254037844386</v>
      </c>
      <c r="AP108" s="4">
        <v>69.009661159386468</v>
      </c>
      <c r="AQ108" s="4">
        <v>18.876793513023692</v>
      </c>
      <c r="AR108" s="4">
        <v>48.124837662063861</v>
      </c>
      <c r="AS108" s="4">
        <v>18.147543451754931</v>
      </c>
      <c r="AT108" s="4">
        <v>5.7735026918962573</v>
      </c>
      <c r="AU108" s="4">
        <v>81.061704892014205</v>
      </c>
      <c r="AV108" s="4">
        <v>13.279056191361393</v>
      </c>
      <c r="AW108" s="4">
        <v>6.3508529610858835</v>
      </c>
      <c r="AX108" s="4">
        <v>1.2376994788719917</v>
      </c>
      <c r="AY108" s="4">
        <v>0.38105117766515301</v>
      </c>
      <c r="AZ108" s="4">
        <v>0.16441816606851364</v>
      </c>
      <c r="BA108" s="4">
        <v>297.09762705211904</v>
      </c>
      <c r="BB108" s="4">
        <v>79.096986878978726</v>
      </c>
      <c r="BC108" s="4">
        <v>29.297326385411576</v>
      </c>
      <c r="BE108" s="2" t="s">
        <v>1</v>
      </c>
    </row>
    <row r="109" spans="1:57" x14ac:dyDescent="0.2">
      <c r="A109" s="2">
        <v>18</v>
      </c>
      <c r="B109" s="2" t="s">
        <v>710</v>
      </c>
      <c r="C109" s="7">
        <f>DATE(84,7,7)</f>
        <v>30870</v>
      </c>
      <c r="D109" s="2">
        <v>1130</v>
      </c>
      <c r="E109" s="2" t="s">
        <v>711</v>
      </c>
      <c r="F109" s="2" t="s">
        <v>712</v>
      </c>
      <c r="I109" s="4">
        <v>222.66666666666666</v>
      </c>
      <c r="K109" s="4">
        <v>1656.3333333333333</v>
      </c>
      <c r="M109" s="4">
        <v>308.33333333333331</v>
      </c>
      <c r="N109" s="4">
        <v>375.83333333333331</v>
      </c>
      <c r="O109" s="4">
        <v>212.06666666666666</v>
      </c>
      <c r="R109" s="4">
        <v>138.80000000000001</v>
      </c>
      <c r="S109" s="4">
        <v>150.4</v>
      </c>
      <c r="T109" s="4">
        <v>943</v>
      </c>
      <c r="U109" s="4">
        <v>2841</v>
      </c>
      <c r="V109" s="4">
        <v>1294.6666666666667</v>
      </c>
      <c r="W109" s="4">
        <v>915</v>
      </c>
      <c r="X109" s="4">
        <v>1176.6666666666667</v>
      </c>
      <c r="Y109" s="4">
        <v>1237</v>
      </c>
      <c r="Z109" s="4">
        <v>663.66666666666663</v>
      </c>
      <c r="AA109" s="4">
        <v>961</v>
      </c>
      <c r="AB109" s="4">
        <v>3.9633333333333334</v>
      </c>
      <c r="AC109" s="4">
        <v>2.0733333333333333</v>
      </c>
      <c r="AD109" s="4">
        <v>2.17</v>
      </c>
      <c r="AF109" s="4">
        <v>949.33333333333337</v>
      </c>
      <c r="AG109" s="4">
        <v>433.33333333333331</v>
      </c>
      <c r="AH109" s="4">
        <v>385</v>
      </c>
      <c r="AI109" s="4">
        <v>3.2145502536643185</v>
      </c>
      <c r="AJ109" s="4">
        <v>4.5092497528228943</v>
      </c>
      <c r="AK109" s="4">
        <v>2.1385353243127252</v>
      </c>
      <c r="AL109" s="4">
        <v>7.0315953618886047</v>
      </c>
      <c r="AM109" s="4">
        <v>1.1372481406154653</v>
      </c>
      <c r="AN109" s="4">
        <v>2.6</v>
      </c>
      <c r="AO109" s="4">
        <v>2.1633307652783937</v>
      </c>
      <c r="AP109" s="4">
        <v>37.269290307168447</v>
      </c>
      <c r="AQ109" s="4">
        <v>3369.224836664956</v>
      </c>
      <c r="AR109" s="4">
        <v>505.90545888864784</v>
      </c>
      <c r="AS109" s="4">
        <v>84.658136053187462</v>
      </c>
      <c r="AT109" s="4">
        <v>1325.5928233561515</v>
      </c>
      <c r="AU109" s="4">
        <v>1201.5519131523199</v>
      </c>
      <c r="AV109" s="4">
        <v>135.72152862878215</v>
      </c>
      <c r="AW109" s="4">
        <v>581.43013337803541</v>
      </c>
      <c r="AX109" s="4">
        <v>0.92985661977174383</v>
      </c>
      <c r="AY109" s="4">
        <v>1.1754289996989751</v>
      </c>
      <c r="AZ109" s="4">
        <v>0.12767145334803703</v>
      </c>
      <c r="BA109" s="4">
        <v>222.44175267546632</v>
      </c>
      <c r="BB109" s="4">
        <v>245.74851644177494</v>
      </c>
      <c r="BC109" s="4">
        <v>21.931712199461309</v>
      </c>
      <c r="BE109" s="2" t="s">
        <v>1</v>
      </c>
    </row>
    <row r="110" spans="1:57" x14ac:dyDescent="0.2">
      <c r="A110" s="2">
        <v>19</v>
      </c>
      <c r="B110" s="2" t="s">
        <v>713</v>
      </c>
      <c r="C110" s="7">
        <f>DATE(84,7,8)</f>
        <v>30871</v>
      </c>
      <c r="D110" s="2">
        <v>1611</v>
      </c>
      <c r="E110" s="2" t="s">
        <v>714</v>
      </c>
      <c r="F110" s="2" t="s">
        <v>715</v>
      </c>
      <c r="I110" s="4">
        <v>112</v>
      </c>
      <c r="K110" s="4">
        <v>1597</v>
      </c>
      <c r="M110" s="4">
        <v>305.7</v>
      </c>
      <c r="N110" s="4">
        <v>359.63333333333333</v>
      </c>
      <c r="O110" s="4">
        <v>212.5</v>
      </c>
      <c r="R110" s="4">
        <v>139.16666666666666</v>
      </c>
      <c r="S110" s="4">
        <v>149.93333333333334</v>
      </c>
      <c r="T110" s="4">
        <v>687</v>
      </c>
      <c r="U110" s="4">
        <v>482.66666666666669</v>
      </c>
      <c r="V110" s="4">
        <v>263.66666666666669</v>
      </c>
      <c r="W110" s="4">
        <v>354.33333333333331</v>
      </c>
      <c r="X110" s="4">
        <v>57.666666666666664</v>
      </c>
      <c r="Y110" s="4">
        <v>83.333333333333329</v>
      </c>
      <c r="Z110" s="4">
        <v>0</v>
      </c>
      <c r="AA110" s="4">
        <v>6.333333333333333</v>
      </c>
      <c r="AB110" s="4">
        <v>6.3433333333333337</v>
      </c>
      <c r="AC110" s="4">
        <v>0.66</v>
      </c>
      <c r="AD110" s="4">
        <v>0.22333333333333333</v>
      </c>
      <c r="AF110" s="4">
        <v>1520.6666666666667</v>
      </c>
      <c r="AG110" s="4">
        <v>138.33333333333334</v>
      </c>
      <c r="AH110" s="4">
        <v>39.333333333333336</v>
      </c>
      <c r="AI110" s="4">
        <v>3.6055512754639891</v>
      </c>
      <c r="AJ110" s="4">
        <v>1</v>
      </c>
      <c r="AK110" s="4">
        <v>0.6</v>
      </c>
      <c r="AL110" s="4">
        <v>3.0369941279714938</v>
      </c>
      <c r="AM110" s="4">
        <v>1.8357559750685819</v>
      </c>
      <c r="AN110" s="4">
        <v>8.1525047275873028</v>
      </c>
      <c r="AO110" s="4">
        <v>1.2662279942148387</v>
      </c>
      <c r="AP110" s="4">
        <v>12.124355652982141</v>
      </c>
      <c r="AQ110" s="4">
        <v>3.0550504633038935</v>
      </c>
      <c r="AR110" s="4">
        <v>47.93050524804984</v>
      </c>
      <c r="AS110" s="4">
        <v>37.527767497325677</v>
      </c>
      <c r="AT110" s="4">
        <v>3.0550504633038935</v>
      </c>
      <c r="AU110" s="4">
        <v>23.629078131263043</v>
      </c>
      <c r="AV110" s="4">
        <v>0</v>
      </c>
      <c r="AW110" s="4">
        <v>10.96965511460289</v>
      </c>
      <c r="AX110" s="4">
        <v>0.51032669275017672</v>
      </c>
      <c r="AY110" s="4">
        <v>0.10148891565092219</v>
      </c>
      <c r="AZ110" s="4">
        <v>0.195021366350801</v>
      </c>
      <c r="BA110" s="4">
        <v>123.22878451617274</v>
      </c>
      <c r="BB110" s="4">
        <v>20.744477176668813</v>
      </c>
      <c r="BC110" s="4">
        <v>34.297716153314546</v>
      </c>
      <c r="BE110" s="2" t="s">
        <v>1</v>
      </c>
    </row>
    <row r="111" spans="1:57" x14ac:dyDescent="0.2">
      <c r="A111" s="2">
        <v>20</v>
      </c>
      <c r="B111" s="2" t="s">
        <v>716</v>
      </c>
      <c r="C111" s="7">
        <f>DATE(84,7,10)</f>
        <v>30873</v>
      </c>
      <c r="D111" s="2">
        <v>1131</v>
      </c>
      <c r="E111" s="2" t="s">
        <v>717</v>
      </c>
      <c r="F111" s="2" t="s">
        <v>718</v>
      </c>
      <c r="I111" s="4">
        <v>84.333333333333329</v>
      </c>
      <c r="K111" s="4">
        <v>1593.3333333333333</v>
      </c>
      <c r="M111" s="4">
        <v>306.33333333333331</v>
      </c>
      <c r="N111" s="4">
        <v>365.8</v>
      </c>
      <c r="O111" s="4">
        <v>212.16666666666666</v>
      </c>
      <c r="R111" s="4">
        <v>135.13333333333333</v>
      </c>
      <c r="S111" s="4">
        <v>148.83333333333334</v>
      </c>
      <c r="T111" s="4">
        <v>725.66666666666663</v>
      </c>
      <c r="U111" s="4">
        <v>432.66666666666669</v>
      </c>
      <c r="V111" s="4">
        <v>408</v>
      </c>
      <c r="W111" s="4">
        <v>160.66666666666666</v>
      </c>
      <c r="X111" s="4">
        <v>62.333333333333336</v>
      </c>
      <c r="Y111" s="4">
        <v>236.33333333333334</v>
      </c>
      <c r="Z111" s="4">
        <v>23</v>
      </c>
      <c r="AA111" s="4">
        <v>28</v>
      </c>
      <c r="AB111" s="4">
        <v>4.8066666666666666</v>
      </c>
      <c r="AC111" s="4">
        <v>0.48333333333333334</v>
      </c>
      <c r="AD111" s="4">
        <v>1.3266666666666667</v>
      </c>
      <c r="AF111" s="4">
        <v>1152</v>
      </c>
      <c r="AG111" s="4">
        <v>100.33333333333333</v>
      </c>
      <c r="AH111" s="4">
        <v>235</v>
      </c>
      <c r="AI111" s="4">
        <v>2.5166114784235831</v>
      </c>
      <c r="AJ111" s="4">
        <v>5.8594652770823155</v>
      </c>
      <c r="AK111" s="4">
        <v>0.47258156262526085</v>
      </c>
      <c r="AL111" s="4">
        <v>2.8844410203711917</v>
      </c>
      <c r="AM111" s="4">
        <v>1.1930353445448854</v>
      </c>
      <c r="AN111" s="4">
        <v>2.2368132093076825</v>
      </c>
      <c r="AO111" s="4">
        <v>1.6072751268321592</v>
      </c>
      <c r="AP111" s="4">
        <v>34.35597958628648</v>
      </c>
      <c r="AQ111" s="4">
        <v>25.890796305508513</v>
      </c>
      <c r="AR111" s="4">
        <v>191.50718002205556</v>
      </c>
      <c r="AS111" s="4">
        <v>16.010413278030438</v>
      </c>
      <c r="AT111" s="4">
        <v>7.5718777944003648</v>
      </c>
      <c r="AU111" s="4">
        <v>160.59369020398447</v>
      </c>
      <c r="AV111" s="4">
        <v>3.4641016151377544</v>
      </c>
      <c r="AW111" s="4">
        <v>4</v>
      </c>
      <c r="AX111" s="4">
        <v>0.29399546481762834</v>
      </c>
      <c r="AY111" s="4">
        <v>0.42712215270731785</v>
      </c>
      <c r="AZ111" s="4">
        <v>0.24378952670968729</v>
      </c>
      <c r="BA111" s="4">
        <v>69.476614770726997</v>
      </c>
      <c r="BB111" s="4">
        <v>88.635959595038699</v>
      </c>
      <c r="BC111" s="4">
        <v>43.278170016764804</v>
      </c>
      <c r="BE111" s="2" t="s">
        <v>1</v>
      </c>
    </row>
    <row r="112" spans="1:57" x14ac:dyDescent="0.2">
      <c r="A112" s="2">
        <v>21</v>
      </c>
      <c r="B112" s="2" t="s">
        <v>719</v>
      </c>
      <c r="C112" s="7">
        <f>DATE(84,7,12)</f>
        <v>30875</v>
      </c>
      <c r="D112" s="2">
        <v>1157</v>
      </c>
      <c r="E112" s="2" t="s">
        <v>720</v>
      </c>
      <c r="F112" s="2" t="s">
        <v>721</v>
      </c>
      <c r="I112" s="4">
        <v>129</v>
      </c>
      <c r="K112" s="4">
        <v>1700</v>
      </c>
      <c r="M112" s="4">
        <v>305.25</v>
      </c>
      <c r="N112" s="4">
        <v>367</v>
      </c>
      <c r="O112" s="4">
        <v>210.95</v>
      </c>
      <c r="R112" s="4">
        <v>135.15</v>
      </c>
      <c r="S112" s="4">
        <v>151.4</v>
      </c>
      <c r="T112" s="4">
        <v>761</v>
      </c>
      <c r="U112" s="4">
        <v>1133</v>
      </c>
      <c r="V112" s="4">
        <v>766.66666666666663</v>
      </c>
      <c r="W112" s="4">
        <v>536.66666666666663</v>
      </c>
      <c r="X112" s="4">
        <v>508</v>
      </c>
      <c r="Y112" s="4">
        <v>868</v>
      </c>
      <c r="Z112" s="4">
        <v>336</v>
      </c>
      <c r="AA112" s="4">
        <v>345.33333333333331</v>
      </c>
      <c r="AB112" s="4">
        <v>0</v>
      </c>
      <c r="AC112" s="4">
        <v>1.23</v>
      </c>
      <c r="AD112" s="4">
        <v>1.1850000000000001</v>
      </c>
      <c r="AF112" s="4">
        <v>0</v>
      </c>
      <c r="AG112" s="4">
        <v>257</v>
      </c>
      <c r="AH112" s="4">
        <v>210</v>
      </c>
      <c r="AI112" s="4">
        <v>9.8994949366116654</v>
      </c>
      <c r="AJ112" s="4">
        <v>19.798989873223331</v>
      </c>
      <c r="AK112" s="4">
        <v>0.91923881554251174</v>
      </c>
      <c r="AL112" s="4">
        <v>5.0911688245431419</v>
      </c>
      <c r="AM112" s="4">
        <v>3.0405591591021546</v>
      </c>
      <c r="AN112" s="4">
        <v>0.63639610306789274</v>
      </c>
      <c r="AO112" s="4">
        <v>0.42426406871192851</v>
      </c>
      <c r="AP112" s="4">
        <v>35.355339059327378</v>
      </c>
      <c r="AQ112" s="4">
        <v>414.83972808784841</v>
      </c>
      <c r="AR112" s="4">
        <v>235.2558890513335</v>
      </c>
      <c r="AS112" s="4">
        <v>81.131580369997309</v>
      </c>
      <c r="AT112" s="4">
        <v>53.028294334251406</v>
      </c>
      <c r="AU112" s="4">
        <v>207.0289834781594</v>
      </c>
      <c r="AV112" s="4">
        <v>82.213137636268328</v>
      </c>
      <c r="AW112" s="4">
        <v>129.66238210573385</v>
      </c>
      <c r="AX112" s="4">
        <v>0</v>
      </c>
      <c r="AY112" s="4">
        <v>0.2545584412271571</v>
      </c>
      <c r="AZ112" s="4">
        <v>0.70003571337468207</v>
      </c>
      <c r="BA112" s="4">
        <v>0</v>
      </c>
      <c r="BB112" s="4">
        <v>52.32590180780452</v>
      </c>
      <c r="BC112" s="4">
        <v>123.03657992645927</v>
      </c>
      <c r="BE112" s="2" t="s">
        <v>1</v>
      </c>
    </row>
    <row r="113" spans="1:57" x14ac:dyDescent="0.2">
      <c r="A113" s="2">
        <v>22</v>
      </c>
      <c r="B113" s="2" t="s">
        <v>722</v>
      </c>
      <c r="C113" s="7">
        <f>DATE(84,7,19)</f>
        <v>30882</v>
      </c>
      <c r="D113" s="2">
        <v>1134</v>
      </c>
      <c r="E113" s="2" t="s">
        <v>723</v>
      </c>
      <c r="F113" s="2" t="s">
        <v>724</v>
      </c>
      <c r="I113" s="4">
        <v>92</v>
      </c>
      <c r="K113" s="4">
        <v>1597.6666666666667</v>
      </c>
      <c r="M113" s="4">
        <v>304.63333333333333</v>
      </c>
      <c r="N113" s="4">
        <v>361.4</v>
      </c>
      <c r="O113" s="4">
        <v>210.86666666666667</v>
      </c>
      <c r="R113" s="4">
        <v>90.3</v>
      </c>
      <c r="S113" s="4">
        <v>148.36666666666667</v>
      </c>
      <c r="T113" s="4">
        <v>459.66666666666669</v>
      </c>
      <c r="U113" s="4">
        <v>626</v>
      </c>
      <c r="V113" s="4">
        <v>273.33333333333331</v>
      </c>
      <c r="W113" s="4">
        <v>177.66666666666666</v>
      </c>
      <c r="X113" s="4">
        <v>176</v>
      </c>
      <c r="Y113" s="4">
        <v>194.66666666666666</v>
      </c>
      <c r="Z113" s="4">
        <v>60.666666666666664</v>
      </c>
      <c r="AA113" s="4">
        <v>74</v>
      </c>
      <c r="AB113" s="4">
        <v>4.29</v>
      </c>
      <c r="AC113" s="4">
        <v>0.41</v>
      </c>
      <c r="AD113" s="4">
        <v>0.315</v>
      </c>
      <c r="AF113" s="4">
        <v>1029</v>
      </c>
      <c r="AG113" s="4">
        <v>86</v>
      </c>
      <c r="AH113" s="4">
        <v>56</v>
      </c>
      <c r="AI113" s="4">
        <v>4.5092497528228943</v>
      </c>
      <c r="AJ113" s="4">
        <v>6.0827625302982193</v>
      </c>
      <c r="AK113" s="4">
        <v>0.40414518843273806</v>
      </c>
      <c r="AL113" s="4">
        <v>2.3302360395462087</v>
      </c>
      <c r="AM113" s="4">
        <v>1.3316656236958786</v>
      </c>
      <c r="AN113" s="4">
        <v>78.273814267608046</v>
      </c>
      <c r="AO113" s="4">
        <v>0.83864970836060826</v>
      </c>
      <c r="AP113" s="4">
        <v>398.24908453546169</v>
      </c>
      <c r="AQ113" s="4">
        <v>75.478473752454747</v>
      </c>
      <c r="AR113" s="4">
        <v>77.313215774105103</v>
      </c>
      <c r="AS113" s="4">
        <v>28.988503468329188</v>
      </c>
      <c r="AT113" s="4">
        <v>45.431266766402189</v>
      </c>
      <c r="AU113" s="4">
        <v>21.385353243127252</v>
      </c>
      <c r="AV113" s="4">
        <v>15.88500340992514</v>
      </c>
      <c r="AW113" s="4">
        <v>21.794494717703369</v>
      </c>
      <c r="AX113" s="4">
        <v>1.2020815280171309</v>
      </c>
      <c r="AY113" s="4">
        <v>5.6568542494923803E-2</v>
      </c>
      <c r="AZ113" s="4">
        <v>2.1213203435596427E-2</v>
      </c>
      <c r="BA113" s="4">
        <v>288.49956672411139</v>
      </c>
      <c r="BB113" s="4">
        <v>11.313708498984761</v>
      </c>
      <c r="BC113" s="4">
        <v>4.2426406871192848</v>
      </c>
      <c r="BE113" s="2" t="s">
        <v>1</v>
      </c>
    </row>
    <row r="114" spans="1:57" x14ac:dyDescent="0.2">
      <c r="A114" s="2">
        <v>23</v>
      </c>
      <c r="B114" s="2" t="s">
        <v>725</v>
      </c>
      <c r="C114" s="7">
        <f>DATE(84,7,20)</f>
        <v>30883</v>
      </c>
      <c r="D114" s="2">
        <v>1615</v>
      </c>
      <c r="E114" s="2" t="s">
        <v>726</v>
      </c>
      <c r="F114" s="2" t="s">
        <v>727</v>
      </c>
      <c r="I114" s="4">
        <v>72</v>
      </c>
      <c r="K114" s="4">
        <v>1590.3333333333333</v>
      </c>
      <c r="M114" s="4">
        <v>306.60000000000002</v>
      </c>
      <c r="N114" s="4">
        <v>364.6</v>
      </c>
      <c r="O114" s="4">
        <v>212.23333333333332</v>
      </c>
      <c r="R114" s="4">
        <v>138.56666666666666</v>
      </c>
      <c r="S114" s="4">
        <v>151.16666666666666</v>
      </c>
      <c r="T114" s="4">
        <v>678</v>
      </c>
      <c r="U114" s="4">
        <v>358</v>
      </c>
      <c r="V114" s="4">
        <v>76</v>
      </c>
      <c r="W114" s="4">
        <v>95</v>
      </c>
      <c r="X114" s="4">
        <v>34</v>
      </c>
      <c r="Y114" s="4">
        <v>67.666666666666671</v>
      </c>
      <c r="Z114" s="4">
        <v>3.6666666666666665</v>
      </c>
      <c r="AA114" s="4">
        <v>8</v>
      </c>
      <c r="AB114" s="4">
        <v>0</v>
      </c>
      <c r="AC114" s="4">
        <v>0</v>
      </c>
      <c r="AD114" s="4">
        <v>0.24333333333333335</v>
      </c>
      <c r="AF114" s="4">
        <v>0</v>
      </c>
      <c r="AG114" s="4">
        <v>0</v>
      </c>
      <c r="AH114" s="4">
        <v>43.333333333333336</v>
      </c>
      <c r="AI114" s="4">
        <v>6.6583281184793925</v>
      </c>
      <c r="AJ114" s="4">
        <v>10.535653752852738</v>
      </c>
      <c r="AK114" s="4">
        <v>1.5099668870541498</v>
      </c>
      <c r="AL114" s="4">
        <v>4.1388404173149755</v>
      </c>
      <c r="AM114" s="4">
        <v>1.2220201853215573</v>
      </c>
      <c r="AN114" s="4">
        <v>2.0207259421636903</v>
      </c>
      <c r="AO114" s="4">
        <v>1.242309676905615</v>
      </c>
      <c r="AP114" s="4">
        <v>5.2915026221291814</v>
      </c>
      <c r="AQ114" s="4">
        <v>25.534290669607408</v>
      </c>
      <c r="AR114" s="4">
        <v>16.370705543744901</v>
      </c>
      <c r="AS114" s="4">
        <v>9.6436507609929549</v>
      </c>
      <c r="AT114" s="4">
        <v>9</v>
      </c>
      <c r="AU114" s="4">
        <v>17.7857620959388</v>
      </c>
      <c r="AV114" s="4">
        <v>6.3508529610858835</v>
      </c>
      <c r="AW114" s="4">
        <v>7</v>
      </c>
      <c r="AX114" s="4">
        <v>0</v>
      </c>
      <c r="AY114" s="4">
        <v>0</v>
      </c>
      <c r="AZ114" s="4">
        <v>0.23115651263447745</v>
      </c>
      <c r="BA114" s="4">
        <v>0</v>
      </c>
      <c r="BB114" s="4">
        <v>0</v>
      </c>
      <c r="BC114" s="4">
        <v>41.198705481281003</v>
      </c>
      <c r="BE114" s="2" t="s">
        <v>1</v>
      </c>
    </row>
    <row r="115" spans="1:57" x14ac:dyDescent="0.2">
      <c r="A115" s="2">
        <v>24</v>
      </c>
      <c r="B115" s="2" t="s">
        <v>728</v>
      </c>
      <c r="C115" s="7">
        <f>DATE(84,7,22)</f>
        <v>30885</v>
      </c>
      <c r="D115" s="2">
        <v>1007</v>
      </c>
      <c r="E115" s="2" t="s">
        <v>729</v>
      </c>
      <c r="F115" s="2" t="s">
        <v>730</v>
      </c>
      <c r="I115" s="4">
        <v>98.333333333333329</v>
      </c>
      <c r="K115" s="4">
        <v>1626.6666666666667</v>
      </c>
      <c r="M115" s="4">
        <v>306.89999999999998</v>
      </c>
      <c r="N115" s="4">
        <v>413.46666666666664</v>
      </c>
      <c r="O115" s="4">
        <v>214.4</v>
      </c>
      <c r="R115" s="4">
        <v>96.13333333333334</v>
      </c>
      <c r="S115" s="4">
        <v>155.06666666666666</v>
      </c>
      <c r="T115" s="4">
        <v>742</v>
      </c>
      <c r="U115" s="4">
        <v>679.33333333333337</v>
      </c>
      <c r="V115" s="4">
        <v>241.66666666666666</v>
      </c>
      <c r="W115" s="4">
        <v>307.33333333333331</v>
      </c>
      <c r="X115" s="4">
        <v>780.33333333333337</v>
      </c>
      <c r="Y115" s="4">
        <v>377.33333333333331</v>
      </c>
      <c r="Z115" s="4">
        <v>229.33333333333334</v>
      </c>
      <c r="AA115" s="4">
        <v>289.33333333333331</v>
      </c>
      <c r="AB115" s="4">
        <v>0</v>
      </c>
      <c r="AC115" s="4">
        <v>0.45</v>
      </c>
      <c r="AD115" s="4">
        <v>0.83333333333333337</v>
      </c>
      <c r="AF115" s="4">
        <v>0</v>
      </c>
      <c r="AG115" s="4">
        <v>94</v>
      </c>
      <c r="AH115" s="4">
        <v>147.66666666666666</v>
      </c>
      <c r="AI115" s="4">
        <v>2.5166114784235831</v>
      </c>
      <c r="AJ115" s="4">
        <v>2.0816659994661326</v>
      </c>
      <c r="AK115" s="4">
        <v>1.2124355652982142</v>
      </c>
      <c r="AL115" s="4">
        <v>4.9318691520896349</v>
      </c>
      <c r="AM115" s="4">
        <v>3.8974350539810154</v>
      </c>
      <c r="AN115" s="4">
        <v>83.331706650790096</v>
      </c>
      <c r="AO115" s="4">
        <v>17.951137382721278</v>
      </c>
      <c r="AP115" s="4">
        <v>26.664583251946766</v>
      </c>
      <c r="AQ115" s="4">
        <v>409.48911259438063</v>
      </c>
      <c r="AR115" s="4">
        <v>136.25833307850692</v>
      </c>
      <c r="AS115" s="4">
        <v>116.00143677271129</v>
      </c>
      <c r="AT115" s="4">
        <v>274.26690163658708</v>
      </c>
      <c r="AU115" s="4">
        <v>499.48907228620459</v>
      </c>
      <c r="AV115" s="4">
        <v>31.005375877955959</v>
      </c>
      <c r="AW115" s="4">
        <v>68.237330936470059</v>
      </c>
      <c r="AX115" s="4">
        <v>0</v>
      </c>
      <c r="AY115" s="4">
        <v>4.3588989435406733E-2</v>
      </c>
      <c r="AZ115" s="4">
        <v>0.2079262689833426</v>
      </c>
      <c r="BA115" s="4">
        <v>0</v>
      </c>
      <c r="BB115" s="4">
        <v>8.717797887081348</v>
      </c>
      <c r="BC115" s="4">
        <v>37.233497463081996</v>
      </c>
      <c r="BE115" s="2" t="s">
        <v>1</v>
      </c>
    </row>
    <row r="116" spans="1:57" x14ac:dyDescent="0.2">
      <c r="A116" s="2">
        <v>25</v>
      </c>
      <c r="B116" s="2" t="s">
        <v>731</v>
      </c>
      <c r="C116" s="7">
        <f>DATE(84,7,23)</f>
        <v>30886</v>
      </c>
      <c r="D116" s="2">
        <v>1043</v>
      </c>
      <c r="E116" s="2" t="s">
        <v>688</v>
      </c>
      <c r="F116" s="2" t="s">
        <v>732</v>
      </c>
      <c r="I116" s="4">
        <v>88.333333333333329</v>
      </c>
      <c r="K116" s="4">
        <v>1598</v>
      </c>
      <c r="M116" s="4">
        <v>305.76666666666665</v>
      </c>
      <c r="N116" s="4">
        <v>367.56666666666666</v>
      </c>
      <c r="O116" s="4">
        <v>213.3</v>
      </c>
      <c r="R116" s="4">
        <v>143.1</v>
      </c>
      <c r="S116" s="4">
        <v>149.6</v>
      </c>
      <c r="T116" s="4">
        <v>743.66666666666663</v>
      </c>
      <c r="U116" s="4">
        <v>375.66666666666669</v>
      </c>
      <c r="V116" s="4">
        <v>307</v>
      </c>
      <c r="W116" s="4">
        <v>120.33333333333333</v>
      </c>
      <c r="X116" s="4">
        <v>70.666666666666671</v>
      </c>
      <c r="Y116" s="4">
        <v>226.66666666666666</v>
      </c>
      <c r="Z116" s="4">
        <v>35.333333333333336</v>
      </c>
      <c r="AA116" s="4">
        <v>36.333333333333336</v>
      </c>
      <c r="AB116" s="4">
        <v>5.6766666666666667</v>
      </c>
      <c r="AC116" s="4">
        <v>0.1</v>
      </c>
      <c r="AD116" s="4">
        <v>0.32333333333333331</v>
      </c>
      <c r="AF116" s="4">
        <v>1360.6666666666667</v>
      </c>
      <c r="AG116" s="4">
        <v>20.666666666666668</v>
      </c>
      <c r="AH116" s="4">
        <v>56.666666666666664</v>
      </c>
      <c r="AI116" s="4">
        <v>1</v>
      </c>
      <c r="AJ116" s="4">
        <v>8.0829037686547611</v>
      </c>
      <c r="AK116" s="4">
        <v>1.242309676905615</v>
      </c>
      <c r="AL116" s="4">
        <v>2.5813433195399123</v>
      </c>
      <c r="AM116" s="4">
        <v>0.69282032302755092</v>
      </c>
      <c r="AN116" s="4">
        <v>4.8815980989835692</v>
      </c>
      <c r="AO116" s="4">
        <v>1.6522711641858305</v>
      </c>
      <c r="AP116" s="4">
        <v>25.579940057266228</v>
      </c>
      <c r="AQ116" s="4">
        <v>14.502873278538061</v>
      </c>
      <c r="AR116" s="4">
        <v>116.50321883965266</v>
      </c>
      <c r="AS116" s="4">
        <v>6.8068592855540455</v>
      </c>
      <c r="AT116" s="4">
        <v>3.7859388972001824</v>
      </c>
      <c r="AU116" s="4">
        <v>66.108496680330987</v>
      </c>
      <c r="AV116" s="4">
        <v>8.0829037686547611</v>
      </c>
      <c r="AW116" s="4">
        <v>2.5166114784235831</v>
      </c>
      <c r="AX116" s="4">
        <v>1.397652794270928</v>
      </c>
      <c r="AY116" s="4">
        <v>0.17320508075688773</v>
      </c>
      <c r="AZ116" s="4">
        <v>6.0277137733417079E-2</v>
      </c>
      <c r="BA116" s="4">
        <v>334.50610358158389</v>
      </c>
      <c r="BB116" s="4">
        <v>35.795716689756794</v>
      </c>
      <c r="BC116" s="4">
        <v>11.060440015358038</v>
      </c>
      <c r="BE116" s="2" t="s">
        <v>1</v>
      </c>
    </row>
    <row r="117" spans="1:57" x14ac:dyDescent="0.2">
      <c r="A117" s="2">
        <v>26</v>
      </c>
      <c r="B117" s="2" t="s">
        <v>733</v>
      </c>
      <c r="C117" s="7">
        <f>DATE(84,7,27)</f>
        <v>30890</v>
      </c>
      <c r="D117" s="8" t="s">
        <v>734</v>
      </c>
      <c r="E117" s="2" t="s">
        <v>735</v>
      </c>
      <c r="F117" s="2" t="s">
        <v>736</v>
      </c>
      <c r="I117" s="4">
        <v>210.66666666666666</v>
      </c>
      <c r="K117" s="4">
        <v>2516.6666666666665</v>
      </c>
      <c r="M117" s="4">
        <v>309</v>
      </c>
      <c r="N117" s="4">
        <v>369.33333333333331</v>
      </c>
      <c r="O117" s="4">
        <v>212.66666666666666</v>
      </c>
      <c r="R117" s="4">
        <v>140.19999999999999</v>
      </c>
      <c r="S117" s="4">
        <v>148.63333333333333</v>
      </c>
      <c r="T117" s="4">
        <v>732.66666666666663</v>
      </c>
      <c r="U117" s="4">
        <v>1852</v>
      </c>
      <c r="V117" s="4">
        <v>712.33333333333337</v>
      </c>
      <c r="W117" s="4">
        <v>802</v>
      </c>
      <c r="X117" s="4">
        <v>3892.3333333333335</v>
      </c>
      <c r="Y117" s="4">
        <v>346.66666666666669</v>
      </c>
      <c r="Z117" s="4">
        <v>2588.6666666666665</v>
      </c>
      <c r="AA117" s="4">
        <v>3012</v>
      </c>
      <c r="AB117" s="4">
        <v>6.19</v>
      </c>
      <c r="AC117" s="4">
        <v>2.99</v>
      </c>
      <c r="AD117" s="4">
        <v>2.8566666666666665</v>
      </c>
      <c r="AF117" s="4">
        <v>1483.6666666666667</v>
      </c>
      <c r="AG117" s="4">
        <v>624.66666666666663</v>
      </c>
      <c r="AH117" s="4">
        <v>506.33333333333331</v>
      </c>
      <c r="AI117" s="4">
        <v>263.40526443739378</v>
      </c>
      <c r="AJ117" s="4">
        <v>24.542480178933289</v>
      </c>
      <c r="AK117" s="4">
        <v>3.9127995093027703</v>
      </c>
      <c r="AL117" s="4">
        <v>7.9412425560067952</v>
      </c>
      <c r="AM117" s="4">
        <v>2.0550750189064471</v>
      </c>
      <c r="AN117" s="4">
        <v>2.5865034312755126</v>
      </c>
      <c r="AO117" s="4">
        <v>1.7009801096230766</v>
      </c>
      <c r="AP117" s="4">
        <v>28.88482877451991</v>
      </c>
      <c r="AQ117" s="4">
        <v>818.94016875471436</v>
      </c>
      <c r="AR117" s="4">
        <v>228.39512545878324</v>
      </c>
      <c r="AS117" s="4">
        <v>355.38711287833723</v>
      </c>
      <c r="AT117" s="4">
        <v>4050.4292776609905</v>
      </c>
      <c r="AU117" s="4">
        <v>61.435603141283906</v>
      </c>
      <c r="AV117" s="4">
        <v>2673.3144845553306</v>
      </c>
      <c r="AW117" s="4">
        <v>2852.8980002797157</v>
      </c>
      <c r="AX117" s="4">
        <v>1.0470434565957614</v>
      </c>
      <c r="AY117" s="4">
        <v>0.80876448982382998</v>
      </c>
      <c r="AZ117" s="4">
        <v>0.33531080109852313</v>
      </c>
      <c r="BA117" s="4">
        <v>251.06639228166986</v>
      </c>
      <c r="BB117" s="4">
        <v>168.71672511441577</v>
      </c>
      <c r="BC117" s="4">
        <v>59.070579253409505</v>
      </c>
      <c r="BE117" s="2" t="s">
        <v>1</v>
      </c>
    </row>
    <row r="118" spans="1:57" x14ac:dyDescent="0.2">
      <c r="C118" s="7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</row>
    <row r="119" spans="1:57" x14ac:dyDescent="0.2">
      <c r="C119" s="7"/>
      <c r="I119" s="8" t="s">
        <v>118</v>
      </c>
      <c r="K119" s="8" t="s">
        <v>123</v>
      </c>
      <c r="M119" s="8" t="s">
        <v>138</v>
      </c>
      <c r="N119" s="8" t="s">
        <v>136</v>
      </c>
      <c r="O119" s="8" t="s">
        <v>130</v>
      </c>
      <c r="R119" s="8" t="s">
        <v>121</v>
      </c>
      <c r="S119" s="8" t="s">
        <v>112</v>
      </c>
      <c r="T119" s="8" t="s">
        <v>115</v>
      </c>
      <c r="U119" s="8" t="s">
        <v>126</v>
      </c>
      <c r="V119" s="8" t="s">
        <v>122</v>
      </c>
      <c r="W119" s="8" t="s">
        <v>113</v>
      </c>
      <c r="X119" s="8" t="s">
        <v>131</v>
      </c>
      <c r="Y119" s="8" t="s">
        <v>129</v>
      </c>
      <c r="Z119" s="8" t="s">
        <v>149</v>
      </c>
      <c r="AA119" s="8" t="s">
        <v>151</v>
      </c>
      <c r="AB119" s="8" t="s">
        <v>116</v>
      </c>
      <c r="AC119" s="8" t="s">
        <v>132</v>
      </c>
      <c r="AD119" s="8" t="s">
        <v>135</v>
      </c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BC119" s="2" t="s">
        <v>1</v>
      </c>
    </row>
    <row r="120" spans="1:57" x14ac:dyDescent="0.2">
      <c r="C120" s="7"/>
      <c r="I120" s="8" t="s">
        <v>266</v>
      </c>
      <c r="K120" s="8" t="s">
        <v>266</v>
      </c>
      <c r="M120" s="8" t="s">
        <v>266</v>
      </c>
      <c r="N120" s="8" t="s">
        <v>144</v>
      </c>
      <c r="O120" s="8" t="s">
        <v>144</v>
      </c>
      <c r="R120" s="8" t="s">
        <v>144</v>
      </c>
      <c r="S120" s="8" t="s">
        <v>144</v>
      </c>
      <c r="T120" s="8" t="s">
        <v>144</v>
      </c>
      <c r="U120" s="8" t="s">
        <v>144</v>
      </c>
      <c r="V120" s="8" t="s">
        <v>144</v>
      </c>
      <c r="W120" s="8" t="s">
        <v>144</v>
      </c>
      <c r="X120" s="8" t="s">
        <v>144</v>
      </c>
      <c r="Y120" s="8" t="s">
        <v>144</v>
      </c>
      <c r="Z120" s="8" t="s">
        <v>144</v>
      </c>
      <c r="AA120" s="8" t="s">
        <v>144</v>
      </c>
      <c r="AB120" s="8" t="s">
        <v>635</v>
      </c>
      <c r="AC120" s="8" t="s">
        <v>635</v>
      </c>
      <c r="AD120" s="8" t="s">
        <v>635</v>
      </c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BC120" s="2" t="s">
        <v>1</v>
      </c>
    </row>
    <row r="121" spans="1:57" x14ac:dyDescent="0.2">
      <c r="B121" s="2" t="s">
        <v>363</v>
      </c>
      <c r="C121" s="7">
        <f>AVERAGE(C100:C117)</f>
        <v>30866</v>
      </c>
      <c r="D121" s="4">
        <f>AVERAGE(D100:D117)</f>
        <v>1291.1176470588234</v>
      </c>
      <c r="E121" s="4"/>
      <c r="F121" s="4"/>
      <c r="I121" s="4">
        <f>AVERAGE(I100:I117)</f>
        <v>122.09629629629629</v>
      </c>
      <c r="J121" s="4"/>
      <c r="K121" s="4">
        <f>AVERAGE(K100:K117)</f>
        <v>1680.525925925926</v>
      </c>
      <c r="L121" s="4"/>
      <c r="M121" s="4">
        <f>AVERAGE(M100:M117)</f>
        <v>306.75388888888887</v>
      </c>
      <c r="N121" s="4">
        <f>AVERAGE(N100:N117)</f>
        <v>367.81962962962956</v>
      </c>
      <c r="O121" s="4">
        <f>AVERAGE(O100:O117)</f>
        <v>213.3772222222222</v>
      </c>
      <c r="P121" s="4"/>
      <c r="Q121" s="4"/>
      <c r="R121" s="4">
        <f t="shared" ref="R121:AC121" si="12">AVERAGE(R100:R117)</f>
        <v>135.39944444444441</v>
      </c>
      <c r="S121" s="4">
        <f t="shared" si="12"/>
        <v>150.90925925925924</v>
      </c>
      <c r="T121" s="4">
        <f t="shared" si="12"/>
        <v>796.08333333333314</v>
      </c>
      <c r="U121" s="4">
        <f t="shared" si="12"/>
        <v>726.61481481481474</v>
      </c>
      <c r="V121" s="4">
        <f t="shared" si="12"/>
        <v>348.61111111111109</v>
      </c>
      <c r="W121" s="4">
        <f t="shared" si="12"/>
        <v>262.12592592592591</v>
      </c>
      <c r="X121" s="4">
        <f t="shared" si="12"/>
        <v>425.55555555555554</v>
      </c>
      <c r="Y121" s="4">
        <f t="shared" si="12"/>
        <v>298.91111111111121</v>
      </c>
      <c r="Z121" s="4">
        <f t="shared" si="12"/>
        <v>244.55185185185186</v>
      </c>
      <c r="AA121" s="4">
        <f t="shared" si="12"/>
        <v>305.00740740740741</v>
      </c>
      <c r="AB121" s="4">
        <f t="shared" si="12"/>
        <v>9.6139629629629653</v>
      </c>
      <c r="AC121" s="4">
        <f t="shared" si="12"/>
        <v>0.62485185185185188</v>
      </c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BC121" s="2" t="s">
        <v>1</v>
      </c>
    </row>
    <row r="122" spans="1:57" x14ac:dyDescent="0.2">
      <c r="B122" s="2" t="s">
        <v>364</v>
      </c>
      <c r="C122" s="4"/>
      <c r="D122" s="4">
        <f>STDEV(D100:D117)</f>
        <v>251.0141635328923</v>
      </c>
      <c r="E122" s="4"/>
      <c r="F122" s="4"/>
      <c r="I122" s="4">
        <f>STDEV(I100:I117)</f>
        <v>39.728485177455276</v>
      </c>
      <c r="J122" s="4"/>
      <c r="K122" s="4">
        <f>STDEV(K100:K117)</f>
        <v>218.51171804343824</v>
      </c>
      <c r="L122" s="4"/>
      <c r="M122" s="4">
        <f>STDEV(M100:M117)</f>
        <v>1.3493538758802119</v>
      </c>
      <c r="N122" s="4">
        <f>STDEV(N100:N117)</f>
        <v>12.469706344791957</v>
      </c>
      <c r="O122" s="4">
        <f>STDEV(O100:O117)</f>
        <v>3.1114891985478228</v>
      </c>
      <c r="P122" s="4"/>
      <c r="Q122" s="4"/>
      <c r="R122" s="4">
        <f t="shared" ref="R122:AC122" si="13">STDEV(R100:R117)</f>
        <v>15.928137812783266</v>
      </c>
      <c r="S122" s="4">
        <f t="shared" si="13"/>
        <v>1.6225456298630403</v>
      </c>
      <c r="T122" s="4">
        <f t="shared" si="13"/>
        <v>220.79393470226398</v>
      </c>
      <c r="U122" s="4">
        <f t="shared" si="13"/>
        <v>638.74170526287128</v>
      </c>
      <c r="V122" s="4">
        <f t="shared" si="13"/>
        <v>295.23461923046375</v>
      </c>
      <c r="W122" s="4">
        <f t="shared" si="13"/>
        <v>244.00215994853352</v>
      </c>
      <c r="X122" s="4">
        <f t="shared" si="13"/>
        <v>917.83163050789688</v>
      </c>
      <c r="Y122" s="4">
        <f t="shared" si="13"/>
        <v>291.43826530443818</v>
      </c>
      <c r="Z122" s="4">
        <f t="shared" si="13"/>
        <v>608.80817623770884</v>
      </c>
      <c r="AA122" s="4">
        <f t="shared" si="13"/>
        <v>716.87562366925533</v>
      </c>
      <c r="AB122" s="4">
        <f t="shared" si="13"/>
        <v>9.9380216110165094</v>
      </c>
      <c r="AC122" s="4">
        <f t="shared" si="13"/>
        <v>0.77615825505614111</v>
      </c>
      <c r="BC122" s="2" t="s">
        <v>1</v>
      </c>
    </row>
    <row r="123" spans="1:57" x14ac:dyDescent="0.2">
      <c r="B123" s="2" t="s">
        <v>365</v>
      </c>
      <c r="D123" s="2">
        <f>COUNTA(D100:D117)</f>
        <v>18</v>
      </c>
      <c r="I123" s="2">
        <f>COUNTA(I100:I117)</f>
        <v>18</v>
      </c>
      <c r="K123" s="2">
        <f>COUNTA(K100:K117)</f>
        <v>18</v>
      </c>
      <c r="M123" s="2">
        <f>COUNTA(M100:M117)</f>
        <v>18</v>
      </c>
      <c r="N123" s="2">
        <f>COUNTA(N100:N117)</f>
        <v>18</v>
      </c>
      <c r="O123" s="2">
        <f>COUNTA(O100:O117)</f>
        <v>18</v>
      </c>
      <c r="R123" s="2">
        <f t="shared" ref="R123:AC123" si="14">COUNTA(R100:R117)</f>
        <v>18</v>
      </c>
      <c r="S123" s="2">
        <f t="shared" si="14"/>
        <v>18</v>
      </c>
      <c r="T123" s="2">
        <f t="shared" si="14"/>
        <v>18</v>
      </c>
      <c r="U123" s="2">
        <f t="shared" si="14"/>
        <v>18</v>
      </c>
      <c r="V123" s="2">
        <f t="shared" si="14"/>
        <v>18</v>
      </c>
      <c r="W123" s="2">
        <f t="shared" si="14"/>
        <v>18</v>
      </c>
      <c r="X123" s="2">
        <f t="shared" si="14"/>
        <v>18</v>
      </c>
      <c r="Y123" s="2">
        <f t="shared" si="14"/>
        <v>18</v>
      </c>
      <c r="Z123" s="2">
        <f t="shared" si="14"/>
        <v>18</v>
      </c>
      <c r="AA123" s="2">
        <f t="shared" si="14"/>
        <v>18</v>
      </c>
      <c r="AB123" s="2">
        <f t="shared" si="14"/>
        <v>18</v>
      </c>
      <c r="AC123" s="2">
        <f t="shared" si="14"/>
        <v>18</v>
      </c>
      <c r="BC123" s="2" t="s">
        <v>1</v>
      </c>
    </row>
    <row r="124" spans="1:57" x14ac:dyDescent="0.2">
      <c r="BC124" s="2" t="s">
        <v>1</v>
      </c>
    </row>
    <row r="125" spans="1:57" x14ac:dyDescent="0.2">
      <c r="A125" s="2" t="s">
        <v>737</v>
      </c>
      <c r="E125" s="2" t="s">
        <v>738</v>
      </c>
      <c r="BC125" s="2" t="s">
        <v>1</v>
      </c>
    </row>
    <row r="126" spans="1:57" x14ac:dyDescent="0.2">
      <c r="B126" s="2" t="s">
        <v>682</v>
      </c>
      <c r="C126" s="15" t="s">
        <v>253</v>
      </c>
      <c r="D126" s="8" t="s">
        <v>286</v>
      </c>
      <c r="J126" s="8" t="s">
        <v>118</v>
      </c>
      <c r="K126" s="8" t="s">
        <v>123</v>
      </c>
      <c r="L126" s="8" t="s">
        <v>134</v>
      </c>
      <c r="BC126" s="2" t="s">
        <v>1</v>
      </c>
    </row>
    <row r="127" spans="1:57" x14ac:dyDescent="0.2">
      <c r="J127" s="8" t="s">
        <v>266</v>
      </c>
      <c r="K127" s="8" t="s">
        <v>266</v>
      </c>
      <c r="L127" s="8" t="s">
        <v>371</v>
      </c>
      <c r="BC127" s="2" t="s">
        <v>1</v>
      </c>
    </row>
    <row r="128" spans="1:57" x14ac:dyDescent="0.2">
      <c r="BC128" s="2" t="s">
        <v>1</v>
      </c>
    </row>
    <row r="129" spans="1:55" x14ac:dyDescent="0.2">
      <c r="A129" s="2">
        <v>63</v>
      </c>
      <c r="B129" s="2" t="s">
        <v>739</v>
      </c>
      <c r="C129" s="7">
        <f>DATE(92,9,23)</f>
        <v>33870</v>
      </c>
      <c r="D129" s="2">
        <v>930</v>
      </c>
      <c r="J129" s="2">
        <v>180</v>
      </c>
      <c r="K129" s="2">
        <v>2065</v>
      </c>
      <c r="L129" s="2">
        <v>447</v>
      </c>
      <c r="BC129" s="2" t="s">
        <v>1</v>
      </c>
    </row>
    <row r="130" spans="1:55" x14ac:dyDescent="0.2">
      <c r="A130" s="2">
        <v>64</v>
      </c>
      <c r="B130" s="2" t="s">
        <v>740</v>
      </c>
      <c r="C130" s="7">
        <f>DATE(92,9,23)</f>
        <v>33870</v>
      </c>
      <c r="D130" s="2">
        <v>1000</v>
      </c>
      <c r="J130" s="2">
        <v>196</v>
      </c>
      <c r="K130" s="2">
        <v>2059</v>
      </c>
      <c r="L130" s="2">
        <v>360</v>
      </c>
      <c r="BC130" s="2" t="s">
        <v>1</v>
      </c>
    </row>
    <row r="131" spans="1:55" x14ac:dyDescent="0.2">
      <c r="A131" s="2">
        <v>66</v>
      </c>
      <c r="B131" s="2" t="s">
        <v>741</v>
      </c>
      <c r="C131" s="7">
        <f>DATE(92,9,23)</f>
        <v>33870</v>
      </c>
      <c r="D131" s="2">
        <v>1000</v>
      </c>
      <c r="J131" s="2">
        <v>387</v>
      </c>
      <c r="K131" s="2">
        <v>8105</v>
      </c>
      <c r="L131" s="2">
        <v>490</v>
      </c>
      <c r="BC131" s="2" t="s">
        <v>1</v>
      </c>
    </row>
    <row r="132" spans="1:55" x14ac:dyDescent="0.2">
      <c r="A132" s="2">
        <v>67</v>
      </c>
      <c r="B132" s="2" t="s">
        <v>742</v>
      </c>
      <c r="C132" s="7">
        <f>DATE(92,9,23)</f>
        <v>33870</v>
      </c>
      <c r="D132" s="2">
        <v>1100</v>
      </c>
      <c r="J132" s="2">
        <v>195</v>
      </c>
      <c r="K132" s="2">
        <v>1845</v>
      </c>
      <c r="L132" s="2">
        <v>354</v>
      </c>
      <c r="BC132" s="2" t="s">
        <v>1</v>
      </c>
    </row>
    <row r="133" spans="1:55" x14ac:dyDescent="0.2">
      <c r="A133" s="2">
        <v>68</v>
      </c>
      <c r="B133" s="2" t="s">
        <v>743</v>
      </c>
      <c r="C133" s="7">
        <f>DATE(92,9,23)</f>
        <v>33870</v>
      </c>
      <c r="D133" s="2">
        <v>1100</v>
      </c>
      <c r="J133" s="2">
        <v>632</v>
      </c>
      <c r="K133" s="2">
        <v>2039</v>
      </c>
      <c r="L133" s="2">
        <v>371</v>
      </c>
      <c r="BC133" s="2" t="s">
        <v>1</v>
      </c>
    </row>
    <row r="134" spans="1:55" x14ac:dyDescent="0.2">
      <c r="A134" s="2">
        <v>86</v>
      </c>
      <c r="B134" s="2" t="s">
        <v>744</v>
      </c>
      <c r="C134" s="7">
        <f>DATE(92,9,24)</f>
        <v>33871</v>
      </c>
      <c r="D134" s="2">
        <v>945</v>
      </c>
      <c r="J134" s="2">
        <v>207</v>
      </c>
      <c r="K134" s="2">
        <v>1788</v>
      </c>
      <c r="L134" s="2">
        <v>389</v>
      </c>
      <c r="BC134" s="2" t="s">
        <v>1</v>
      </c>
    </row>
    <row r="135" spans="1:55" x14ac:dyDescent="0.2">
      <c r="A135" s="2">
        <v>88</v>
      </c>
      <c r="B135" s="2" t="s">
        <v>745</v>
      </c>
      <c r="C135" s="7">
        <f>DATE(92,9,24)</f>
        <v>33871</v>
      </c>
      <c r="D135" s="2">
        <v>1005</v>
      </c>
      <c r="J135" s="2">
        <v>679</v>
      </c>
      <c r="K135" s="2">
        <v>2430</v>
      </c>
      <c r="L135" s="2">
        <v>310</v>
      </c>
      <c r="BC135" s="2" t="s">
        <v>1</v>
      </c>
    </row>
    <row r="136" spans="1:55" x14ac:dyDescent="0.2">
      <c r="A136" s="2">
        <v>89</v>
      </c>
      <c r="B136" s="2" t="s">
        <v>746</v>
      </c>
      <c r="C136" s="7">
        <f>DATE(92,9,24)</f>
        <v>33871</v>
      </c>
      <c r="D136" s="2">
        <v>1105</v>
      </c>
      <c r="J136" s="2">
        <v>208</v>
      </c>
      <c r="K136" s="2">
        <v>3390</v>
      </c>
      <c r="L136" s="2">
        <v>367</v>
      </c>
      <c r="BC136" s="2" t="s">
        <v>1</v>
      </c>
    </row>
    <row r="137" spans="1:55" x14ac:dyDescent="0.2">
      <c r="A137" s="2">
        <v>90</v>
      </c>
      <c r="B137" s="2" t="s">
        <v>747</v>
      </c>
      <c r="C137" s="7">
        <f>DATE(92,9,24)</f>
        <v>33871</v>
      </c>
      <c r="D137" s="2">
        <v>1105</v>
      </c>
      <c r="J137" s="2">
        <v>902</v>
      </c>
      <c r="K137" s="2">
        <v>3052</v>
      </c>
      <c r="L137" s="2">
        <v>393</v>
      </c>
      <c r="BC137" s="2" t="s">
        <v>1</v>
      </c>
    </row>
    <row r="138" spans="1:55" x14ac:dyDescent="0.2">
      <c r="A138" s="2">
        <v>91</v>
      </c>
      <c r="B138" s="2" t="s">
        <v>748</v>
      </c>
      <c r="C138" s="7">
        <f>DATE(92,9,24)</f>
        <v>33871</v>
      </c>
      <c r="D138" s="2">
        <v>1200</v>
      </c>
      <c r="J138" s="2">
        <v>652</v>
      </c>
      <c r="K138" s="2">
        <v>44703</v>
      </c>
      <c r="L138" s="2">
        <v>429</v>
      </c>
      <c r="BC138" s="2" t="s">
        <v>1</v>
      </c>
    </row>
    <row r="139" spans="1:55" x14ac:dyDescent="0.2">
      <c r="A139" s="2">
        <v>94</v>
      </c>
      <c r="B139" s="2" t="s">
        <v>749</v>
      </c>
      <c r="C139" s="7">
        <f t="shared" ref="C139:C145" si="15">DATE(92,9,25)</f>
        <v>33872</v>
      </c>
      <c r="D139" s="2">
        <v>925</v>
      </c>
      <c r="J139" s="2">
        <v>286</v>
      </c>
      <c r="K139" s="2">
        <v>1902</v>
      </c>
      <c r="L139" s="2">
        <v>393</v>
      </c>
      <c r="BC139" s="2" t="s">
        <v>1</v>
      </c>
    </row>
    <row r="140" spans="1:55" x14ac:dyDescent="0.2">
      <c r="A140" s="2">
        <v>95</v>
      </c>
      <c r="B140" s="2" t="s">
        <v>750</v>
      </c>
      <c r="C140" s="7">
        <f t="shared" si="15"/>
        <v>33872</v>
      </c>
      <c r="D140" s="2">
        <v>925</v>
      </c>
      <c r="J140" s="2">
        <v>475</v>
      </c>
      <c r="K140" s="2">
        <v>2209</v>
      </c>
      <c r="L140" s="2">
        <v>524</v>
      </c>
      <c r="BC140" s="2" t="s">
        <v>1</v>
      </c>
    </row>
    <row r="141" spans="1:55" x14ac:dyDescent="0.2">
      <c r="A141" s="2">
        <v>96</v>
      </c>
      <c r="B141" s="2" t="s">
        <v>751</v>
      </c>
      <c r="C141" s="7">
        <f t="shared" si="15"/>
        <v>33872</v>
      </c>
      <c r="D141" s="2">
        <v>1025</v>
      </c>
      <c r="J141" s="2">
        <v>301</v>
      </c>
      <c r="K141" s="2">
        <v>1884</v>
      </c>
      <c r="L141" s="2">
        <v>367</v>
      </c>
      <c r="BC141" s="2" t="s">
        <v>1</v>
      </c>
    </row>
    <row r="142" spans="1:55" x14ac:dyDescent="0.2">
      <c r="A142" s="2">
        <v>97</v>
      </c>
      <c r="B142" s="2" t="s">
        <v>752</v>
      </c>
      <c r="C142" s="7">
        <f t="shared" si="15"/>
        <v>33872</v>
      </c>
      <c r="D142" s="2">
        <v>1025</v>
      </c>
      <c r="J142" s="2">
        <v>622</v>
      </c>
      <c r="K142" s="2">
        <v>2148</v>
      </c>
      <c r="L142" s="2">
        <v>428</v>
      </c>
      <c r="BC142" s="2" t="s">
        <v>1</v>
      </c>
    </row>
    <row r="143" spans="1:55" x14ac:dyDescent="0.2">
      <c r="A143" s="2">
        <v>98</v>
      </c>
      <c r="B143" s="2" t="s">
        <v>753</v>
      </c>
      <c r="C143" s="7">
        <f t="shared" si="15"/>
        <v>33872</v>
      </c>
      <c r="D143" s="2">
        <v>1125</v>
      </c>
      <c r="J143" s="2">
        <v>338</v>
      </c>
      <c r="K143" s="2">
        <v>3407</v>
      </c>
      <c r="L143" s="2">
        <v>367</v>
      </c>
      <c r="BC143" s="2" t="s">
        <v>1</v>
      </c>
    </row>
    <row r="144" spans="1:55" x14ac:dyDescent="0.2">
      <c r="A144" s="2">
        <v>99</v>
      </c>
      <c r="B144" s="2" t="s">
        <v>754</v>
      </c>
      <c r="C144" s="7">
        <f t="shared" si="15"/>
        <v>33872</v>
      </c>
      <c r="D144" s="2">
        <v>1125</v>
      </c>
      <c r="J144" s="2">
        <v>898</v>
      </c>
      <c r="K144" s="2">
        <v>4649</v>
      </c>
      <c r="L144" s="2">
        <v>487</v>
      </c>
      <c r="BC144" s="2" t="s">
        <v>1</v>
      </c>
    </row>
    <row r="145" spans="1:55" x14ac:dyDescent="0.2">
      <c r="A145" s="2">
        <v>100</v>
      </c>
      <c r="B145" s="2" t="s">
        <v>755</v>
      </c>
      <c r="C145" s="7">
        <f t="shared" si="15"/>
        <v>33872</v>
      </c>
      <c r="D145" s="2">
        <v>1230</v>
      </c>
      <c r="J145" s="2">
        <v>514</v>
      </c>
      <c r="K145" s="2">
        <v>3288</v>
      </c>
      <c r="L145" s="2">
        <v>380</v>
      </c>
      <c r="BC145" s="2" t="s">
        <v>1</v>
      </c>
    </row>
    <row r="146" spans="1:55" x14ac:dyDescent="0.2">
      <c r="C146" s="7"/>
    </row>
    <row r="147" spans="1:55" x14ac:dyDescent="0.2">
      <c r="C147" s="7"/>
      <c r="J147" s="8" t="s">
        <v>118</v>
      </c>
      <c r="K147" s="8" t="s">
        <v>123</v>
      </c>
      <c r="L147" s="8" t="s">
        <v>134</v>
      </c>
    </row>
    <row r="148" spans="1:55" x14ac:dyDescent="0.2">
      <c r="C148" s="7"/>
      <c r="J148" s="8" t="s">
        <v>266</v>
      </c>
      <c r="K148" s="8" t="s">
        <v>266</v>
      </c>
      <c r="L148" s="8" t="s">
        <v>371</v>
      </c>
    </row>
    <row r="149" spans="1:55" x14ac:dyDescent="0.2">
      <c r="B149" s="2" t="s">
        <v>363</v>
      </c>
      <c r="C149" s="7">
        <f>AVERAGE(C129:C145)</f>
        <v>33871.117647058825</v>
      </c>
      <c r="D149" s="4">
        <f>AVERAGE(D129:D145)</f>
        <v>1051.1764705882354</v>
      </c>
      <c r="E149" s="4"/>
      <c r="F149" s="4"/>
      <c r="J149" s="4">
        <f>AVERAGE(J129:J145)</f>
        <v>451.29411764705884</v>
      </c>
      <c r="K149" s="4">
        <f>AVERAGE(K129:K145)</f>
        <v>5350.7647058823532</v>
      </c>
      <c r="L149" s="4">
        <f>AVERAGE(L129:L145)</f>
        <v>403.29411764705884</v>
      </c>
    </row>
    <row r="150" spans="1:55" x14ac:dyDescent="0.2">
      <c r="B150" s="2" t="s">
        <v>364</v>
      </c>
      <c r="C150" s="4"/>
      <c r="D150" s="4">
        <f>STDEV(D129:D145)</f>
        <v>94.249161331890406</v>
      </c>
      <c r="E150" s="4"/>
      <c r="F150" s="4"/>
      <c r="J150" s="4">
        <f>STDEV(J129:J145)</f>
        <v>243.83876965781158</v>
      </c>
      <c r="K150" s="4">
        <f>STDEV(K129:K145)</f>
        <v>10259.123875418236</v>
      </c>
      <c r="L150" s="4">
        <f>STDEV(L129:L145)</f>
        <v>56.589270963984866</v>
      </c>
    </row>
    <row r="151" spans="1:55" x14ac:dyDescent="0.2">
      <c r="B151" s="2" t="s">
        <v>365</v>
      </c>
      <c r="D151" s="2">
        <f>COUNTA(D129:D145)</f>
        <v>17</v>
      </c>
      <c r="J151" s="2">
        <f>COUNTA(J129:J145)</f>
        <v>17</v>
      </c>
      <c r="K151" s="2">
        <f>COUNTA(K129:K145)</f>
        <v>17</v>
      </c>
      <c r="L151" s="2">
        <f>COUNTA(L129:L145)</f>
        <v>17</v>
      </c>
    </row>
    <row r="152" spans="1:55" x14ac:dyDescent="0.2">
      <c r="C152" s="7"/>
    </row>
    <row r="153" spans="1:55" x14ac:dyDescent="0.2">
      <c r="C153" s="7"/>
    </row>
    <row r="154" spans="1:55" x14ac:dyDescent="0.2">
      <c r="BC154" s="2" t="s">
        <v>1</v>
      </c>
    </row>
    <row r="155" spans="1:55" x14ac:dyDescent="0.2">
      <c r="A155" s="2" t="s">
        <v>756</v>
      </c>
      <c r="BC155" s="2" t="s">
        <v>1</v>
      </c>
    </row>
    <row r="156" spans="1:55" x14ac:dyDescent="0.2">
      <c r="B156" s="2" t="s">
        <v>682</v>
      </c>
      <c r="C156" s="21" t="s">
        <v>253</v>
      </c>
      <c r="D156" s="8" t="s">
        <v>286</v>
      </c>
      <c r="E156" s="2" t="s">
        <v>624</v>
      </c>
      <c r="J156" s="8" t="s">
        <v>118</v>
      </c>
      <c r="K156" s="8" t="s">
        <v>123</v>
      </c>
      <c r="L156" s="8" t="s">
        <v>134</v>
      </c>
      <c r="AB156" s="8" t="s">
        <v>146</v>
      </c>
      <c r="BC156" s="2" t="s">
        <v>1</v>
      </c>
    </row>
    <row r="157" spans="1:55" x14ac:dyDescent="0.2">
      <c r="J157" s="8" t="s">
        <v>266</v>
      </c>
      <c r="K157" s="8" t="s">
        <v>266</v>
      </c>
      <c r="L157" s="8" t="s">
        <v>371</v>
      </c>
      <c r="AB157" s="8" t="s">
        <v>426</v>
      </c>
      <c r="BC157" s="2" t="s">
        <v>1</v>
      </c>
    </row>
    <row r="158" spans="1:55" x14ac:dyDescent="0.2">
      <c r="BC158" s="2" t="s">
        <v>1</v>
      </c>
    </row>
    <row r="159" spans="1:55" x14ac:dyDescent="0.2">
      <c r="B159" s="2" t="s">
        <v>757</v>
      </c>
      <c r="C159" s="7">
        <f>DATE(93,1,9)</f>
        <v>33978</v>
      </c>
      <c r="D159" s="2">
        <v>910</v>
      </c>
      <c r="E159" s="2" t="s">
        <v>758</v>
      </c>
      <c r="K159" s="2">
        <v>1916</v>
      </c>
      <c r="L159" s="2">
        <v>411</v>
      </c>
      <c r="AB159" s="2">
        <v>465</v>
      </c>
      <c r="BC159" s="2" t="s">
        <v>1</v>
      </c>
    </row>
    <row r="160" spans="1:55" x14ac:dyDescent="0.2">
      <c r="B160" s="2" t="s">
        <v>759</v>
      </c>
      <c r="C160" s="7">
        <f>DATE(93,1,12)</f>
        <v>33981</v>
      </c>
      <c r="D160" s="2">
        <v>1335</v>
      </c>
      <c r="E160" s="2" t="s">
        <v>760</v>
      </c>
      <c r="K160" s="2">
        <v>1806</v>
      </c>
      <c r="L160" s="2">
        <v>370</v>
      </c>
      <c r="AB160" s="2">
        <v>623</v>
      </c>
      <c r="BC160" s="2" t="s">
        <v>1</v>
      </c>
    </row>
    <row r="161" spans="2:55" x14ac:dyDescent="0.2">
      <c r="B161" s="2" t="s">
        <v>761</v>
      </c>
      <c r="C161" s="7">
        <f>DATE(93,1,14)</f>
        <v>33983</v>
      </c>
      <c r="D161" s="2">
        <v>910</v>
      </c>
      <c r="E161" s="2" t="s">
        <v>762</v>
      </c>
      <c r="K161" s="2">
        <v>1871</v>
      </c>
      <c r="L161" s="2">
        <v>405</v>
      </c>
      <c r="AB161" s="2">
        <v>379</v>
      </c>
      <c r="BC161" s="2" t="s">
        <v>1</v>
      </c>
    </row>
    <row r="162" spans="2:55" x14ac:dyDescent="0.2">
      <c r="B162" s="2" t="s">
        <v>763</v>
      </c>
      <c r="C162" s="7">
        <f>DATE(93,1,15)</f>
        <v>33984</v>
      </c>
      <c r="D162" s="2">
        <v>1610</v>
      </c>
      <c r="E162" s="2" t="s">
        <v>764</v>
      </c>
      <c r="J162" s="2">
        <v>1162</v>
      </c>
      <c r="K162" s="2">
        <v>1769</v>
      </c>
      <c r="L162" s="2">
        <v>361</v>
      </c>
      <c r="AB162" s="2">
        <v>370</v>
      </c>
      <c r="BC162" s="2" t="s">
        <v>1</v>
      </c>
    </row>
    <row r="163" spans="2:55" x14ac:dyDescent="0.2">
      <c r="B163" s="2" t="s">
        <v>765</v>
      </c>
      <c r="C163" s="7">
        <f>DATE(93,1,15)</f>
        <v>33984</v>
      </c>
      <c r="J163" s="2">
        <v>16721</v>
      </c>
      <c r="K163" s="2">
        <v>1681</v>
      </c>
      <c r="L163" s="2">
        <v>459</v>
      </c>
      <c r="BC163" s="2" t="s">
        <v>1</v>
      </c>
    </row>
    <row r="164" spans="2:55" x14ac:dyDescent="0.2">
      <c r="B164" s="2" t="s">
        <v>766</v>
      </c>
      <c r="C164" s="7">
        <f>DATE(93,1,15)</f>
        <v>33984</v>
      </c>
      <c r="D164" s="2">
        <v>1515</v>
      </c>
      <c r="E164" s="2" t="s">
        <v>767</v>
      </c>
      <c r="J164" s="2">
        <v>8690</v>
      </c>
      <c r="K164" s="2">
        <v>1733</v>
      </c>
      <c r="L164" s="2">
        <v>403</v>
      </c>
      <c r="AB164" s="2">
        <v>1157</v>
      </c>
      <c r="BC164" s="2" t="s">
        <v>1</v>
      </c>
    </row>
    <row r="165" spans="2:55" x14ac:dyDescent="0.2">
      <c r="B165" s="2" t="s">
        <v>768</v>
      </c>
      <c r="C165" s="7">
        <f>DATE(93,1,15)</f>
        <v>33984</v>
      </c>
      <c r="D165" s="2">
        <v>1535</v>
      </c>
      <c r="E165" s="2" t="s">
        <v>769</v>
      </c>
      <c r="J165" s="2">
        <v>19505</v>
      </c>
      <c r="K165" s="2">
        <v>1734</v>
      </c>
      <c r="L165" s="2">
        <v>436</v>
      </c>
      <c r="AB165" s="2">
        <v>2263</v>
      </c>
      <c r="BC165" s="2" t="s">
        <v>1</v>
      </c>
    </row>
    <row r="166" spans="2:55" x14ac:dyDescent="0.2">
      <c r="B166" s="2" t="s">
        <v>770</v>
      </c>
      <c r="C166" s="7">
        <f>DATE(93,1,18)</f>
        <v>33987</v>
      </c>
      <c r="D166" s="2">
        <v>1548</v>
      </c>
      <c r="E166" s="2" t="s">
        <v>760</v>
      </c>
      <c r="J166" s="2">
        <v>908</v>
      </c>
      <c r="K166" s="2">
        <v>1937</v>
      </c>
      <c r="L166" s="2">
        <v>398</v>
      </c>
      <c r="AB166" s="2">
        <v>513</v>
      </c>
      <c r="BC166" s="2" t="s">
        <v>1</v>
      </c>
    </row>
    <row r="167" spans="2:55" x14ac:dyDescent="0.2">
      <c r="B167" s="2" t="s">
        <v>771</v>
      </c>
      <c r="C167" s="7">
        <f>DATE(93,1,18)</f>
        <v>33987</v>
      </c>
      <c r="D167" s="2">
        <v>1430</v>
      </c>
      <c r="E167" s="2" t="s">
        <v>772</v>
      </c>
      <c r="K167" s="2">
        <v>1799</v>
      </c>
      <c r="L167" s="2">
        <v>399</v>
      </c>
      <c r="AB167" s="2">
        <v>1521</v>
      </c>
      <c r="BC167" s="2" t="s">
        <v>1</v>
      </c>
    </row>
    <row r="168" spans="2:55" x14ac:dyDescent="0.2">
      <c r="B168" s="2" t="s">
        <v>773</v>
      </c>
      <c r="C168" s="7">
        <f>DATE(93,1,19)</f>
        <v>33988</v>
      </c>
      <c r="D168" s="2">
        <v>925</v>
      </c>
      <c r="E168" s="2" t="s">
        <v>772</v>
      </c>
      <c r="J168" s="2">
        <v>1470</v>
      </c>
      <c r="K168" s="2">
        <v>1769</v>
      </c>
      <c r="L168" s="2">
        <v>387</v>
      </c>
      <c r="BC168" s="2" t="s">
        <v>1</v>
      </c>
    </row>
    <row r="169" spans="2:55" x14ac:dyDescent="0.2">
      <c r="B169" s="2" t="s">
        <v>774</v>
      </c>
      <c r="C169" s="7">
        <f>DATE(93,1,20)</f>
        <v>33989</v>
      </c>
      <c r="D169" s="2">
        <v>1500</v>
      </c>
      <c r="E169" s="2" t="s">
        <v>775</v>
      </c>
      <c r="J169" s="2">
        <v>822</v>
      </c>
      <c r="K169" s="2">
        <v>1757</v>
      </c>
      <c r="L169" s="2">
        <v>382</v>
      </c>
      <c r="AB169" s="2">
        <v>339</v>
      </c>
      <c r="BC169" s="2" t="s">
        <v>1</v>
      </c>
    </row>
    <row r="170" spans="2:55" x14ac:dyDescent="0.2">
      <c r="B170" s="2" t="s">
        <v>776</v>
      </c>
      <c r="C170" s="7">
        <f>DATE(93,1,22)</f>
        <v>33991</v>
      </c>
      <c r="D170" s="2">
        <v>845</v>
      </c>
      <c r="E170" s="2" t="s">
        <v>767</v>
      </c>
      <c r="K170" s="2">
        <v>1867</v>
      </c>
      <c r="L170" s="2">
        <v>425</v>
      </c>
      <c r="AB170" s="2">
        <v>1514</v>
      </c>
      <c r="BC170" s="2" t="s">
        <v>1</v>
      </c>
    </row>
    <row r="171" spans="2:55" x14ac:dyDescent="0.2">
      <c r="B171" s="2" t="s">
        <v>777</v>
      </c>
      <c r="C171" s="7">
        <f>DATE(93,1,22)</f>
        <v>33991</v>
      </c>
      <c r="D171" s="2">
        <v>735</v>
      </c>
      <c r="E171" s="2" t="s">
        <v>767</v>
      </c>
      <c r="K171" s="2">
        <v>1741</v>
      </c>
      <c r="L171" s="2">
        <v>508</v>
      </c>
      <c r="AB171" s="2">
        <v>2640</v>
      </c>
      <c r="BC171" s="2" t="s">
        <v>1</v>
      </c>
    </row>
    <row r="172" spans="2:55" x14ac:dyDescent="0.2">
      <c r="B172" s="2" t="s">
        <v>778</v>
      </c>
      <c r="C172" s="7">
        <f>DATE(93,1,22)</f>
        <v>33991</v>
      </c>
      <c r="D172" s="2">
        <v>930</v>
      </c>
      <c r="E172" s="2" t="s">
        <v>775</v>
      </c>
      <c r="J172" s="2">
        <v>2159</v>
      </c>
      <c r="K172" s="2">
        <v>1729</v>
      </c>
      <c r="L172" s="2">
        <v>392</v>
      </c>
      <c r="AB172" s="2">
        <v>966</v>
      </c>
      <c r="BC172" s="2" t="s">
        <v>1</v>
      </c>
    </row>
    <row r="173" spans="2:55" x14ac:dyDescent="0.2">
      <c r="B173" s="2" t="s">
        <v>779</v>
      </c>
      <c r="C173" s="7">
        <f>DATE(93,1,22)</f>
        <v>33991</v>
      </c>
      <c r="D173" s="2">
        <v>815</v>
      </c>
      <c r="E173" s="2" t="s">
        <v>767</v>
      </c>
      <c r="K173" s="2">
        <v>1720</v>
      </c>
      <c r="L173" s="2">
        <v>499</v>
      </c>
      <c r="AB173" s="2">
        <v>2407</v>
      </c>
      <c r="BC173" s="2" t="s">
        <v>1</v>
      </c>
    </row>
    <row r="174" spans="2:55" x14ac:dyDescent="0.2">
      <c r="B174" s="2" t="s">
        <v>780</v>
      </c>
      <c r="C174" s="7">
        <f>DATE(93,1,25)</f>
        <v>33994</v>
      </c>
      <c r="D174" s="2">
        <v>1320</v>
      </c>
      <c r="E174" s="2" t="s">
        <v>772</v>
      </c>
      <c r="J174" s="2">
        <v>1274</v>
      </c>
      <c r="K174" s="2">
        <v>1822</v>
      </c>
      <c r="L174" s="2">
        <v>423</v>
      </c>
      <c r="AB174" s="2">
        <v>394</v>
      </c>
      <c r="BC174" s="2" t="s">
        <v>1</v>
      </c>
    </row>
    <row r="175" spans="2:55" x14ac:dyDescent="0.2">
      <c r="B175" s="2" t="s">
        <v>781</v>
      </c>
      <c r="C175" s="7">
        <f>DATE(93,1,26)</f>
        <v>33995</v>
      </c>
      <c r="D175" s="2">
        <v>1340</v>
      </c>
      <c r="E175" s="2" t="s">
        <v>775</v>
      </c>
      <c r="J175" s="2">
        <v>2622</v>
      </c>
      <c r="K175" s="2">
        <v>1782</v>
      </c>
      <c r="L175" s="2">
        <v>389</v>
      </c>
      <c r="AB175" s="2">
        <v>771</v>
      </c>
      <c r="BC175" s="2" t="s">
        <v>1</v>
      </c>
    </row>
    <row r="176" spans="2:55" x14ac:dyDescent="0.2">
      <c r="B176" s="2" t="s">
        <v>782</v>
      </c>
      <c r="C176" s="7">
        <f>DATE(93,1,28)</f>
        <v>33997</v>
      </c>
      <c r="D176" s="2">
        <v>1220</v>
      </c>
      <c r="E176" s="2" t="s">
        <v>783</v>
      </c>
      <c r="J176" s="2">
        <v>177</v>
      </c>
      <c r="K176" s="2">
        <v>1837</v>
      </c>
      <c r="L176" s="2">
        <v>430</v>
      </c>
      <c r="AB176" s="2">
        <v>231</v>
      </c>
      <c r="BC176" s="2" t="s">
        <v>1</v>
      </c>
    </row>
    <row r="177" spans="2:55" x14ac:dyDescent="0.2">
      <c r="B177" s="2" t="s">
        <v>784</v>
      </c>
      <c r="C177" s="7">
        <f>DATE(93,1,28)</f>
        <v>33997</v>
      </c>
      <c r="D177" s="2">
        <v>1235</v>
      </c>
      <c r="E177" s="2" t="s">
        <v>783</v>
      </c>
      <c r="J177" s="2">
        <v>140</v>
      </c>
      <c r="K177" s="2">
        <v>1776</v>
      </c>
      <c r="L177" s="2">
        <v>341</v>
      </c>
      <c r="AB177" s="2">
        <v>200</v>
      </c>
      <c r="BC177" s="2" t="s">
        <v>1</v>
      </c>
    </row>
    <row r="178" spans="2:55" x14ac:dyDescent="0.2">
      <c r="B178" s="2" t="s">
        <v>785</v>
      </c>
      <c r="C178" s="7">
        <f>DATE(93,1,28)</f>
        <v>33997</v>
      </c>
      <c r="D178" s="2">
        <v>1310</v>
      </c>
      <c r="E178" s="2" t="s">
        <v>775</v>
      </c>
      <c r="J178" s="2">
        <v>1288</v>
      </c>
      <c r="K178" s="2">
        <v>1755</v>
      </c>
      <c r="L178" s="2">
        <v>368</v>
      </c>
      <c r="AB178" s="2">
        <v>657</v>
      </c>
      <c r="BC178" s="2" t="s">
        <v>1</v>
      </c>
    </row>
    <row r="179" spans="2:55" x14ac:dyDescent="0.2">
      <c r="B179" s="2" t="s">
        <v>786</v>
      </c>
      <c r="C179" s="7">
        <f>DATE(93,1,29)</f>
        <v>33998</v>
      </c>
      <c r="D179" s="2">
        <v>1340</v>
      </c>
      <c r="E179" s="2" t="s">
        <v>787</v>
      </c>
      <c r="J179" s="2">
        <v>131</v>
      </c>
      <c r="K179" s="2">
        <v>1770</v>
      </c>
      <c r="AB179" s="2">
        <v>153</v>
      </c>
      <c r="BC179" s="2" t="s">
        <v>1</v>
      </c>
    </row>
    <row r="180" spans="2:55" x14ac:dyDescent="0.2">
      <c r="B180" s="2" t="s">
        <v>788</v>
      </c>
      <c r="C180" s="7">
        <f>DATE(93,1,29)</f>
        <v>33998</v>
      </c>
      <c r="D180" s="2">
        <v>1330</v>
      </c>
      <c r="E180" s="2" t="s">
        <v>787</v>
      </c>
      <c r="J180" s="2">
        <v>145</v>
      </c>
      <c r="K180" s="2">
        <v>1770</v>
      </c>
      <c r="L180" s="2">
        <v>354</v>
      </c>
      <c r="AB180" s="2">
        <v>146</v>
      </c>
      <c r="BC180" s="2" t="s">
        <v>1</v>
      </c>
    </row>
    <row r="181" spans="2:55" x14ac:dyDescent="0.2">
      <c r="B181" s="2" t="s">
        <v>789</v>
      </c>
      <c r="C181" s="7">
        <f>DATE(93,1,29)</f>
        <v>33998</v>
      </c>
      <c r="D181" s="2">
        <v>1200</v>
      </c>
      <c r="E181" s="2" t="s">
        <v>769</v>
      </c>
      <c r="J181" s="2">
        <v>28898</v>
      </c>
      <c r="K181" s="2">
        <v>1831</v>
      </c>
      <c r="L181" s="2">
        <v>506</v>
      </c>
      <c r="AB181" s="2">
        <v>3606</v>
      </c>
      <c r="BC181" s="2" t="s">
        <v>1</v>
      </c>
    </row>
    <row r="182" spans="2:55" x14ac:dyDescent="0.2">
      <c r="B182" s="2" t="s">
        <v>790</v>
      </c>
      <c r="C182" s="7">
        <f>DATE(93,1,29)</f>
        <v>33998</v>
      </c>
      <c r="D182" s="2">
        <v>1130</v>
      </c>
      <c r="E182" s="2" t="s">
        <v>764</v>
      </c>
      <c r="J182" s="2">
        <v>1423</v>
      </c>
      <c r="K182" s="2">
        <v>1992</v>
      </c>
      <c r="L182" s="2">
        <v>417</v>
      </c>
      <c r="AB182" s="2">
        <v>409</v>
      </c>
      <c r="BC182" s="2" t="s">
        <v>1</v>
      </c>
    </row>
    <row r="183" spans="2:55" x14ac:dyDescent="0.2">
      <c r="B183" s="2" t="s">
        <v>791</v>
      </c>
      <c r="C183" s="7">
        <f>DATE(93,2,2)</f>
        <v>34002</v>
      </c>
      <c r="D183" s="2">
        <v>1510</v>
      </c>
      <c r="E183" s="2" t="s">
        <v>772</v>
      </c>
      <c r="J183" s="2">
        <v>8433</v>
      </c>
      <c r="K183" s="2">
        <v>1721</v>
      </c>
      <c r="L183" s="2">
        <v>377</v>
      </c>
      <c r="AB183" s="2">
        <v>1960</v>
      </c>
      <c r="BC183" s="2" t="s">
        <v>1</v>
      </c>
    </row>
    <row r="184" spans="2:55" x14ac:dyDescent="0.2">
      <c r="B184" s="2" t="s">
        <v>792</v>
      </c>
      <c r="C184" s="7">
        <f>DATE(93,2,2)</f>
        <v>34002</v>
      </c>
      <c r="D184" s="2">
        <v>1010</v>
      </c>
      <c r="E184" s="2" t="s">
        <v>793</v>
      </c>
      <c r="J184" s="2">
        <v>18389</v>
      </c>
      <c r="K184" s="2">
        <v>1962</v>
      </c>
      <c r="L184" s="2">
        <v>478</v>
      </c>
      <c r="AB184" s="2">
        <v>2889</v>
      </c>
      <c r="BC184" s="2" t="s">
        <v>1</v>
      </c>
    </row>
    <row r="185" spans="2:55" x14ac:dyDescent="0.2">
      <c r="B185" s="2" t="s">
        <v>794</v>
      </c>
      <c r="C185" s="7">
        <f>DATE(93,2,2)</f>
        <v>34002</v>
      </c>
      <c r="D185" s="2">
        <v>950</v>
      </c>
      <c r="E185" s="2" t="s">
        <v>767</v>
      </c>
      <c r="J185" s="2">
        <v>23733</v>
      </c>
      <c r="K185" s="2">
        <v>1926</v>
      </c>
      <c r="L185" s="2">
        <v>497</v>
      </c>
      <c r="AB185" s="2">
        <v>3117</v>
      </c>
      <c r="BC185" s="2" t="s">
        <v>1</v>
      </c>
    </row>
    <row r="186" spans="2:55" x14ac:dyDescent="0.2">
      <c r="B186" s="2" t="s">
        <v>795</v>
      </c>
      <c r="C186" s="7">
        <f>DATE(93,2,4)</f>
        <v>34004</v>
      </c>
      <c r="D186" s="2">
        <v>1305</v>
      </c>
      <c r="E186" s="2" t="s">
        <v>764</v>
      </c>
      <c r="AB186" s="2">
        <v>3994</v>
      </c>
      <c r="BC186" s="2" t="s">
        <v>1</v>
      </c>
    </row>
    <row r="187" spans="2:55" x14ac:dyDescent="0.2">
      <c r="B187" s="2" t="s">
        <v>796</v>
      </c>
      <c r="C187" s="7">
        <f>DATE(93,2,4)</f>
        <v>34004</v>
      </c>
      <c r="D187" s="2">
        <v>1430</v>
      </c>
      <c r="E187" s="2" t="s">
        <v>797</v>
      </c>
      <c r="AB187" s="2">
        <v>1403</v>
      </c>
      <c r="BC187" s="2" t="s">
        <v>1</v>
      </c>
    </row>
    <row r="188" spans="2:55" x14ac:dyDescent="0.2">
      <c r="B188" s="2" t="s">
        <v>798</v>
      </c>
      <c r="C188" s="7">
        <f>DATE(93,2,4)</f>
        <v>34004</v>
      </c>
      <c r="D188" s="2">
        <v>1315</v>
      </c>
      <c r="E188" s="2" t="s">
        <v>764</v>
      </c>
      <c r="AB188" s="2">
        <v>1776</v>
      </c>
      <c r="BC188" s="2" t="s">
        <v>1</v>
      </c>
    </row>
    <row r="189" spans="2:55" x14ac:dyDescent="0.2">
      <c r="B189" s="2" t="s">
        <v>799</v>
      </c>
      <c r="C189" s="7">
        <f>DATE(93,2,4)</f>
        <v>34004</v>
      </c>
      <c r="D189" s="2">
        <v>1330</v>
      </c>
      <c r="E189" s="2" t="s">
        <v>764</v>
      </c>
      <c r="AB189" s="2">
        <v>2367</v>
      </c>
      <c r="BC189" s="2" t="s">
        <v>1</v>
      </c>
    </row>
    <row r="190" spans="2:55" x14ac:dyDescent="0.2">
      <c r="B190" s="2" t="s">
        <v>800</v>
      </c>
      <c r="C190" s="7">
        <f>DATE(93,2,4)</f>
        <v>34004</v>
      </c>
      <c r="D190" s="2">
        <v>1030</v>
      </c>
      <c r="E190" s="2" t="s">
        <v>775</v>
      </c>
      <c r="K190" s="2">
        <v>1760</v>
      </c>
      <c r="L190" s="2">
        <v>381</v>
      </c>
      <c r="AB190" s="2">
        <v>317</v>
      </c>
      <c r="BC190" s="2" t="s">
        <v>1</v>
      </c>
    </row>
    <row r="191" spans="2:55" x14ac:dyDescent="0.2">
      <c r="B191" s="2" t="s">
        <v>801</v>
      </c>
      <c r="C191" s="7">
        <f>DATE(93,2,5)</f>
        <v>34005</v>
      </c>
      <c r="D191" s="2">
        <v>1005</v>
      </c>
      <c r="E191" s="2" t="s">
        <v>802</v>
      </c>
      <c r="J191" s="2">
        <v>944</v>
      </c>
      <c r="K191" s="2">
        <v>1885</v>
      </c>
      <c r="L191" s="2">
        <v>377</v>
      </c>
      <c r="AB191" s="2">
        <v>199</v>
      </c>
      <c r="BC191" s="2" t="s">
        <v>1</v>
      </c>
    </row>
    <row r="192" spans="2:55" x14ac:dyDescent="0.2">
      <c r="B192" s="2" t="s">
        <v>803</v>
      </c>
      <c r="C192" s="7">
        <f>DATE(93,2,8)</f>
        <v>34008</v>
      </c>
      <c r="D192" s="2">
        <v>1630</v>
      </c>
      <c r="E192" s="2" t="s">
        <v>802</v>
      </c>
      <c r="K192" s="2">
        <v>1767</v>
      </c>
      <c r="L192" s="2">
        <v>409</v>
      </c>
      <c r="AB192" s="2">
        <v>1491</v>
      </c>
      <c r="BC192" s="2" t="s">
        <v>1</v>
      </c>
    </row>
    <row r="193" spans="1:55" x14ac:dyDescent="0.2">
      <c r="B193" s="2" t="s">
        <v>804</v>
      </c>
      <c r="C193" s="7">
        <f>DATE(93,3,3)</f>
        <v>34031</v>
      </c>
      <c r="D193" s="2">
        <v>1410</v>
      </c>
      <c r="E193" s="2" t="s">
        <v>775</v>
      </c>
      <c r="K193" s="2">
        <v>1921</v>
      </c>
      <c r="L193" s="2">
        <v>415</v>
      </c>
      <c r="AB193" s="2">
        <v>693</v>
      </c>
      <c r="BC193" s="2" t="s">
        <v>1</v>
      </c>
    </row>
    <row r="194" spans="1:55" x14ac:dyDescent="0.2">
      <c r="BC194" s="2" t="s">
        <v>1</v>
      </c>
    </row>
    <row r="195" spans="1:55" x14ac:dyDescent="0.2">
      <c r="BC195" s="2" t="s">
        <v>1</v>
      </c>
    </row>
    <row r="196" spans="1:55" x14ac:dyDescent="0.2">
      <c r="J196" s="8" t="s">
        <v>118</v>
      </c>
      <c r="K196" s="8" t="s">
        <v>123</v>
      </c>
      <c r="L196" s="8" t="s">
        <v>134</v>
      </c>
      <c r="AB196" s="8" t="s">
        <v>146</v>
      </c>
    </row>
    <row r="197" spans="1:55" x14ac:dyDescent="0.2">
      <c r="J197" s="8" t="s">
        <v>266</v>
      </c>
      <c r="K197" s="8" t="s">
        <v>266</v>
      </c>
      <c r="L197" s="8" t="s">
        <v>371</v>
      </c>
      <c r="AB197" s="8" t="s">
        <v>426</v>
      </c>
    </row>
    <row r="199" spans="1:55" x14ac:dyDescent="0.2">
      <c r="B199" s="2" t="s">
        <v>363</v>
      </c>
      <c r="C199" s="7">
        <f>AVERAGE(C159:C193)</f>
        <v>33995.285714285717</v>
      </c>
      <c r="D199" s="4">
        <f>AVERAGE(D159:D193)</f>
        <v>1232.1470588235295</v>
      </c>
      <c r="E199" s="4"/>
      <c r="J199" s="4">
        <f>AVERAGE(J159:J193)</f>
        <v>6620.666666666667</v>
      </c>
      <c r="K199" s="4">
        <f>AVERAGE(K159:K193)</f>
        <v>1809.8709677419354</v>
      </c>
      <c r="L199" s="4">
        <f>AVERAGE(L159:L193)</f>
        <v>413.23333333333335</v>
      </c>
      <c r="AB199" s="4">
        <f>AVERAGE(AB159:AB193)</f>
        <v>1270.6060606060605</v>
      </c>
      <c r="BC199" s="2" t="s">
        <v>1</v>
      </c>
    </row>
    <row r="200" spans="1:55" x14ac:dyDescent="0.2">
      <c r="B200" s="2" t="s">
        <v>364</v>
      </c>
      <c r="C200" s="4"/>
      <c r="D200" s="4">
        <f>STDEV(D159:D193)</f>
        <v>252.72108621033138</v>
      </c>
      <c r="E200" s="4"/>
      <c r="F200" s="4"/>
      <c r="J200" s="4">
        <f>STDEV(J159:J193)</f>
        <v>9070.5853081999794</v>
      </c>
      <c r="K200" s="4">
        <f>STDEV(K159:K193)</f>
        <v>81.197184653773093</v>
      </c>
      <c r="L200" s="4">
        <f>STDEV(L159:L193)</f>
        <v>46.112817676032044</v>
      </c>
      <c r="AB200" s="4">
        <f>STDEV(AB159:AB193)</f>
        <v>1099.1843834007655</v>
      </c>
      <c r="BC200" s="2" t="s">
        <v>1</v>
      </c>
    </row>
    <row r="201" spans="1:55" x14ac:dyDescent="0.2">
      <c r="B201" s="2" t="s">
        <v>365</v>
      </c>
      <c r="D201" s="2">
        <f>COUNTA(D159:D193)</f>
        <v>34</v>
      </c>
      <c r="J201" s="2">
        <f>COUNTA(J159:J193)</f>
        <v>21</v>
      </c>
      <c r="K201" s="2">
        <f>COUNTA(K159:K193)</f>
        <v>31</v>
      </c>
      <c r="L201" s="2">
        <f>COUNTA(L159:L193)</f>
        <v>30</v>
      </c>
      <c r="AB201" s="2">
        <f>COUNTA(AB159:AB193)</f>
        <v>33</v>
      </c>
      <c r="BC201" s="2" t="s">
        <v>1</v>
      </c>
    </row>
    <row r="202" spans="1:55" x14ac:dyDescent="0.2">
      <c r="BC202" s="2" t="s">
        <v>1</v>
      </c>
    </row>
    <row r="203" spans="1:55" x14ac:dyDescent="0.2">
      <c r="BC203" s="2" t="s">
        <v>1</v>
      </c>
    </row>
    <row r="204" spans="1:55" ht="18" x14ac:dyDescent="0.25">
      <c r="A204" s="18" t="s">
        <v>805</v>
      </c>
      <c r="BC204" s="2" t="s">
        <v>1</v>
      </c>
    </row>
    <row r="205" spans="1:55" x14ac:dyDescent="0.2">
      <c r="BC205" s="2" t="s">
        <v>1</v>
      </c>
    </row>
    <row r="206" spans="1:55" x14ac:dyDescent="0.2">
      <c r="BC206" s="2" t="s">
        <v>1</v>
      </c>
    </row>
    <row r="207" spans="1:55" x14ac:dyDescent="0.2">
      <c r="BC207" s="2" t="s">
        <v>1</v>
      </c>
    </row>
    <row r="208" spans="1:55" x14ac:dyDescent="0.2">
      <c r="BC208" s="2" t="s">
        <v>1</v>
      </c>
    </row>
    <row r="209" spans="3:55" x14ac:dyDescent="0.2">
      <c r="BC209" s="2" t="s">
        <v>1</v>
      </c>
    </row>
    <row r="210" spans="3:55" x14ac:dyDescent="0.2">
      <c r="C210" s="15" t="s">
        <v>253</v>
      </c>
      <c r="D210" s="8" t="s">
        <v>286</v>
      </c>
      <c r="H210" s="8" t="s">
        <v>117</v>
      </c>
      <c r="I210" s="8" t="s">
        <v>118</v>
      </c>
      <c r="J210" s="8" t="s">
        <v>118</v>
      </c>
      <c r="K210" s="8" t="s">
        <v>123</v>
      </c>
      <c r="L210" s="8" t="s">
        <v>134</v>
      </c>
      <c r="M210" s="8" t="s">
        <v>138</v>
      </c>
      <c r="N210" s="8" t="s">
        <v>136</v>
      </c>
      <c r="O210" s="8" t="s">
        <v>130</v>
      </c>
      <c r="P210" s="8" t="s">
        <v>133</v>
      </c>
      <c r="Q210" s="8" t="s">
        <v>127</v>
      </c>
      <c r="R210" s="8" t="s">
        <v>121</v>
      </c>
      <c r="S210" s="8" t="s">
        <v>112</v>
      </c>
      <c r="T210" s="8" t="s">
        <v>115</v>
      </c>
      <c r="BC210" s="2" t="s">
        <v>1</v>
      </c>
    </row>
    <row r="211" spans="3:55" x14ac:dyDescent="0.2">
      <c r="H211" s="8" t="s">
        <v>266</v>
      </c>
      <c r="I211" s="8" t="s">
        <v>266</v>
      </c>
      <c r="J211" s="8" t="s">
        <v>266</v>
      </c>
      <c r="K211" s="8" t="s">
        <v>266</v>
      </c>
      <c r="L211" s="8" t="s">
        <v>371</v>
      </c>
      <c r="M211" s="8" t="s">
        <v>144</v>
      </c>
      <c r="N211" s="8" t="s">
        <v>144</v>
      </c>
      <c r="O211" s="8" t="s">
        <v>144</v>
      </c>
      <c r="P211" s="8" t="s">
        <v>144</v>
      </c>
      <c r="Q211" s="8" t="s">
        <v>144</v>
      </c>
      <c r="R211" s="8" t="s">
        <v>144</v>
      </c>
      <c r="S211" s="8" t="s">
        <v>144</v>
      </c>
      <c r="T211" s="8" t="s">
        <v>144</v>
      </c>
      <c r="BC211" s="2" t="s">
        <v>1</v>
      </c>
    </row>
    <row r="212" spans="3:55" x14ac:dyDescent="0.2">
      <c r="BC212" s="2" t="s">
        <v>1</v>
      </c>
    </row>
    <row r="213" spans="3:55" x14ac:dyDescent="0.2">
      <c r="C213" s="7">
        <f>DATE(86,12,1)</f>
        <v>31747</v>
      </c>
      <c r="D213" s="2">
        <v>1120</v>
      </c>
      <c r="H213" s="4">
        <v>506</v>
      </c>
      <c r="I213" s="4">
        <v>172.8</v>
      </c>
      <c r="J213" s="4">
        <v>165.9</v>
      </c>
      <c r="K213" s="4">
        <v>1661</v>
      </c>
      <c r="L213" s="4">
        <v>345.8</v>
      </c>
      <c r="M213" s="4">
        <v>340</v>
      </c>
      <c r="N213" s="4">
        <v>424</v>
      </c>
      <c r="O213" s="4">
        <v>239</v>
      </c>
      <c r="P213" s="4">
        <v>32</v>
      </c>
      <c r="Q213" s="4"/>
      <c r="R213" s="4">
        <v>155</v>
      </c>
      <c r="S213" s="4">
        <v>156</v>
      </c>
      <c r="T213" s="4">
        <v>791</v>
      </c>
      <c r="BC213" s="2" t="s">
        <v>1</v>
      </c>
    </row>
    <row r="214" spans="3:55" x14ac:dyDescent="0.2">
      <c r="C214" s="7">
        <f>DATE(86,12,2)</f>
        <v>31748</v>
      </c>
      <c r="D214" s="2">
        <v>1145</v>
      </c>
      <c r="H214" s="4">
        <v>501</v>
      </c>
      <c r="I214" s="4">
        <v>126.9</v>
      </c>
      <c r="J214" s="4">
        <v>122.3</v>
      </c>
      <c r="K214" s="4">
        <v>1649.6</v>
      </c>
      <c r="L214" s="4">
        <v>348.7</v>
      </c>
      <c r="M214" s="4">
        <v>339</v>
      </c>
      <c r="N214" s="4">
        <v>414</v>
      </c>
      <c r="O214" s="4">
        <v>233</v>
      </c>
      <c r="P214" s="4">
        <v>31</v>
      </c>
      <c r="Q214" s="4">
        <v>18</v>
      </c>
      <c r="R214" s="4">
        <v>155</v>
      </c>
      <c r="S214" s="4">
        <v>157</v>
      </c>
      <c r="T214" s="4">
        <v>693</v>
      </c>
      <c r="BC214" s="2" t="s">
        <v>1</v>
      </c>
    </row>
    <row r="215" spans="3:55" x14ac:dyDescent="0.2">
      <c r="C215" s="7">
        <f>DATE(86,12,3)</f>
        <v>31749</v>
      </c>
      <c r="D215" s="2">
        <v>1145</v>
      </c>
      <c r="H215" s="4">
        <v>514</v>
      </c>
      <c r="I215" s="4">
        <v>190.8</v>
      </c>
      <c r="J215" s="4">
        <v>185.2</v>
      </c>
      <c r="K215" s="4">
        <v>1670</v>
      </c>
      <c r="L215" s="4">
        <v>346.3</v>
      </c>
      <c r="M215" s="4">
        <v>341</v>
      </c>
      <c r="N215" s="4">
        <v>427</v>
      </c>
      <c r="O215" s="4">
        <v>238</v>
      </c>
      <c r="P215" s="4">
        <v>32</v>
      </c>
      <c r="Q215" s="4">
        <v>46</v>
      </c>
      <c r="R215" s="4">
        <v>160</v>
      </c>
      <c r="S215" s="4">
        <v>158</v>
      </c>
      <c r="T215" s="4">
        <v>747</v>
      </c>
      <c r="BC215" s="2" t="s">
        <v>1</v>
      </c>
    </row>
    <row r="216" spans="3:55" x14ac:dyDescent="0.2">
      <c r="C216" s="7">
        <f>DATE(86,12,4)</f>
        <v>31750</v>
      </c>
      <c r="D216" s="2">
        <v>1230</v>
      </c>
      <c r="H216" s="4">
        <v>518</v>
      </c>
      <c r="I216" s="4">
        <v>206</v>
      </c>
      <c r="J216" s="4">
        <v>199</v>
      </c>
      <c r="K216" s="4">
        <v>1688.8</v>
      </c>
      <c r="L216" s="4">
        <v>354</v>
      </c>
      <c r="M216" s="4">
        <v>342</v>
      </c>
      <c r="N216" s="4">
        <v>426</v>
      </c>
      <c r="O216" s="4">
        <v>235</v>
      </c>
      <c r="P216" s="4">
        <v>32</v>
      </c>
      <c r="Q216" s="4"/>
      <c r="R216" s="4">
        <v>186</v>
      </c>
      <c r="S216" s="4">
        <v>162</v>
      </c>
      <c r="T216" s="4">
        <v>796</v>
      </c>
      <c r="BC216" s="2" t="s">
        <v>1</v>
      </c>
    </row>
    <row r="217" spans="3:55" x14ac:dyDescent="0.2">
      <c r="C217" s="7">
        <f>DATE(86,12,5)</f>
        <v>31751</v>
      </c>
      <c r="D217" s="2">
        <v>1222</v>
      </c>
      <c r="H217" s="4">
        <v>517</v>
      </c>
      <c r="I217" s="4">
        <v>176</v>
      </c>
      <c r="J217" s="4">
        <v>172.3</v>
      </c>
      <c r="K217" s="4">
        <v>1668.4</v>
      </c>
      <c r="L217" s="4">
        <v>349.6</v>
      </c>
      <c r="M217" s="4">
        <v>340</v>
      </c>
      <c r="N217" s="4">
        <v>438</v>
      </c>
      <c r="O217" s="4">
        <v>242</v>
      </c>
      <c r="P217" s="4">
        <v>32</v>
      </c>
      <c r="Q217" s="4">
        <v>39</v>
      </c>
      <c r="R217" s="4">
        <v>172</v>
      </c>
      <c r="S217" s="4">
        <v>164</v>
      </c>
      <c r="T217" s="4">
        <v>762</v>
      </c>
      <c r="BC217" s="2" t="s">
        <v>1</v>
      </c>
    </row>
    <row r="218" spans="3:55" x14ac:dyDescent="0.2">
      <c r="C218" s="7">
        <f>DATE(86,12,8)</f>
        <v>31754</v>
      </c>
      <c r="D218" s="2">
        <v>1233</v>
      </c>
      <c r="H218" s="4">
        <v>504</v>
      </c>
      <c r="I218" s="4">
        <v>132.80000000000001</v>
      </c>
      <c r="J218" s="4">
        <v>131</v>
      </c>
      <c r="K218" s="4">
        <v>1707.8</v>
      </c>
      <c r="L218" s="4">
        <v>357.3</v>
      </c>
      <c r="M218" s="4">
        <v>341</v>
      </c>
      <c r="N218" s="4">
        <v>417</v>
      </c>
      <c r="O218" s="4">
        <v>241</v>
      </c>
      <c r="P218" s="4">
        <v>32</v>
      </c>
      <c r="Q218" s="4">
        <v>41</v>
      </c>
      <c r="R218" s="4">
        <v>169</v>
      </c>
      <c r="S218" s="4">
        <v>165</v>
      </c>
      <c r="T218" s="4">
        <v>780</v>
      </c>
      <c r="BC218" s="2" t="s">
        <v>1</v>
      </c>
    </row>
    <row r="219" spans="3:55" x14ac:dyDescent="0.2">
      <c r="C219" s="7">
        <f>DATE(86,12,9)</f>
        <v>31755</v>
      </c>
      <c r="D219" s="2">
        <v>1225</v>
      </c>
      <c r="H219" s="4">
        <v>513</v>
      </c>
      <c r="I219" s="4">
        <v>82.4</v>
      </c>
      <c r="J219" s="4">
        <v>81.7</v>
      </c>
      <c r="K219" s="4">
        <v>1652.2</v>
      </c>
      <c r="L219" s="4">
        <v>349.4</v>
      </c>
      <c r="M219" s="4">
        <v>340</v>
      </c>
      <c r="N219" s="4">
        <v>436</v>
      </c>
      <c r="O219" s="4">
        <v>242</v>
      </c>
      <c r="P219" s="4">
        <v>30</v>
      </c>
      <c r="Q219" s="4">
        <v>13</v>
      </c>
      <c r="R219" s="4">
        <v>158</v>
      </c>
      <c r="S219" s="4">
        <v>160</v>
      </c>
      <c r="T219" s="4">
        <v>696</v>
      </c>
      <c r="BC219" s="2" t="s">
        <v>1</v>
      </c>
    </row>
    <row r="220" spans="3:55" x14ac:dyDescent="0.2">
      <c r="C220" s="7">
        <f>DATE(86,12,10)</f>
        <v>31756</v>
      </c>
      <c r="D220" s="2">
        <v>1135</v>
      </c>
      <c r="H220" s="4">
        <v>522</v>
      </c>
      <c r="I220" s="4">
        <v>162.6</v>
      </c>
      <c r="J220" s="4">
        <v>157.19999999999999</v>
      </c>
      <c r="K220" s="4">
        <v>1670.8</v>
      </c>
      <c r="L220" s="4">
        <v>346.1</v>
      </c>
      <c r="M220" s="4">
        <v>341</v>
      </c>
      <c r="N220" s="4">
        <v>433</v>
      </c>
      <c r="O220" s="4">
        <v>243</v>
      </c>
      <c r="P220" s="4">
        <v>32</v>
      </c>
      <c r="Q220" s="4">
        <v>15</v>
      </c>
      <c r="R220" s="4">
        <v>166</v>
      </c>
      <c r="S220" s="4">
        <v>162</v>
      </c>
      <c r="T220" s="4">
        <v>741</v>
      </c>
      <c r="BC220" s="2" t="s">
        <v>1</v>
      </c>
    </row>
    <row r="221" spans="3:55" x14ac:dyDescent="0.2">
      <c r="C221" s="7">
        <f>DATE(87,5,21)</f>
        <v>31918</v>
      </c>
      <c r="D221" s="2">
        <v>1102</v>
      </c>
      <c r="H221" s="4">
        <v>500</v>
      </c>
      <c r="I221" s="4">
        <v>151</v>
      </c>
      <c r="J221" s="4">
        <v>159</v>
      </c>
      <c r="K221" s="4">
        <v>1712</v>
      </c>
      <c r="L221" s="4">
        <v>356</v>
      </c>
      <c r="M221" s="4">
        <v>343</v>
      </c>
      <c r="N221" s="4">
        <v>465</v>
      </c>
      <c r="O221" s="4">
        <v>272</v>
      </c>
      <c r="P221" s="4">
        <v>34</v>
      </c>
      <c r="Q221" s="4">
        <v>29</v>
      </c>
      <c r="R221" s="4">
        <v>203</v>
      </c>
      <c r="S221" s="4">
        <v>172</v>
      </c>
      <c r="T221" s="4">
        <v>801</v>
      </c>
    </row>
    <row r="222" spans="3:55" x14ac:dyDescent="0.2">
      <c r="C222" s="7">
        <f>DATE(87,5,22)</f>
        <v>31919</v>
      </c>
      <c r="D222" s="2">
        <v>1106</v>
      </c>
      <c r="H222" s="4">
        <v>496</v>
      </c>
      <c r="I222" s="4">
        <v>87</v>
      </c>
      <c r="J222" s="4">
        <v>90</v>
      </c>
      <c r="K222" s="4">
        <v>1683</v>
      </c>
      <c r="L222" s="4">
        <v>351</v>
      </c>
      <c r="M222" s="4">
        <v>342</v>
      </c>
      <c r="N222" s="4">
        <v>423</v>
      </c>
      <c r="O222" s="4">
        <v>245</v>
      </c>
      <c r="P222" s="4">
        <v>33</v>
      </c>
      <c r="Q222" s="4">
        <v>1</v>
      </c>
      <c r="R222" s="4">
        <v>185</v>
      </c>
      <c r="S222" s="4">
        <v>168</v>
      </c>
      <c r="T222" s="4">
        <v>665</v>
      </c>
    </row>
    <row r="223" spans="3:55" x14ac:dyDescent="0.2">
      <c r="C223" s="7">
        <f>DATE(87,5,25)</f>
        <v>31922</v>
      </c>
      <c r="D223" s="2">
        <v>1104</v>
      </c>
      <c r="H223" s="4">
        <v>502</v>
      </c>
      <c r="I223" s="4">
        <v>75</v>
      </c>
      <c r="J223" s="4">
        <v>80</v>
      </c>
      <c r="K223" s="4">
        <v>1658</v>
      </c>
      <c r="L223" s="4">
        <v>361</v>
      </c>
      <c r="M223" s="4">
        <v>342</v>
      </c>
      <c r="N223" s="4">
        <v>423</v>
      </c>
      <c r="O223" s="4">
        <v>242</v>
      </c>
      <c r="P223" s="4">
        <v>32</v>
      </c>
      <c r="Q223" s="4">
        <v>29</v>
      </c>
      <c r="R223" s="4">
        <v>181</v>
      </c>
      <c r="S223" s="4">
        <v>168</v>
      </c>
      <c r="T223" s="4">
        <v>632</v>
      </c>
    </row>
    <row r="224" spans="3:55" x14ac:dyDescent="0.2">
      <c r="C224" s="7">
        <f>DATE(87,5,26)</f>
        <v>31923</v>
      </c>
      <c r="D224" s="2">
        <v>1105</v>
      </c>
      <c r="H224" s="4">
        <v>502</v>
      </c>
      <c r="I224" s="4">
        <v>70</v>
      </c>
      <c r="J224" s="4">
        <v>73</v>
      </c>
      <c r="K224" s="4">
        <v>1648</v>
      </c>
      <c r="L224" s="4">
        <v>358</v>
      </c>
      <c r="M224" s="4">
        <v>345</v>
      </c>
      <c r="N224" s="4">
        <v>429</v>
      </c>
      <c r="O224" s="4">
        <v>241</v>
      </c>
      <c r="P224" s="4">
        <v>34</v>
      </c>
      <c r="Q224" s="4">
        <v>37</v>
      </c>
      <c r="R224" s="4">
        <v>422</v>
      </c>
      <c r="S224" s="4">
        <v>168</v>
      </c>
      <c r="T224" s="4">
        <v>613</v>
      </c>
    </row>
    <row r="225" spans="3:20" x14ac:dyDescent="0.2">
      <c r="C225" s="7">
        <f>DATE(87,5,27)</f>
        <v>31924</v>
      </c>
      <c r="D225" s="2">
        <v>1105</v>
      </c>
      <c r="H225" s="4">
        <v>500</v>
      </c>
      <c r="I225" s="4">
        <v>71</v>
      </c>
      <c r="J225" s="4">
        <v>71</v>
      </c>
      <c r="K225" s="4">
        <v>1637</v>
      </c>
      <c r="L225" s="4">
        <v>359</v>
      </c>
      <c r="M225" s="4">
        <v>341</v>
      </c>
      <c r="N225" s="4">
        <v>420</v>
      </c>
      <c r="O225" s="4">
        <v>246</v>
      </c>
      <c r="P225" s="4">
        <v>32</v>
      </c>
      <c r="Q225" s="4"/>
      <c r="R225" s="4">
        <v>167</v>
      </c>
      <c r="S225" s="4">
        <v>165</v>
      </c>
      <c r="T225" s="4">
        <v>622</v>
      </c>
    </row>
    <row r="226" spans="3:20" x14ac:dyDescent="0.2">
      <c r="C226" s="7">
        <f>DATE(87,5,28)</f>
        <v>31925</v>
      </c>
      <c r="D226" s="2">
        <v>1102</v>
      </c>
      <c r="H226" s="4">
        <v>515</v>
      </c>
      <c r="I226" s="4">
        <v>170</v>
      </c>
      <c r="J226" s="4">
        <v>177</v>
      </c>
      <c r="K226" s="4">
        <v>1759</v>
      </c>
      <c r="L226" s="4">
        <v>375</v>
      </c>
      <c r="M226" s="4">
        <v>345</v>
      </c>
      <c r="N226" s="4">
        <v>449</v>
      </c>
      <c r="O226" s="4">
        <v>253</v>
      </c>
      <c r="P226" s="4">
        <v>32</v>
      </c>
      <c r="Q226" s="4"/>
      <c r="R226" s="4">
        <v>314</v>
      </c>
      <c r="S226" s="4">
        <v>169</v>
      </c>
      <c r="T226" s="4">
        <v>706</v>
      </c>
    </row>
    <row r="227" spans="3:20" x14ac:dyDescent="0.2">
      <c r="C227" s="7">
        <f>DATE(87,5,29)</f>
        <v>31926</v>
      </c>
      <c r="D227" s="2">
        <v>1102</v>
      </c>
      <c r="H227" s="4">
        <v>523</v>
      </c>
      <c r="I227" s="4">
        <v>310</v>
      </c>
      <c r="J227" s="4">
        <v>324</v>
      </c>
      <c r="K227" s="4">
        <v>1812</v>
      </c>
      <c r="L227" s="4">
        <v>379</v>
      </c>
      <c r="M227" s="4">
        <v>343</v>
      </c>
      <c r="N227" s="4">
        <v>452</v>
      </c>
      <c r="O227" s="4">
        <v>252</v>
      </c>
      <c r="P227" s="4">
        <v>33</v>
      </c>
      <c r="Q227" s="4">
        <v>35</v>
      </c>
      <c r="R227" s="4">
        <v>203</v>
      </c>
      <c r="S227" s="4">
        <v>172</v>
      </c>
      <c r="T227" s="4">
        <v>834</v>
      </c>
    </row>
    <row r="228" spans="3:20" x14ac:dyDescent="0.2">
      <c r="C228" s="7">
        <f>DATE(87,6,1)</f>
        <v>31929</v>
      </c>
      <c r="D228" s="2">
        <v>1106</v>
      </c>
      <c r="H228" s="4">
        <v>502</v>
      </c>
      <c r="I228" s="4">
        <v>184</v>
      </c>
      <c r="J228" s="4">
        <v>190</v>
      </c>
      <c r="K228" s="4">
        <v>1837</v>
      </c>
      <c r="L228" s="4">
        <v>378</v>
      </c>
      <c r="M228" s="4">
        <v>343</v>
      </c>
      <c r="N228" s="4">
        <v>428</v>
      </c>
      <c r="O228" s="4">
        <v>246</v>
      </c>
      <c r="P228" s="4">
        <v>32</v>
      </c>
      <c r="Q228" s="4">
        <v>49</v>
      </c>
      <c r="R228" s="4">
        <v>182</v>
      </c>
      <c r="S228" s="4">
        <v>170</v>
      </c>
      <c r="T228" s="4">
        <v>711</v>
      </c>
    </row>
    <row r="229" spans="3:20" x14ac:dyDescent="0.2">
      <c r="C229" s="7">
        <f>DATE(87,6,2)</f>
        <v>31930</v>
      </c>
      <c r="D229" s="2">
        <v>1115</v>
      </c>
      <c r="H229" s="4">
        <v>541</v>
      </c>
      <c r="I229" s="4">
        <v>277.2</v>
      </c>
      <c r="J229" s="4">
        <v>293.2</v>
      </c>
      <c r="K229" s="4">
        <v>1732.2</v>
      </c>
      <c r="L229" s="4">
        <v>367.1</v>
      </c>
      <c r="M229" s="4">
        <v>342</v>
      </c>
      <c r="N229" s="4">
        <v>456.6</v>
      </c>
      <c r="O229" s="4">
        <v>246.9</v>
      </c>
      <c r="P229" s="4">
        <v>34.6</v>
      </c>
      <c r="Q229" s="4">
        <v>34.799999999999997</v>
      </c>
      <c r="R229" s="4">
        <v>215.8</v>
      </c>
      <c r="S229" s="4">
        <v>172.1</v>
      </c>
      <c r="T229" s="4">
        <v>776</v>
      </c>
    </row>
    <row r="230" spans="3:20" x14ac:dyDescent="0.2">
      <c r="C230" s="7">
        <f>DATE(87,6,3)</f>
        <v>31931</v>
      </c>
      <c r="D230" s="2">
        <v>1108</v>
      </c>
      <c r="H230" s="4">
        <v>508</v>
      </c>
      <c r="I230" s="4">
        <v>228.9</v>
      </c>
      <c r="J230" s="4">
        <v>243.6</v>
      </c>
      <c r="K230" s="4">
        <v>1738.2</v>
      </c>
      <c r="L230" s="4">
        <v>369.3</v>
      </c>
      <c r="M230" s="4">
        <v>342.6</v>
      </c>
      <c r="N230" s="4">
        <v>446.4</v>
      </c>
      <c r="O230" s="4">
        <v>253.4</v>
      </c>
      <c r="P230" s="4">
        <v>34.700000000000003</v>
      </c>
      <c r="Q230" s="4">
        <v>36.299999999999997</v>
      </c>
      <c r="R230" s="4">
        <v>200.8</v>
      </c>
      <c r="S230" s="4">
        <v>169.8</v>
      </c>
      <c r="T230" s="4">
        <v>801</v>
      </c>
    </row>
    <row r="231" spans="3:20" x14ac:dyDescent="0.2">
      <c r="C231" s="7">
        <f>DATE(87,6,4)</f>
        <v>31932</v>
      </c>
      <c r="D231" s="2">
        <v>1103</v>
      </c>
      <c r="H231" s="4">
        <v>489</v>
      </c>
      <c r="I231" s="4">
        <v>294.5</v>
      </c>
      <c r="J231" s="4">
        <v>316.10000000000002</v>
      </c>
      <c r="K231" s="4">
        <v>1781.2</v>
      </c>
      <c r="L231" s="4">
        <v>381</v>
      </c>
      <c r="M231" s="4">
        <v>342.5</v>
      </c>
      <c r="N231" s="4">
        <v>451.9</v>
      </c>
      <c r="O231" s="4">
        <v>255.6</v>
      </c>
      <c r="P231" s="4">
        <v>36</v>
      </c>
      <c r="Q231" s="4">
        <v>33.700000000000003</v>
      </c>
      <c r="R231" s="4">
        <v>198.9</v>
      </c>
      <c r="S231" s="4">
        <v>173.2</v>
      </c>
      <c r="T231" s="4">
        <v>895</v>
      </c>
    </row>
    <row r="232" spans="3:20" x14ac:dyDescent="0.2">
      <c r="C232" s="7">
        <f>DATE(87,6,5)</f>
        <v>31933</v>
      </c>
      <c r="D232" s="2">
        <v>1100</v>
      </c>
      <c r="H232" s="4">
        <v>509</v>
      </c>
      <c r="I232" s="4">
        <v>248.2</v>
      </c>
      <c r="J232" s="4">
        <v>372.4</v>
      </c>
      <c r="K232" s="4">
        <v>1789</v>
      </c>
      <c r="L232" s="4">
        <v>383.1</v>
      </c>
      <c r="M232" s="4">
        <v>342.2</v>
      </c>
      <c r="N232" s="4">
        <v>456</v>
      </c>
      <c r="O232" s="4">
        <v>249.8</v>
      </c>
      <c r="P232" s="4">
        <v>34</v>
      </c>
      <c r="Q232" s="4">
        <v>21.7</v>
      </c>
      <c r="R232" s="4">
        <v>181.5</v>
      </c>
      <c r="S232" s="4">
        <v>168.8</v>
      </c>
      <c r="T232" s="4">
        <v>878</v>
      </c>
    </row>
    <row r="233" spans="3:20" x14ac:dyDescent="0.2">
      <c r="C233" s="7">
        <f>DATE(87,6,8)</f>
        <v>31936</v>
      </c>
      <c r="D233" s="2">
        <v>1103</v>
      </c>
      <c r="H233" s="4">
        <v>505</v>
      </c>
      <c r="I233" s="4">
        <v>136.5</v>
      </c>
      <c r="J233" s="4">
        <v>145</v>
      </c>
      <c r="K233" s="4">
        <v>1682.4</v>
      </c>
      <c r="L233" s="4">
        <v>359.8</v>
      </c>
      <c r="M233" s="4">
        <v>340.4</v>
      </c>
      <c r="N233" s="4">
        <v>470</v>
      </c>
      <c r="O233" s="4">
        <v>253.4</v>
      </c>
      <c r="P233" s="4">
        <v>33.9</v>
      </c>
      <c r="Q233" s="4"/>
      <c r="R233" s="4">
        <v>179</v>
      </c>
      <c r="S233" s="4">
        <v>169.4</v>
      </c>
      <c r="T233" s="4">
        <v>741</v>
      </c>
    </row>
    <row r="234" spans="3:20" x14ac:dyDescent="0.2">
      <c r="C234" s="7">
        <f>DATE(87,6,9)</f>
        <v>31937</v>
      </c>
      <c r="D234" s="2">
        <v>1103</v>
      </c>
      <c r="H234" s="4">
        <v>490</v>
      </c>
      <c r="I234" s="4">
        <v>101</v>
      </c>
      <c r="J234" s="4">
        <v>108.1</v>
      </c>
      <c r="K234" s="4">
        <v>1669.6</v>
      </c>
      <c r="L234" s="4">
        <v>343.4</v>
      </c>
      <c r="M234" s="4">
        <v>340.9</v>
      </c>
      <c r="N234" s="4">
        <v>492.2</v>
      </c>
      <c r="O234" s="4">
        <v>253.3</v>
      </c>
      <c r="P234" s="4">
        <v>33.4</v>
      </c>
      <c r="Q234" s="4">
        <v>5.3</v>
      </c>
      <c r="R234" s="4">
        <v>168.9</v>
      </c>
      <c r="S234" s="4">
        <v>166.3</v>
      </c>
      <c r="T234" s="4">
        <v>747</v>
      </c>
    </row>
    <row r="235" spans="3:20" x14ac:dyDescent="0.2">
      <c r="C235" s="7">
        <f>DATE(87,6,10)</f>
        <v>31938</v>
      </c>
      <c r="D235" s="2">
        <v>1106</v>
      </c>
      <c r="H235" s="4">
        <v>508</v>
      </c>
      <c r="I235" s="4">
        <v>120.7</v>
      </c>
      <c r="J235" s="4">
        <v>132.5</v>
      </c>
      <c r="K235" s="4">
        <v>1678</v>
      </c>
      <c r="L235" s="4">
        <v>357.5</v>
      </c>
      <c r="M235" s="4">
        <v>340.3</v>
      </c>
      <c r="N235" s="4">
        <v>464.4</v>
      </c>
      <c r="O235" s="4">
        <v>247.7</v>
      </c>
      <c r="P235" s="4">
        <v>34.700000000000003</v>
      </c>
      <c r="Q235" s="4">
        <v>16.399999999999999</v>
      </c>
      <c r="R235" s="4">
        <v>181.7</v>
      </c>
      <c r="S235" s="4">
        <v>170.2</v>
      </c>
      <c r="T235" s="4">
        <v>705</v>
      </c>
    </row>
    <row r="236" spans="3:20" x14ac:dyDescent="0.2">
      <c r="C236" s="7">
        <f>DATE(87,6,11)</f>
        <v>31939</v>
      </c>
      <c r="D236" s="2">
        <v>1104</v>
      </c>
      <c r="H236" s="4">
        <v>504</v>
      </c>
      <c r="I236" s="4">
        <v>200</v>
      </c>
      <c r="J236" s="4">
        <v>210.4</v>
      </c>
      <c r="K236" s="4">
        <v>1768.6</v>
      </c>
      <c r="L236" s="4">
        <v>366.2</v>
      </c>
      <c r="M236" s="4">
        <v>342.8</v>
      </c>
      <c r="N236" s="4">
        <v>442.5</v>
      </c>
      <c r="O236" s="4">
        <v>245.8</v>
      </c>
      <c r="P236" s="4">
        <v>34</v>
      </c>
      <c r="Q236" s="4"/>
      <c r="R236" s="4">
        <v>177</v>
      </c>
      <c r="S236" s="4">
        <v>161.5</v>
      </c>
      <c r="T236" s="4">
        <v>748</v>
      </c>
    </row>
    <row r="237" spans="3:20" x14ac:dyDescent="0.2">
      <c r="C237" s="7">
        <f>DATE(87,6,12)</f>
        <v>31940</v>
      </c>
      <c r="D237" s="2">
        <v>1101</v>
      </c>
      <c r="H237" s="4">
        <v>495</v>
      </c>
      <c r="I237" s="4">
        <v>142.80000000000001</v>
      </c>
      <c r="J237" s="4">
        <v>177.2</v>
      </c>
      <c r="K237" s="4">
        <v>1675.6</v>
      </c>
      <c r="L237" s="4">
        <v>355.3</v>
      </c>
      <c r="M237" s="4">
        <v>341</v>
      </c>
      <c r="N237" s="4">
        <v>438.8</v>
      </c>
      <c r="O237" s="4">
        <v>248.6</v>
      </c>
      <c r="P237" s="4">
        <v>34.1</v>
      </c>
      <c r="Q237" s="4">
        <v>13.4</v>
      </c>
      <c r="R237" s="4">
        <v>171.1</v>
      </c>
      <c r="S237" s="4">
        <v>167.7</v>
      </c>
      <c r="T237" s="4">
        <v>698</v>
      </c>
    </row>
    <row r="238" spans="3:20" x14ac:dyDescent="0.2">
      <c r="C238" s="7">
        <f>DATE(87,6,16)</f>
        <v>31944</v>
      </c>
      <c r="D238" s="2">
        <v>1104</v>
      </c>
      <c r="H238" s="4">
        <v>509</v>
      </c>
      <c r="I238" s="4">
        <v>80.3</v>
      </c>
      <c r="J238" s="4">
        <v>84.1</v>
      </c>
      <c r="K238" s="4">
        <v>1655.4</v>
      </c>
      <c r="L238" s="4">
        <v>359.2</v>
      </c>
      <c r="M238" s="4">
        <v>340.1</v>
      </c>
      <c r="N238" s="4">
        <v>419.7</v>
      </c>
      <c r="O238" s="4">
        <v>243.9</v>
      </c>
      <c r="P238" s="4">
        <v>32.5</v>
      </c>
      <c r="Q238" s="4">
        <v>24.1</v>
      </c>
      <c r="R238" s="4">
        <v>179.9</v>
      </c>
      <c r="S238" s="4">
        <v>164.8</v>
      </c>
      <c r="T238" s="4">
        <v>633</v>
      </c>
    </row>
    <row r="239" spans="3:20" x14ac:dyDescent="0.2">
      <c r="C239" s="7">
        <f>DATE(87,6,17)</f>
        <v>31945</v>
      </c>
      <c r="D239" s="2">
        <v>1105</v>
      </c>
      <c r="H239" s="4">
        <v>508</v>
      </c>
      <c r="I239" s="4">
        <v>119.2</v>
      </c>
      <c r="J239" s="4">
        <v>124.1</v>
      </c>
      <c r="K239" s="4">
        <v>1655</v>
      </c>
      <c r="L239" s="4">
        <v>359</v>
      </c>
      <c r="M239" s="4">
        <v>340.2</v>
      </c>
      <c r="N239" s="4">
        <v>429.3</v>
      </c>
      <c r="O239" s="4">
        <v>247</v>
      </c>
      <c r="P239" s="4">
        <v>32.700000000000003</v>
      </c>
      <c r="Q239" s="4">
        <v>11.4</v>
      </c>
      <c r="R239" s="4">
        <v>164.9</v>
      </c>
      <c r="S239" s="4">
        <v>167.3</v>
      </c>
      <c r="T239" s="4">
        <v>648</v>
      </c>
    </row>
    <row r="240" spans="3:20" x14ac:dyDescent="0.2">
      <c r="C240" s="7">
        <f>DATE(87,6,18)</f>
        <v>31946</v>
      </c>
      <c r="D240" s="2">
        <v>1106</v>
      </c>
      <c r="H240" s="4">
        <v>516</v>
      </c>
      <c r="I240" s="4">
        <v>148</v>
      </c>
      <c r="J240" s="4">
        <v>160.30000000000001</v>
      </c>
      <c r="K240" s="4">
        <v>1659</v>
      </c>
      <c r="L240" s="4">
        <v>357.3</v>
      </c>
      <c r="M240" s="4">
        <v>340.2</v>
      </c>
      <c r="N240" s="4">
        <v>438.2</v>
      </c>
      <c r="O240" s="4">
        <v>248.9</v>
      </c>
      <c r="P240" s="4">
        <v>33.4</v>
      </c>
      <c r="Q240" s="4"/>
      <c r="R240" s="4">
        <v>169.8</v>
      </c>
      <c r="S240" s="4">
        <v>167.7</v>
      </c>
      <c r="T240" s="4">
        <v>648</v>
      </c>
    </row>
    <row r="241" spans="3:20" x14ac:dyDescent="0.2">
      <c r="C241" s="7">
        <f>DATE(87,6,19)</f>
        <v>31947</v>
      </c>
      <c r="D241" s="2">
        <v>1102</v>
      </c>
      <c r="H241" s="4">
        <v>620</v>
      </c>
      <c r="I241" s="4">
        <v>364.6</v>
      </c>
      <c r="J241" s="4">
        <v>384.1</v>
      </c>
      <c r="K241" s="4">
        <v>1849.6</v>
      </c>
      <c r="L241" s="4">
        <v>375.9</v>
      </c>
      <c r="M241" s="4">
        <v>342.7</v>
      </c>
      <c r="N241" s="4">
        <v>488.3</v>
      </c>
      <c r="O241" s="4"/>
      <c r="P241" s="4">
        <v>54.5</v>
      </c>
      <c r="Q241" s="4">
        <v>116.8</v>
      </c>
      <c r="R241" s="4">
        <v>828.6</v>
      </c>
      <c r="S241" s="4">
        <v>191.8</v>
      </c>
      <c r="T241" s="4">
        <v>822</v>
      </c>
    </row>
    <row r="242" spans="3:20" x14ac:dyDescent="0.2">
      <c r="C242" s="7">
        <f>DATE(87,6,22)</f>
        <v>31950</v>
      </c>
      <c r="D242" s="2">
        <v>1105</v>
      </c>
      <c r="H242" s="4">
        <v>484</v>
      </c>
      <c r="I242" s="4">
        <v>240.1</v>
      </c>
      <c r="J242" s="4">
        <v>251.4</v>
      </c>
      <c r="K242" s="4">
        <v>1925.3</v>
      </c>
      <c r="L242" s="4">
        <v>385</v>
      </c>
      <c r="M242" s="4">
        <v>344.6</v>
      </c>
      <c r="N242" s="4">
        <v>449.9</v>
      </c>
      <c r="O242" s="4">
        <v>250.9</v>
      </c>
      <c r="P242" s="4">
        <v>33.1</v>
      </c>
      <c r="Q242" s="4">
        <v>76.2</v>
      </c>
      <c r="R242" s="4">
        <v>208.5</v>
      </c>
      <c r="S242" s="4">
        <v>184.2</v>
      </c>
      <c r="T242" s="4">
        <v>735</v>
      </c>
    </row>
    <row r="243" spans="3:20" x14ac:dyDescent="0.2">
      <c r="C243" s="7">
        <f>DATE(87,6,23)</f>
        <v>31951</v>
      </c>
      <c r="D243" s="2">
        <v>1103</v>
      </c>
      <c r="H243" s="4">
        <v>502</v>
      </c>
      <c r="I243" s="4">
        <v>93.3</v>
      </c>
      <c r="J243" s="4">
        <v>99.1</v>
      </c>
      <c r="K243" s="4">
        <v>1691</v>
      </c>
      <c r="L243" s="4">
        <v>357</v>
      </c>
      <c r="M243" s="4">
        <v>341.4</v>
      </c>
      <c r="N243" s="4">
        <v>427.2</v>
      </c>
      <c r="O243" s="4">
        <v>239.2</v>
      </c>
      <c r="P243" s="4">
        <v>35.200000000000003</v>
      </c>
      <c r="Q243" s="4"/>
      <c r="R243" s="4">
        <v>213.2</v>
      </c>
      <c r="S243" s="4">
        <v>168</v>
      </c>
      <c r="T243" s="4">
        <v>720</v>
      </c>
    </row>
    <row r="244" spans="3:20" x14ac:dyDescent="0.2">
      <c r="C244" s="7">
        <f>DATE(87,6,24)</f>
        <v>31952</v>
      </c>
      <c r="D244" s="2">
        <v>1104</v>
      </c>
      <c r="H244" s="4">
        <v>508</v>
      </c>
      <c r="I244" s="4">
        <v>69.5</v>
      </c>
      <c r="J244" s="4">
        <v>71.3</v>
      </c>
      <c r="K244" s="4">
        <v>1649.8</v>
      </c>
      <c r="L244" s="4">
        <v>357.2</v>
      </c>
      <c r="M244" s="4">
        <v>340.1</v>
      </c>
      <c r="N244" s="4">
        <v>427.1</v>
      </c>
      <c r="O244" s="4">
        <v>245.6</v>
      </c>
      <c r="P244" s="4">
        <v>33.299999999999997</v>
      </c>
      <c r="Q244" s="4">
        <v>15.8</v>
      </c>
      <c r="R244" s="4">
        <v>174.4</v>
      </c>
      <c r="S244" s="4">
        <v>166.6</v>
      </c>
      <c r="T244" s="4">
        <v>638</v>
      </c>
    </row>
    <row r="247" spans="3:20" x14ac:dyDescent="0.2">
      <c r="H247" s="8" t="s">
        <v>117</v>
      </c>
      <c r="I247" s="8" t="s">
        <v>118</v>
      </c>
      <c r="J247" s="8" t="s">
        <v>118</v>
      </c>
      <c r="K247" s="8" t="s">
        <v>123</v>
      </c>
      <c r="L247" s="8" t="s">
        <v>134</v>
      </c>
      <c r="M247" s="8" t="s">
        <v>138</v>
      </c>
      <c r="N247" s="8" t="s">
        <v>136</v>
      </c>
      <c r="O247" s="8" t="s">
        <v>130</v>
      </c>
      <c r="P247" s="8" t="s">
        <v>133</v>
      </c>
      <c r="Q247" s="8" t="s">
        <v>127</v>
      </c>
      <c r="R247" s="8" t="s">
        <v>121</v>
      </c>
      <c r="S247" s="8" t="s">
        <v>112</v>
      </c>
      <c r="T247" s="8" t="s">
        <v>115</v>
      </c>
    </row>
    <row r="248" spans="3:20" x14ac:dyDescent="0.2">
      <c r="H248" s="8" t="s">
        <v>266</v>
      </c>
      <c r="I248" s="8" t="s">
        <v>266</v>
      </c>
      <c r="J248" s="8" t="s">
        <v>266</v>
      </c>
      <c r="K248" s="8" t="s">
        <v>266</v>
      </c>
      <c r="L248" s="8" t="s">
        <v>371</v>
      </c>
      <c r="M248" s="8" t="s">
        <v>144</v>
      </c>
      <c r="N248" s="8" t="s">
        <v>144</v>
      </c>
      <c r="O248" s="8" t="s">
        <v>144</v>
      </c>
      <c r="P248" s="8" t="s">
        <v>144</v>
      </c>
      <c r="Q248" s="8" t="s">
        <v>144</v>
      </c>
      <c r="R248" s="8" t="s">
        <v>144</v>
      </c>
      <c r="S248" s="8" t="s">
        <v>144</v>
      </c>
      <c r="T248" s="8" t="s">
        <v>144</v>
      </c>
    </row>
    <row r="250" spans="3:20" x14ac:dyDescent="0.2">
      <c r="C250" s="7">
        <f>AVERAGE(C213:C243)</f>
        <v>31886.935483870966</v>
      </c>
      <c r="D250" s="2" t="s">
        <v>363</v>
      </c>
      <c r="H250" s="4">
        <f t="shared" ref="H250:T250" si="16">AVERAGE(H213:H243)</f>
        <v>510.41935483870969</v>
      </c>
      <c r="I250" s="4">
        <f t="shared" si="16"/>
        <v>166.56774193548389</v>
      </c>
      <c r="J250" s="4">
        <f t="shared" si="16"/>
        <v>176.78064516129035</v>
      </c>
      <c r="K250" s="4">
        <f t="shared" si="16"/>
        <v>1711.7645161290322</v>
      </c>
      <c r="L250" s="4">
        <f t="shared" si="16"/>
        <v>360.97741935483873</v>
      </c>
      <c r="M250" s="4">
        <f t="shared" si="16"/>
        <v>341.67419354838717</v>
      </c>
      <c r="N250" s="4">
        <f t="shared" si="16"/>
        <v>441.14193548387095</v>
      </c>
      <c r="O250" s="4">
        <f t="shared" si="16"/>
        <v>246.47999999999996</v>
      </c>
      <c r="P250" s="4">
        <f t="shared" si="16"/>
        <v>33.735483870967748</v>
      </c>
      <c r="Q250" s="4">
        <f t="shared" si="16"/>
        <v>32.265217391304347</v>
      </c>
      <c r="R250" s="4">
        <f t="shared" si="16"/>
        <v>213.47096774193545</v>
      </c>
      <c r="S250" s="4">
        <f t="shared" si="16"/>
        <v>167.70322580645163</v>
      </c>
      <c r="T250" s="4">
        <f t="shared" si="16"/>
        <v>735</v>
      </c>
    </row>
    <row r="251" spans="3:20" x14ac:dyDescent="0.2">
      <c r="D251" s="2" t="s">
        <v>364</v>
      </c>
      <c r="H251" s="4">
        <f t="shared" ref="H251:T251" si="17">STDEV(H213:H243)</f>
        <v>23.216049324477218</v>
      </c>
      <c r="I251" s="4">
        <f t="shared" si="17"/>
        <v>76.279347956908879</v>
      </c>
      <c r="J251" s="4">
        <f t="shared" si="17"/>
        <v>86.976278066128799</v>
      </c>
      <c r="K251" s="4">
        <f t="shared" si="17"/>
        <v>71.08753546807435</v>
      </c>
      <c r="L251" s="4">
        <f t="shared" si="17"/>
        <v>11.982006222593926</v>
      </c>
      <c r="M251" s="4">
        <f t="shared" si="17"/>
        <v>1.5205191529946815</v>
      </c>
      <c r="N251" s="4">
        <f t="shared" si="17"/>
        <v>20.011792759829532</v>
      </c>
      <c r="O251" s="4">
        <f t="shared" si="17"/>
        <v>7.4949822295112662</v>
      </c>
      <c r="P251" s="4">
        <f t="shared" si="17"/>
        <v>4.0716539135095449</v>
      </c>
      <c r="Q251" s="4">
        <f t="shared" si="17"/>
        <v>24.809595077411853</v>
      </c>
      <c r="R251" s="4">
        <f t="shared" si="17"/>
        <v>125.27517496441821</v>
      </c>
      <c r="S251" s="4">
        <f t="shared" si="17"/>
        <v>7.0916140086239761</v>
      </c>
      <c r="T251" s="4">
        <f t="shared" si="17"/>
        <v>72.995890295276212</v>
      </c>
    </row>
    <row r="252" spans="3:20" x14ac:dyDescent="0.2">
      <c r="D252" s="2" t="s">
        <v>365</v>
      </c>
      <c r="H252" s="2">
        <f t="shared" ref="H252:T252" si="18">COUNTA(H213:H243)</f>
        <v>31</v>
      </c>
      <c r="I252" s="2">
        <f t="shared" si="18"/>
        <v>31</v>
      </c>
      <c r="J252" s="2">
        <f t="shared" si="18"/>
        <v>31</v>
      </c>
      <c r="K252" s="2">
        <f t="shared" si="18"/>
        <v>31</v>
      </c>
      <c r="L252" s="2">
        <f t="shared" si="18"/>
        <v>31</v>
      </c>
      <c r="M252" s="2">
        <f t="shared" si="18"/>
        <v>31</v>
      </c>
      <c r="N252" s="2">
        <f t="shared" si="18"/>
        <v>31</v>
      </c>
      <c r="O252" s="2">
        <f t="shared" si="18"/>
        <v>30</v>
      </c>
      <c r="P252" s="2">
        <f t="shared" si="18"/>
        <v>31</v>
      </c>
      <c r="Q252" s="2">
        <f t="shared" si="18"/>
        <v>23</v>
      </c>
      <c r="R252" s="2">
        <f t="shared" si="18"/>
        <v>31</v>
      </c>
      <c r="S252" s="2">
        <f t="shared" si="18"/>
        <v>31</v>
      </c>
      <c r="T252" s="2">
        <f t="shared" si="18"/>
        <v>31</v>
      </c>
    </row>
  </sheetData>
  <pageMargins left="0.5" right="0.5" top="0.75" bottom="0.75" header="0.5" footer="0.5"/>
  <pageSetup orientation="portrait" horizontalDpi="0" verticalDpi="0" copies="0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90"/>
  <sheetViews>
    <sheetView showOutlineSymbols="0" defaultGridColor="0" colorId="9" workbookViewId="0"/>
  </sheetViews>
  <sheetFormatPr defaultColWidth="8.6640625" defaultRowHeight="15" x14ac:dyDescent="0.2"/>
  <cols>
    <col min="1" max="16384" width="8.6640625" style="2"/>
  </cols>
  <sheetData>
    <row r="1" spans="1:51" ht="18" x14ac:dyDescent="0.25">
      <c r="A1" s="18" t="s">
        <v>806</v>
      </c>
      <c r="AY1" s="2" t="s">
        <v>1</v>
      </c>
    </row>
    <row r="2" spans="1:51" x14ac:dyDescent="0.2">
      <c r="A2" s="2" t="s">
        <v>807</v>
      </c>
      <c r="AY2" s="2" t="s">
        <v>1</v>
      </c>
    </row>
    <row r="3" spans="1:51" x14ac:dyDescent="0.2">
      <c r="AY3" s="2" t="s">
        <v>1</v>
      </c>
    </row>
    <row r="4" spans="1:51" x14ac:dyDescent="0.2">
      <c r="AY4" s="2" t="s">
        <v>1</v>
      </c>
    </row>
    <row r="5" spans="1:51" x14ac:dyDescent="0.2">
      <c r="B5" s="2" t="s">
        <v>682</v>
      </c>
      <c r="C5" s="15" t="s">
        <v>253</v>
      </c>
      <c r="D5" s="8" t="s">
        <v>286</v>
      </c>
      <c r="E5" s="2" t="s">
        <v>448</v>
      </c>
      <c r="F5" s="8" t="s">
        <v>118</v>
      </c>
      <c r="G5" s="8" t="s">
        <v>123</v>
      </c>
      <c r="H5" s="8" t="s">
        <v>134</v>
      </c>
      <c r="K5" s="2" t="s">
        <v>808</v>
      </c>
      <c r="R5" s="2">
        <v>1992</v>
      </c>
      <c r="AD5" s="2" t="s">
        <v>809</v>
      </c>
      <c r="AF5" s="2" t="s">
        <v>810</v>
      </c>
      <c r="AY5" s="2" t="s">
        <v>1</v>
      </c>
    </row>
    <row r="6" spans="1:51" x14ac:dyDescent="0.2">
      <c r="E6" s="8" t="s">
        <v>451</v>
      </c>
      <c r="F6" s="8" t="s">
        <v>266</v>
      </c>
      <c r="G6" s="8" t="s">
        <v>266</v>
      </c>
      <c r="H6" s="8" t="s">
        <v>371</v>
      </c>
      <c r="AD6" s="2" t="s">
        <v>811</v>
      </c>
      <c r="AM6" s="2" t="s">
        <v>812</v>
      </c>
      <c r="AY6" s="2" t="s">
        <v>1</v>
      </c>
    </row>
    <row r="7" spans="1:51" x14ac:dyDescent="0.2">
      <c r="A7" s="2" t="s">
        <v>813</v>
      </c>
      <c r="L7" s="2" t="s">
        <v>682</v>
      </c>
      <c r="M7" s="15" t="s">
        <v>253</v>
      </c>
      <c r="N7" s="8" t="s">
        <v>286</v>
      </c>
      <c r="O7" s="2" t="s">
        <v>203</v>
      </c>
      <c r="P7" s="2" t="s">
        <v>200</v>
      </c>
      <c r="Q7" s="2" t="s">
        <v>448</v>
      </c>
      <c r="R7" s="8" t="s">
        <v>118</v>
      </c>
      <c r="S7" s="8" t="s">
        <v>123</v>
      </c>
      <c r="T7" s="8" t="s">
        <v>134</v>
      </c>
      <c r="U7" s="8" t="s">
        <v>138</v>
      </c>
      <c r="V7" s="8" t="s">
        <v>136</v>
      </c>
      <c r="W7" s="8" t="s">
        <v>130</v>
      </c>
      <c r="X7" s="8" t="s">
        <v>133</v>
      </c>
      <c r="Y7" s="8" t="s">
        <v>127</v>
      </c>
      <c r="Z7" s="8" t="s">
        <v>121</v>
      </c>
      <c r="AA7" s="8" t="s">
        <v>112</v>
      </c>
      <c r="AB7" s="8" t="s">
        <v>146</v>
      </c>
      <c r="AD7" s="2" t="s">
        <v>284</v>
      </c>
      <c r="AF7" s="15" t="s">
        <v>253</v>
      </c>
      <c r="AG7" s="8" t="s">
        <v>286</v>
      </c>
      <c r="AH7" s="8" t="s">
        <v>448</v>
      </c>
      <c r="AI7" s="8" t="s">
        <v>814</v>
      </c>
      <c r="AJ7" s="8" t="s">
        <v>117</v>
      </c>
      <c r="AK7" s="8" t="s">
        <v>118</v>
      </c>
      <c r="AL7" s="8" t="s">
        <v>118</v>
      </c>
      <c r="AM7" s="8" t="s">
        <v>123</v>
      </c>
      <c r="AN7" s="8" t="s">
        <v>134</v>
      </c>
      <c r="AO7" s="8" t="s">
        <v>138</v>
      </c>
      <c r="AP7" s="8" t="s">
        <v>136</v>
      </c>
      <c r="AQ7" s="8" t="s">
        <v>130</v>
      </c>
      <c r="AR7" s="8" t="s">
        <v>133</v>
      </c>
      <c r="AS7" s="8" t="s">
        <v>127</v>
      </c>
      <c r="AT7" s="8" t="s">
        <v>121</v>
      </c>
      <c r="AU7" s="8" t="s">
        <v>112</v>
      </c>
      <c r="AV7" s="8" t="s">
        <v>146</v>
      </c>
      <c r="AY7" s="2" t="s">
        <v>1</v>
      </c>
    </row>
    <row r="8" spans="1:51" x14ac:dyDescent="0.2">
      <c r="A8" s="2">
        <v>7</v>
      </c>
      <c r="B8" s="2" t="s">
        <v>815</v>
      </c>
      <c r="C8" s="7">
        <f t="shared" ref="C8:C16" si="0">DATE(92,9,20)</f>
        <v>33867</v>
      </c>
      <c r="D8" s="2">
        <v>951</v>
      </c>
      <c r="E8" s="2">
        <v>7500</v>
      </c>
      <c r="F8" s="2">
        <v>279</v>
      </c>
      <c r="G8" s="2">
        <v>1733</v>
      </c>
      <c r="H8" s="2">
        <v>364</v>
      </c>
      <c r="Q8" s="2" t="s">
        <v>816</v>
      </c>
      <c r="R8" s="8" t="s">
        <v>266</v>
      </c>
      <c r="S8" s="8" t="s">
        <v>266</v>
      </c>
      <c r="T8" s="8" t="s">
        <v>371</v>
      </c>
      <c r="U8" s="8" t="s">
        <v>266</v>
      </c>
      <c r="V8" s="8" t="s">
        <v>144</v>
      </c>
      <c r="W8" s="8" t="s">
        <v>144</v>
      </c>
      <c r="X8" s="8" t="s">
        <v>144</v>
      </c>
      <c r="Y8" s="8" t="s">
        <v>144</v>
      </c>
      <c r="Z8" s="8" t="s">
        <v>144</v>
      </c>
      <c r="AA8" s="8" t="s">
        <v>144</v>
      </c>
      <c r="AB8" s="8" t="s">
        <v>426</v>
      </c>
      <c r="AD8" s="2" t="s">
        <v>289</v>
      </c>
      <c r="AI8" s="8" t="s">
        <v>291</v>
      </c>
      <c r="AJ8" s="8" t="s">
        <v>266</v>
      </c>
      <c r="AK8" s="8" t="s">
        <v>266</v>
      </c>
      <c r="AL8" s="8" t="s">
        <v>266</v>
      </c>
      <c r="AM8" s="8" t="s">
        <v>266</v>
      </c>
      <c r="AN8" s="8" t="s">
        <v>371</v>
      </c>
      <c r="AO8" s="8" t="s">
        <v>266</v>
      </c>
      <c r="AP8" s="8" t="s">
        <v>144</v>
      </c>
      <c r="AQ8" s="8" t="s">
        <v>144</v>
      </c>
      <c r="AR8" s="8" t="s">
        <v>144</v>
      </c>
      <c r="AS8" s="8" t="s">
        <v>144</v>
      </c>
      <c r="AT8" s="8" t="s">
        <v>144</v>
      </c>
      <c r="AU8" s="8" t="s">
        <v>144</v>
      </c>
      <c r="AV8" s="8" t="s">
        <v>426</v>
      </c>
      <c r="AY8" s="2" t="s">
        <v>1</v>
      </c>
    </row>
    <row r="9" spans="1:51" x14ac:dyDescent="0.2">
      <c r="A9" s="2">
        <v>10</v>
      </c>
      <c r="B9" s="2" t="s">
        <v>817</v>
      </c>
      <c r="C9" s="7">
        <f t="shared" si="0"/>
        <v>33867</v>
      </c>
      <c r="D9" s="2">
        <v>1030</v>
      </c>
      <c r="E9" s="2">
        <v>3000</v>
      </c>
      <c r="F9" s="2">
        <v>400</v>
      </c>
      <c r="G9" s="2">
        <v>1762</v>
      </c>
      <c r="H9" s="2">
        <v>375</v>
      </c>
      <c r="AY9" s="2" t="s">
        <v>1</v>
      </c>
    </row>
    <row r="10" spans="1:51" x14ac:dyDescent="0.2">
      <c r="A10" s="2">
        <v>13</v>
      </c>
      <c r="B10" s="2" t="s">
        <v>818</v>
      </c>
      <c r="C10" s="7">
        <f t="shared" si="0"/>
        <v>33867</v>
      </c>
      <c r="D10" s="2">
        <v>1120</v>
      </c>
      <c r="E10" s="2">
        <v>6000</v>
      </c>
      <c r="F10" s="2">
        <v>352</v>
      </c>
      <c r="G10" s="2">
        <v>1735</v>
      </c>
      <c r="H10" s="2">
        <v>366</v>
      </c>
      <c r="K10" s="2">
        <v>1</v>
      </c>
      <c r="L10" s="2" t="s">
        <v>819</v>
      </c>
      <c r="M10" s="7">
        <f>DATE(92,9,18)</f>
        <v>33865</v>
      </c>
      <c r="N10" s="2">
        <v>1650</v>
      </c>
      <c r="O10" s="2" t="s">
        <v>813</v>
      </c>
      <c r="Q10" s="2">
        <v>3000</v>
      </c>
      <c r="R10" s="2">
        <v>538</v>
      </c>
      <c r="S10" s="2">
        <v>1771</v>
      </c>
      <c r="T10" s="2">
        <v>369</v>
      </c>
      <c r="U10" s="17">
        <v>338.6</v>
      </c>
      <c r="V10" s="2">
        <v>502</v>
      </c>
      <c r="W10" s="2">
        <v>287</v>
      </c>
      <c r="X10" s="2">
        <v>55</v>
      </c>
      <c r="Z10" s="2">
        <v>182</v>
      </c>
      <c r="AA10" s="2">
        <v>159</v>
      </c>
      <c r="AB10" s="2">
        <v>52</v>
      </c>
      <c r="AY10" s="2" t="s">
        <v>1</v>
      </c>
    </row>
    <row r="11" spans="1:51" x14ac:dyDescent="0.2">
      <c r="A11" s="2">
        <v>16</v>
      </c>
      <c r="B11" s="2" t="s">
        <v>820</v>
      </c>
      <c r="C11" s="7">
        <f t="shared" si="0"/>
        <v>33867</v>
      </c>
      <c r="D11" s="2">
        <v>1157</v>
      </c>
      <c r="E11" s="2">
        <v>10500</v>
      </c>
      <c r="F11" s="2">
        <v>202</v>
      </c>
      <c r="G11" s="2">
        <v>1733</v>
      </c>
      <c r="H11" s="2">
        <v>363</v>
      </c>
      <c r="K11" s="2">
        <v>2</v>
      </c>
      <c r="L11" s="2" t="s">
        <v>821</v>
      </c>
      <c r="M11" s="7">
        <f>DATE(92,9,19)</f>
        <v>33866</v>
      </c>
      <c r="N11" s="2">
        <v>1046</v>
      </c>
      <c r="O11" s="2" t="s">
        <v>813</v>
      </c>
      <c r="Q11" s="2">
        <v>3000</v>
      </c>
      <c r="R11" s="2">
        <v>490</v>
      </c>
      <c r="S11" s="2">
        <v>1771</v>
      </c>
      <c r="T11" s="2">
        <v>383</v>
      </c>
      <c r="U11" s="17">
        <v>337.9</v>
      </c>
      <c r="V11" s="2">
        <v>501</v>
      </c>
      <c r="W11" s="2">
        <v>287</v>
      </c>
      <c r="X11" s="2">
        <v>54</v>
      </c>
      <c r="Z11" s="2">
        <v>181</v>
      </c>
      <c r="AA11" s="2">
        <v>158</v>
      </c>
      <c r="AB11" s="2">
        <v>43</v>
      </c>
      <c r="AD11" s="2" t="s">
        <v>822</v>
      </c>
      <c r="AE11" s="2" t="s">
        <v>823</v>
      </c>
      <c r="AF11" s="7">
        <f t="shared" ref="AF11:AF27" si="1">DATE(89,9,19)</f>
        <v>32770</v>
      </c>
      <c r="AG11" s="2">
        <v>1000</v>
      </c>
      <c r="AH11" s="2">
        <v>6500</v>
      </c>
      <c r="AJ11" s="2">
        <v>700</v>
      </c>
      <c r="AK11" s="2">
        <v>228</v>
      </c>
      <c r="AL11" s="2">
        <v>139</v>
      </c>
      <c r="AM11" s="2">
        <v>1709</v>
      </c>
      <c r="AN11" s="2">
        <v>336</v>
      </c>
      <c r="AO11" s="2">
        <v>342</v>
      </c>
      <c r="AP11" s="2">
        <v>474</v>
      </c>
      <c r="AQ11" s="2">
        <v>270</v>
      </c>
      <c r="AR11" s="2">
        <v>47</v>
      </c>
      <c r="AS11" s="2">
        <v>12</v>
      </c>
      <c r="AT11" s="2">
        <v>179</v>
      </c>
      <c r="AU11" s="2">
        <v>127</v>
      </c>
      <c r="AV11" s="2">
        <v>80</v>
      </c>
      <c r="AY11" s="2" t="s">
        <v>1</v>
      </c>
    </row>
    <row r="12" spans="1:51" x14ac:dyDescent="0.2">
      <c r="A12" s="2">
        <v>17</v>
      </c>
      <c r="B12" s="2" t="s">
        <v>824</v>
      </c>
      <c r="C12" s="7">
        <f t="shared" si="0"/>
        <v>33867</v>
      </c>
      <c r="D12" s="2">
        <v>1206</v>
      </c>
      <c r="E12" s="2">
        <v>12000</v>
      </c>
      <c r="F12" s="2">
        <v>132</v>
      </c>
      <c r="G12" s="2">
        <v>1726</v>
      </c>
      <c r="H12" s="2">
        <v>359</v>
      </c>
      <c r="K12" s="2">
        <v>3</v>
      </c>
      <c r="L12" s="2" t="s">
        <v>825</v>
      </c>
      <c r="M12" s="7">
        <f>DATE(92,9,19)</f>
        <v>33866</v>
      </c>
      <c r="O12" s="2" t="s">
        <v>813</v>
      </c>
      <c r="Q12" s="2">
        <v>3000</v>
      </c>
      <c r="R12" s="2">
        <v>497</v>
      </c>
      <c r="S12" s="2">
        <v>1769</v>
      </c>
      <c r="T12" s="2">
        <v>380</v>
      </c>
      <c r="U12" s="17">
        <v>338.1</v>
      </c>
      <c r="V12" s="2">
        <v>502</v>
      </c>
      <c r="W12" s="2">
        <v>288</v>
      </c>
      <c r="X12" s="2">
        <v>54</v>
      </c>
      <c r="Z12" s="2">
        <v>183</v>
      </c>
      <c r="AA12" s="2">
        <v>158</v>
      </c>
      <c r="AB12" s="2">
        <v>47</v>
      </c>
      <c r="AD12" s="2" t="s">
        <v>822</v>
      </c>
      <c r="AE12" s="2" t="s">
        <v>826</v>
      </c>
      <c r="AF12" s="7">
        <f t="shared" si="1"/>
        <v>32770</v>
      </c>
      <c r="AG12" s="2">
        <v>1048</v>
      </c>
      <c r="AH12" s="2">
        <v>22000</v>
      </c>
      <c r="AJ12" s="2">
        <v>2000</v>
      </c>
      <c r="AK12" s="2">
        <v>1090</v>
      </c>
      <c r="AL12" s="2">
        <v>60</v>
      </c>
      <c r="AM12" s="2">
        <v>1692</v>
      </c>
      <c r="AN12" s="2">
        <v>344</v>
      </c>
      <c r="AO12" s="2">
        <v>343</v>
      </c>
      <c r="AP12" s="2">
        <v>492</v>
      </c>
      <c r="AQ12" s="2">
        <v>198</v>
      </c>
      <c r="AR12" s="2">
        <v>34</v>
      </c>
      <c r="AT12" s="2">
        <v>44</v>
      </c>
      <c r="AV12" s="2">
        <v>20</v>
      </c>
      <c r="AY12" s="2" t="s">
        <v>1</v>
      </c>
    </row>
    <row r="13" spans="1:51" x14ac:dyDescent="0.2">
      <c r="A13" s="2">
        <v>18</v>
      </c>
      <c r="B13" s="2" t="s">
        <v>827</v>
      </c>
      <c r="C13" s="7">
        <f t="shared" si="0"/>
        <v>33867</v>
      </c>
      <c r="D13" s="2">
        <v>1232</v>
      </c>
      <c r="E13" s="2">
        <v>10500</v>
      </c>
      <c r="F13" s="2">
        <v>159</v>
      </c>
      <c r="G13" s="2">
        <v>1736</v>
      </c>
      <c r="H13" s="2">
        <v>361</v>
      </c>
      <c r="K13" s="2">
        <v>4</v>
      </c>
      <c r="L13" s="2" t="s">
        <v>828</v>
      </c>
      <c r="M13" s="7">
        <f>DATE(92,9,19)</f>
        <v>33866</v>
      </c>
      <c r="N13" s="2">
        <v>1058</v>
      </c>
      <c r="O13" s="2" t="s">
        <v>813</v>
      </c>
      <c r="Q13" s="2">
        <v>2000</v>
      </c>
      <c r="R13" s="2">
        <v>178</v>
      </c>
      <c r="S13" s="2">
        <v>1777</v>
      </c>
      <c r="T13" s="2">
        <v>388</v>
      </c>
      <c r="U13" s="17">
        <v>338.9</v>
      </c>
      <c r="V13" s="2">
        <v>506</v>
      </c>
      <c r="W13" s="2">
        <v>288</v>
      </c>
      <c r="X13" s="2">
        <v>55</v>
      </c>
      <c r="Z13" s="2">
        <v>182</v>
      </c>
      <c r="AA13" s="2">
        <v>156</v>
      </c>
      <c r="AB13" s="2">
        <v>47</v>
      </c>
      <c r="AD13" s="2" t="s">
        <v>822</v>
      </c>
      <c r="AE13" s="2" t="s">
        <v>829</v>
      </c>
      <c r="AF13" s="7">
        <f t="shared" si="1"/>
        <v>32770</v>
      </c>
      <c r="AG13" s="2">
        <v>1103</v>
      </c>
      <c r="AH13" s="2">
        <v>20000</v>
      </c>
      <c r="AJ13" s="2">
        <v>626</v>
      </c>
      <c r="AK13" s="2">
        <v>21</v>
      </c>
      <c r="AL13" s="2">
        <v>68</v>
      </c>
      <c r="AM13" s="2">
        <v>1722</v>
      </c>
      <c r="AN13" s="2">
        <v>352</v>
      </c>
      <c r="AO13" s="2">
        <v>343</v>
      </c>
      <c r="AP13" s="2">
        <v>539</v>
      </c>
      <c r="AQ13" s="2">
        <v>780</v>
      </c>
      <c r="AR13" s="2">
        <v>48</v>
      </c>
      <c r="AS13" s="2">
        <v>17</v>
      </c>
      <c r="AT13" s="2">
        <v>140</v>
      </c>
      <c r="AV13" s="2">
        <v>10</v>
      </c>
      <c r="AY13" s="2" t="s">
        <v>1</v>
      </c>
    </row>
    <row r="14" spans="1:51" x14ac:dyDescent="0.2">
      <c r="A14" s="2">
        <v>19</v>
      </c>
      <c r="B14" s="2" t="s">
        <v>830</v>
      </c>
      <c r="C14" s="7">
        <f t="shared" si="0"/>
        <v>33867</v>
      </c>
      <c r="D14" s="2">
        <v>1243</v>
      </c>
      <c r="E14" s="2">
        <v>9000</v>
      </c>
      <c r="F14" s="2">
        <v>186</v>
      </c>
      <c r="G14" s="2">
        <v>1725</v>
      </c>
      <c r="H14" s="2">
        <v>360</v>
      </c>
      <c r="K14" s="2">
        <v>5</v>
      </c>
      <c r="L14" s="2" t="s">
        <v>831</v>
      </c>
      <c r="M14" s="7">
        <f>DATE(92,9,20)</f>
        <v>33867</v>
      </c>
      <c r="N14" s="2">
        <v>1100</v>
      </c>
      <c r="O14" s="2" t="s">
        <v>813</v>
      </c>
      <c r="R14" s="2">
        <v>423</v>
      </c>
      <c r="S14" s="2">
        <v>1777</v>
      </c>
      <c r="T14" s="2">
        <v>402</v>
      </c>
      <c r="U14" s="17">
        <v>338.6</v>
      </c>
      <c r="V14" s="2">
        <v>515</v>
      </c>
      <c r="W14" s="2">
        <v>283</v>
      </c>
      <c r="X14" s="2">
        <v>54</v>
      </c>
      <c r="Z14" s="2">
        <v>182</v>
      </c>
      <c r="AA14" s="2">
        <v>157</v>
      </c>
      <c r="AB14" s="2">
        <v>120</v>
      </c>
      <c r="AD14" s="2" t="s">
        <v>822</v>
      </c>
      <c r="AE14" s="2" t="s">
        <v>832</v>
      </c>
      <c r="AF14" s="7">
        <f t="shared" si="1"/>
        <v>32770</v>
      </c>
      <c r="AG14" s="2">
        <v>1114</v>
      </c>
      <c r="AH14" s="2">
        <v>1800</v>
      </c>
      <c r="AJ14" s="2">
        <v>537</v>
      </c>
      <c r="AK14" s="2">
        <v>52</v>
      </c>
      <c r="AL14" s="2">
        <v>58</v>
      </c>
      <c r="AM14" s="2">
        <v>1687</v>
      </c>
      <c r="AN14" s="2">
        <v>345</v>
      </c>
      <c r="AO14" s="2">
        <v>342</v>
      </c>
      <c r="AP14" s="2">
        <v>480</v>
      </c>
      <c r="AQ14" s="2">
        <v>264</v>
      </c>
      <c r="AR14" s="2">
        <v>47</v>
      </c>
      <c r="AT14" s="2">
        <v>123</v>
      </c>
      <c r="AV14" s="2">
        <v>8</v>
      </c>
      <c r="AY14" s="2" t="s">
        <v>1</v>
      </c>
    </row>
    <row r="15" spans="1:51" x14ac:dyDescent="0.2">
      <c r="A15" s="2">
        <v>20</v>
      </c>
      <c r="B15" s="2" t="s">
        <v>833</v>
      </c>
      <c r="C15" s="7">
        <f t="shared" si="0"/>
        <v>33867</v>
      </c>
      <c r="D15" s="2">
        <v>1253</v>
      </c>
      <c r="E15" s="2">
        <v>7500</v>
      </c>
      <c r="F15" s="2">
        <v>205</v>
      </c>
      <c r="G15" s="2">
        <v>1731</v>
      </c>
      <c r="H15" s="2">
        <v>361</v>
      </c>
      <c r="K15" s="2">
        <v>6</v>
      </c>
      <c r="L15" s="2" t="s">
        <v>834</v>
      </c>
      <c r="M15" s="7">
        <f>DATE(92,9,21)</f>
        <v>33868</v>
      </c>
      <c r="N15" s="2">
        <v>1305</v>
      </c>
      <c r="O15" s="2" t="s">
        <v>813</v>
      </c>
      <c r="R15" s="2">
        <v>542</v>
      </c>
      <c r="S15" s="2">
        <v>1761</v>
      </c>
      <c r="T15" s="2">
        <v>374</v>
      </c>
      <c r="U15" s="17">
        <v>341.6</v>
      </c>
      <c r="V15" s="2">
        <v>520</v>
      </c>
      <c r="W15" s="2">
        <v>284</v>
      </c>
      <c r="X15" s="2">
        <v>55</v>
      </c>
      <c r="Z15" s="2">
        <v>180</v>
      </c>
      <c r="AA15" s="2">
        <v>157</v>
      </c>
      <c r="AB15" s="2">
        <v>65</v>
      </c>
      <c r="AD15" s="2" t="s">
        <v>822</v>
      </c>
      <c r="AE15" s="2" t="s">
        <v>835</v>
      </c>
      <c r="AF15" s="7">
        <f t="shared" si="1"/>
        <v>32770</v>
      </c>
      <c r="AG15" s="2">
        <v>1125</v>
      </c>
      <c r="AH15" s="2">
        <v>1600</v>
      </c>
      <c r="AJ15" s="2">
        <v>601</v>
      </c>
      <c r="AK15" s="2">
        <v>103</v>
      </c>
      <c r="AL15" s="2">
        <v>102</v>
      </c>
      <c r="AM15" s="2">
        <v>1685</v>
      </c>
      <c r="AN15" s="2">
        <v>351</v>
      </c>
      <c r="AO15" s="2">
        <v>342</v>
      </c>
      <c r="AP15" s="2">
        <v>483</v>
      </c>
      <c r="AQ15" s="2">
        <v>252</v>
      </c>
      <c r="AR15" s="2">
        <v>47</v>
      </c>
      <c r="AT15" s="2">
        <v>87</v>
      </c>
      <c r="AV15" s="2">
        <v>32</v>
      </c>
      <c r="AY15" s="2" t="s">
        <v>1</v>
      </c>
    </row>
    <row r="16" spans="1:51" x14ac:dyDescent="0.2">
      <c r="A16" s="2">
        <v>21</v>
      </c>
      <c r="B16" s="2" t="s">
        <v>836</v>
      </c>
      <c r="C16" s="7">
        <f t="shared" si="0"/>
        <v>33867</v>
      </c>
      <c r="D16" s="2">
        <v>1302</v>
      </c>
      <c r="E16" s="2">
        <v>6000</v>
      </c>
      <c r="F16" s="2">
        <v>379</v>
      </c>
      <c r="G16" s="2">
        <v>1735</v>
      </c>
      <c r="H16" s="2">
        <v>374</v>
      </c>
      <c r="K16" s="2">
        <v>7</v>
      </c>
      <c r="L16" s="2" t="s">
        <v>837</v>
      </c>
      <c r="M16" s="7">
        <f>DATE(92,9,22)</f>
        <v>33869</v>
      </c>
      <c r="N16" s="2">
        <v>1250</v>
      </c>
      <c r="O16" s="2" t="s">
        <v>813</v>
      </c>
      <c r="R16" s="2">
        <v>148</v>
      </c>
      <c r="S16" s="2">
        <v>1728</v>
      </c>
      <c r="T16" s="2">
        <v>366</v>
      </c>
      <c r="U16" s="17">
        <v>338.1</v>
      </c>
      <c r="V16" s="2">
        <v>515</v>
      </c>
      <c r="W16" s="2">
        <v>280</v>
      </c>
      <c r="X16" s="2">
        <v>54</v>
      </c>
      <c r="Z16" s="2">
        <v>178</v>
      </c>
      <c r="AA16" s="2">
        <v>158</v>
      </c>
      <c r="AB16" s="2">
        <v>40</v>
      </c>
      <c r="AD16" s="2" t="s">
        <v>822</v>
      </c>
      <c r="AE16" s="2" t="s">
        <v>838</v>
      </c>
      <c r="AF16" s="7">
        <f t="shared" si="1"/>
        <v>32770</v>
      </c>
      <c r="AG16" s="2">
        <v>1150</v>
      </c>
      <c r="AH16" s="2">
        <v>12000</v>
      </c>
      <c r="AJ16" s="2">
        <v>674</v>
      </c>
      <c r="AK16" s="2">
        <v>88</v>
      </c>
      <c r="AO16" s="2">
        <v>343</v>
      </c>
      <c r="AP16" s="2">
        <v>479</v>
      </c>
      <c r="AQ16" s="2">
        <v>269</v>
      </c>
      <c r="AR16" s="2">
        <v>46</v>
      </c>
      <c r="AT16" s="2">
        <v>66</v>
      </c>
      <c r="AV16" s="2">
        <v>21</v>
      </c>
      <c r="AY16" s="2" t="s">
        <v>1</v>
      </c>
    </row>
    <row r="17" spans="1:51" x14ac:dyDescent="0.2">
      <c r="A17" s="2">
        <v>23</v>
      </c>
      <c r="B17" s="2" t="s">
        <v>839</v>
      </c>
      <c r="C17" s="7">
        <f t="shared" ref="C17:C27" si="2">DATE(92,9,21)</f>
        <v>33868</v>
      </c>
      <c r="D17" s="2">
        <v>934</v>
      </c>
      <c r="E17" s="2">
        <v>10500</v>
      </c>
      <c r="F17" s="2">
        <v>144</v>
      </c>
      <c r="G17" s="2">
        <v>1726</v>
      </c>
      <c r="H17" s="2">
        <v>358</v>
      </c>
      <c r="K17" s="2">
        <v>8</v>
      </c>
      <c r="L17" s="2" t="s">
        <v>840</v>
      </c>
      <c r="M17" s="7">
        <f>DATE(92,9,23)</f>
        <v>33870</v>
      </c>
      <c r="N17" s="2">
        <v>1310</v>
      </c>
      <c r="O17" s="2" t="s">
        <v>813</v>
      </c>
      <c r="R17" s="2">
        <v>492</v>
      </c>
      <c r="S17" s="2">
        <v>1766</v>
      </c>
      <c r="T17" s="2">
        <v>373</v>
      </c>
      <c r="U17" s="17">
        <v>339.9</v>
      </c>
      <c r="V17" s="2">
        <v>517</v>
      </c>
      <c r="W17" s="2">
        <v>284</v>
      </c>
      <c r="X17" s="2">
        <v>62</v>
      </c>
      <c r="Z17" s="2">
        <v>182</v>
      </c>
      <c r="AA17" s="2">
        <v>158</v>
      </c>
      <c r="AB17" s="2">
        <v>39</v>
      </c>
      <c r="AD17" s="2" t="s">
        <v>822</v>
      </c>
      <c r="AE17" s="2" t="s">
        <v>841</v>
      </c>
      <c r="AF17" s="7">
        <f t="shared" si="1"/>
        <v>32770</v>
      </c>
      <c r="AG17" s="2">
        <v>1200</v>
      </c>
      <c r="AH17" s="2">
        <v>10000</v>
      </c>
      <c r="AI17" s="2">
        <v>10</v>
      </c>
      <c r="AJ17" s="2">
        <v>768</v>
      </c>
      <c r="AK17" s="2">
        <v>203</v>
      </c>
      <c r="AL17" s="2">
        <v>136</v>
      </c>
      <c r="AM17" s="2">
        <v>1716</v>
      </c>
      <c r="AN17" s="2">
        <v>326</v>
      </c>
      <c r="AO17" s="2">
        <v>348</v>
      </c>
      <c r="AP17" s="2">
        <v>476</v>
      </c>
      <c r="AQ17" s="2">
        <v>271</v>
      </c>
      <c r="AR17" s="2">
        <v>48</v>
      </c>
      <c r="AT17" s="2">
        <v>176</v>
      </c>
      <c r="AU17" s="2">
        <v>110</v>
      </c>
      <c r="AV17" s="2">
        <v>28</v>
      </c>
      <c r="AY17" s="2" t="s">
        <v>1</v>
      </c>
    </row>
    <row r="18" spans="1:51" x14ac:dyDescent="0.2">
      <c r="A18" s="2">
        <v>25</v>
      </c>
      <c r="B18" s="2" t="s">
        <v>842</v>
      </c>
      <c r="C18" s="7">
        <f t="shared" si="2"/>
        <v>33868</v>
      </c>
      <c r="D18" s="2">
        <v>1000</v>
      </c>
      <c r="E18" s="2">
        <v>7500</v>
      </c>
      <c r="F18" s="2">
        <v>128</v>
      </c>
      <c r="G18" s="2">
        <v>1723</v>
      </c>
      <c r="H18" s="2">
        <v>359</v>
      </c>
      <c r="K18" s="2">
        <v>9</v>
      </c>
      <c r="L18" s="2" t="s">
        <v>843</v>
      </c>
      <c r="M18" s="7">
        <f>DATE(92,9,26)</f>
        <v>33873</v>
      </c>
      <c r="N18" s="2">
        <v>1455</v>
      </c>
      <c r="O18" s="2" t="s">
        <v>813</v>
      </c>
      <c r="P18" s="2">
        <v>-25</v>
      </c>
      <c r="Q18" s="2">
        <v>12000</v>
      </c>
      <c r="R18" s="2">
        <v>188</v>
      </c>
      <c r="S18" s="2">
        <v>1728</v>
      </c>
      <c r="T18" s="2">
        <v>360</v>
      </c>
      <c r="U18" s="17">
        <v>335.8</v>
      </c>
      <c r="V18" s="2">
        <v>501</v>
      </c>
      <c r="W18" s="2">
        <v>287</v>
      </c>
      <c r="X18" s="2">
        <v>58</v>
      </c>
      <c r="Z18" s="2">
        <v>188</v>
      </c>
      <c r="AA18" s="2">
        <v>158</v>
      </c>
      <c r="AB18" s="2">
        <v>29</v>
      </c>
      <c r="AD18" s="2" t="s">
        <v>822</v>
      </c>
      <c r="AE18" s="2" t="s">
        <v>844</v>
      </c>
      <c r="AF18" s="7">
        <f t="shared" si="1"/>
        <v>32770</v>
      </c>
      <c r="AG18" s="2">
        <v>1210</v>
      </c>
      <c r="AH18" s="2">
        <v>8000</v>
      </c>
      <c r="AI18" s="2">
        <v>14</v>
      </c>
      <c r="AJ18" s="2">
        <v>591</v>
      </c>
      <c r="AK18" s="2">
        <v>167</v>
      </c>
      <c r="AL18" s="2">
        <v>159</v>
      </c>
      <c r="AM18" s="2">
        <v>1723</v>
      </c>
      <c r="AN18" s="2">
        <v>327</v>
      </c>
      <c r="AO18" s="2">
        <v>344</v>
      </c>
      <c r="AP18" s="2">
        <v>472</v>
      </c>
      <c r="AQ18" s="2">
        <v>268</v>
      </c>
      <c r="AR18" s="2">
        <v>45</v>
      </c>
      <c r="AT18" s="2">
        <v>178</v>
      </c>
      <c r="AU18" s="2">
        <v>119</v>
      </c>
      <c r="AV18" s="2">
        <v>54</v>
      </c>
      <c r="AY18" s="2" t="s">
        <v>1</v>
      </c>
    </row>
    <row r="19" spans="1:51" x14ac:dyDescent="0.2">
      <c r="A19" s="2">
        <v>26</v>
      </c>
      <c r="B19" s="2" t="s">
        <v>845</v>
      </c>
      <c r="C19" s="7">
        <f t="shared" si="2"/>
        <v>33868</v>
      </c>
      <c r="D19" s="2">
        <v>1007</v>
      </c>
      <c r="E19" s="2">
        <v>6000</v>
      </c>
      <c r="F19" s="2">
        <v>188</v>
      </c>
      <c r="G19" s="2">
        <v>1725</v>
      </c>
      <c r="H19" s="2">
        <v>362</v>
      </c>
      <c r="K19" s="2">
        <v>10</v>
      </c>
      <c r="L19" s="2" t="s">
        <v>846</v>
      </c>
      <c r="M19" s="7">
        <f>DATE(92,9,26)</f>
        <v>33873</v>
      </c>
      <c r="N19" s="2">
        <v>1515</v>
      </c>
      <c r="O19" s="2" t="s">
        <v>813</v>
      </c>
      <c r="P19" s="2">
        <v>-25</v>
      </c>
      <c r="Q19" s="2">
        <v>9000</v>
      </c>
      <c r="R19" s="2">
        <v>173</v>
      </c>
      <c r="S19" s="2">
        <v>1716</v>
      </c>
      <c r="T19" s="2">
        <v>360</v>
      </c>
      <c r="U19" s="17">
        <v>336.8</v>
      </c>
      <c r="V19" s="2">
        <v>510</v>
      </c>
      <c r="W19" s="2">
        <v>284</v>
      </c>
      <c r="X19" s="2">
        <v>55</v>
      </c>
      <c r="Z19" s="2">
        <v>182</v>
      </c>
      <c r="AA19" s="2">
        <v>157</v>
      </c>
      <c r="AB19" s="2">
        <v>24</v>
      </c>
      <c r="AD19" s="2" t="s">
        <v>822</v>
      </c>
      <c r="AE19" s="2" t="s">
        <v>847</v>
      </c>
      <c r="AF19" s="7">
        <f t="shared" si="1"/>
        <v>32770</v>
      </c>
      <c r="AG19" s="2">
        <v>1240</v>
      </c>
      <c r="AH19" s="2">
        <v>4000</v>
      </c>
      <c r="AI19" s="2">
        <v>20</v>
      </c>
      <c r="AJ19" s="2">
        <v>643</v>
      </c>
      <c r="AK19" s="2">
        <v>798</v>
      </c>
      <c r="AL19" s="2">
        <v>629</v>
      </c>
      <c r="AM19" s="2">
        <v>1754</v>
      </c>
      <c r="AN19" s="2">
        <v>324</v>
      </c>
      <c r="AO19" s="2">
        <v>345</v>
      </c>
      <c r="AP19" s="2">
        <v>466</v>
      </c>
      <c r="AQ19" s="2">
        <v>264</v>
      </c>
      <c r="AR19" s="2">
        <v>46</v>
      </c>
      <c r="AS19" s="2">
        <v>24</v>
      </c>
      <c r="AT19" s="2">
        <v>220</v>
      </c>
      <c r="AU19" s="2">
        <v>140</v>
      </c>
      <c r="AV19" s="2">
        <v>1112</v>
      </c>
      <c r="AY19" s="2" t="s">
        <v>1</v>
      </c>
    </row>
    <row r="20" spans="1:51" x14ac:dyDescent="0.2">
      <c r="A20" s="2">
        <v>28</v>
      </c>
      <c r="B20" s="2" t="s">
        <v>848</v>
      </c>
      <c r="C20" s="7">
        <f t="shared" si="2"/>
        <v>33868</v>
      </c>
      <c r="D20" s="2">
        <v>1036</v>
      </c>
      <c r="E20" s="2">
        <v>3000</v>
      </c>
      <c r="F20" s="2">
        <v>388</v>
      </c>
      <c r="G20" s="2">
        <v>1745</v>
      </c>
      <c r="H20" s="2">
        <v>372</v>
      </c>
      <c r="K20" s="2">
        <v>12</v>
      </c>
      <c r="L20" s="2" t="s">
        <v>849</v>
      </c>
      <c r="M20" s="7">
        <f>DATE(92,9,26)</f>
        <v>33873</v>
      </c>
      <c r="N20" s="2">
        <v>1526</v>
      </c>
      <c r="O20" s="2" t="s">
        <v>813</v>
      </c>
      <c r="P20" s="2">
        <v>-25</v>
      </c>
      <c r="R20" s="2">
        <v>264</v>
      </c>
      <c r="S20" s="2">
        <v>1734</v>
      </c>
      <c r="T20" s="2">
        <v>362</v>
      </c>
      <c r="U20" s="17">
        <v>333</v>
      </c>
      <c r="V20" s="2">
        <v>504</v>
      </c>
      <c r="W20" s="2">
        <v>290</v>
      </c>
      <c r="X20" s="2">
        <v>56</v>
      </c>
      <c r="Z20" s="2">
        <v>250</v>
      </c>
      <c r="AA20" s="2">
        <v>156</v>
      </c>
      <c r="AB20" s="2">
        <v>38</v>
      </c>
      <c r="AD20" s="2" t="s">
        <v>822</v>
      </c>
      <c r="AE20" s="2" t="s">
        <v>850</v>
      </c>
      <c r="AF20" s="7">
        <f t="shared" si="1"/>
        <v>32770</v>
      </c>
      <c r="AG20" s="2">
        <v>1402</v>
      </c>
      <c r="AH20" s="2">
        <v>4500</v>
      </c>
      <c r="AJ20" s="2">
        <v>807</v>
      </c>
      <c r="AK20" s="2">
        <v>621</v>
      </c>
      <c r="AO20" s="2">
        <v>342</v>
      </c>
      <c r="AP20" s="2">
        <v>478</v>
      </c>
      <c r="AQ20" s="2">
        <v>268</v>
      </c>
      <c r="AR20" s="2">
        <v>46</v>
      </c>
      <c r="AS20" s="2">
        <v>97</v>
      </c>
      <c r="AT20" s="2">
        <v>194</v>
      </c>
      <c r="AU20" s="2">
        <v>154</v>
      </c>
      <c r="AV20" s="2">
        <v>1022</v>
      </c>
      <c r="AY20" s="2" t="s">
        <v>1</v>
      </c>
    </row>
    <row r="21" spans="1:51" x14ac:dyDescent="0.2">
      <c r="A21" s="2">
        <v>30</v>
      </c>
      <c r="B21" s="2" t="s">
        <v>851</v>
      </c>
      <c r="C21" s="7">
        <f t="shared" si="2"/>
        <v>33868</v>
      </c>
      <c r="D21" s="2">
        <v>1112</v>
      </c>
      <c r="E21" s="2">
        <v>5400</v>
      </c>
      <c r="F21" s="2">
        <v>539</v>
      </c>
      <c r="G21" s="2">
        <v>1755</v>
      </c>
      <c r="H21" s="2">
        <v>372</v>
      </c>
      <c r="K21" s="2">
        <v>13</v>
      </c>
      <c r="L21" s="2" t="s">
        <v>852</v>
      </c>
      <c r="M21" s="7">
        <f t="shared" ref="M21:M32" si="3">DATE(92,9,27)</f>
        <v>33874</v>
      </c>
      <c r="N21" s="2">
        <v>945</v>
      </c>
      <c r="O21" s="2" t="s">
        <v>853</v>
      </c>
      <c r="P21" s="2">
        <v>-26</v>
      </c>
      <c r="R21" s="2">
        <v>156</v>
      </c>
      <c r="S21" s="2">
        <v>1732</v>
      </c>
      <c r="T21" s="2">
        <v>366</v>
      </c>
      <c r="U21" s="2">
        <v>337.4</v>
      </c>
      <c r="V21" s="2">
        <v>512</v>
      </c>
      <c r="W21" s="2">
        <v>287</v>
      </c>
      <c r="X21" s="2">
        <v>43</v>
      </c>
      <c r="Z21" s="2">
        <v>185</v>
      </c>
      <c r="AA21" s="2">
        <v>164</v>
      </c>
      <c r="AB21" s="2">
        <v>19</v>
      </c>
      <c r="AD21" s="2" t="s">
        <v>822</v>
      </c>
      <c r="AE21" s="2" t="s">
        <v>854</v>
      </c>
      <c r="AF21" s="7">
        <f t="shared" si="1"/>
        <v>32770</v>
      </c>
      <c r="AG21" s="2">
        <v>1418</v>
      </c>
      <c r="AH21" s="2">
        <v>6500</v>
      </c>
      <c r="AI21" s="2">
        <v>11</v>
      </c>
      <c r="AJ21" s="2">
        <v>1191</v>
      </c>
      <c r="AK21" s="2">
        <v>290</v>
      </c>
      <c r="AO21" s="2">
        <v>340</v>
      </c>
      <c r="AP21" s="2">
        <v>483</v>
      </c>
      <c r="AQ21" s="2">
        <v>271</v>
      </c>
      <c r="AR21" s="2">
        <v>47</v>
      </c>
      <c r="AT21" s="2">
        <v>179</v>
      </c>
      <c r="AU21" s="2">
        <v>152</v>
      </c>
      <c r="AV21" s="2">
        <v>175</v>
      </c>
      <c r="AY21" s="2" t="s">
        <v>1</v>
      </c>
    </row>
    <row r="22" spans="1:51" x14ac:dyDescent="0.2">
      <c r="A22" s="2">
        <v>31</v>
      </c>
      <c r="B22" s="2" t="s">
        <v>855</v>
      </c>
      <c r="C22" s="7">
        <f t="shared" si="2"/>
        <v>33868</v>
      </c>
      <c r="D22" s="2">
        <v>1126</v>
      </c>
      <c r="E22" s="2">
        <v>6000</v>
      </c>
      <c r="F22" s="2">
        <v>329</v>
      </c>
      <c r="G22" s="2">
        <v>1735</v>
      </c>
      <c r="H22" s="2">
        <v>368</v>
      </c>
      <c r="K22" s="2">
        <v>14</v>
      </c>
      <c r="L22" s="2" t="s">
        <v>856</v>
      </c>
      <c r="M22" s="7">
        <f t="shared" si="3"/>
        <v>33874</v>
      </c>
      <c r="N22" s="2">
        <v>953</v>
      </c>
      <c r="O22" s="2" t="s">
        <v>853</v>
      </c>
      <c r="P22" s="2">
        <v>-26</v>
      </c>
      <c r="Q22" s="2">
        <v>7500</v>
      </c>
      <c r="R22" s="2">
        <v>108</v>
      </c>
      <c r="S22" s="2">
        <v>1720</v>
      </c>
      <c r="T22" s="2">
        <v>359</v>
      </c>
      <c r="U22" s="2">
        <v>339.2</v>
      </c>
      <c r="V22" s="2">
        <v>517</v>
      </c>
      <c r="W22" s="2">
        <v>286</v>
      </c>
      <c r="X22" s="2">
        <v>41</v>
      </c>
      <c r="Z22" s="2">
        <v>185</v>
      </c>
      <c r="AA22" s="2">
        <v>163</v>
      </c>
      <c r="AB22" s="2">
        <v>16</v>
      </c>
      <c r="AD22" s="2" t="s">
        <v>822</v>
      </c>
      <c r="AE22" s="2" t="s">
        <v>857</v>
      </c>
      <c r="AF22" s="7">
        <f t="shared" si="1"/>
        <v>32770</v>
      </c>
      <c r="AG22" s="2">
        <v>1455</v>
      </c>
      <c r="AH22" s="2">
        <v>10500</v>
      </c>
      <c r="AI22" s="2">
        <v>12</v>
      </c>
      <c r="AJ22" s="2">
        <v>1626</v>
      </c>
      <c r="AK22" s="2">
        <v>517</v>
      </c>
      <c r="AO22" s="2">
        <v>342</v>
      </c>
      <c r="AP22" s="2">
        <v>481</v>
      </c>
      <c r="AQ22" s="2">
        <v>272</v>
      </c>
      <c r="AR22" s="2">
        <v>48</v>
      </c>
      <c r="AT22" s="2">
        <v>178</v>
      </c>
      <c r="AV22" s="2">
        <v>632</v>
      </c>
      <c r="AY22" s="2" t="s">
        <v>1</v>
      </c>
    </row>
    <row r="23" spans="1:51" x14ac:dyDescent="0.2">
      <c r="A23" s="2">
        <v>34</v>
      </c>
      <c r="B23" s="2" t="s">
        <v>858</v>
      </c>
      <c r="C23" s="7">
        <f t="shared" si="2"/>
        <v>33868</v>
      </c>
      <c r="D23" s="2">
        <v>1157</v>
      </c>
      <c r="E23" s="2">
        <v>10500</v>
      </c>
      <c r="F23" s="2">
        <v>115</v>
      </c>
      <c r="G23" s="2">
        <v>1724</v>
      </c>
      <c r="H23" s="2">
        <v>359</v>
      </c>
      <c r="K23" s="2">
        <v>15</v>
      </c>
      <c r="L23" s="2" t="s">
        <v>859</v>
      </c>
      <c r="M23" s="7">
        <f t="shared" si="3"/>
        <v>33874</v>
      </c>
      <c r="N23" s="2">
        <v>930</v>
      </c>
      <c r="O23" s="2" t="s">
        <v>853</v>
      </c>
      <c r="P23" s="2">
        <v>-26</v>
      </c>
      <c r="Q23" s="2">
        <v>12500</v>
      </c>
      <c r="R23" s="2">
        <v>140</v>
      </c>
      <c r="S23" s="2">
        <v>1722</v>
      </c>
      <c r="T23" s="2">
        <v>362</v>
      </c>
      <c r="U23" s="2">
        <v>338.5</v>
      </c>
      <c r="V23" s="2">
        <v>509</v>
      </c>
      <c r="W23" s="2">
        <v>286</v>
      </c>
      <c r="X23" s="2">
        <v>41</v>
      </c>
      <c r="Z23" s="2">
        <v>187</v>
      </c>
      <c r="AA23" s="2">
        <v>166</v>
      </c>
      <c r="AB23" s="2">
        <v>21</v>
      </c>
      <c r="AD23" s="2" t="s">
        <v>822</v>
      </c>
      <c r="AE23" s="2" t="s">
        <v>860</v>
      </c>
      <c r="AF23" s="7">
        <f t="shared" si="1"/>
        <v>32770</v>
      </c>
      <c r="AG23" s="2">
        <v>1503</v>
      </c>
      <c r="AI23" s="2">
        <v>13</v>
      </c>
      <c r="AJ23" s="2">
        <v>584</v>
      </c>
      <c r="AK23" s="2">
        <v>280</v>
      </c>
      <c r="AO23" s="2">
        <v>345</v>
      </c>
      <c r="AP23" s="2">
        <v>480</v>
      </c>
      <c r="AQ23" s="2">
        <v>271</v>
      </c>
      <c r="AR23" s="2">
        <v>48</v>
      </c>
      <c r="AS23" s="2">
        <v>12</v>
      </c>
      <c r="AT23" s="2">
        <v>177</v>
      </c>
      <c r="AU23" s="2">
        <v>112</v>
      </c>
      <c r="AV23" s="2">
        <v>44</v>
      </c>
      <c r="AY23" s="2" t="s">
        <v>1</v>
      </c>
    </row>
    <row r="24" spans="1:51" x14ac:dyDescent="0.2">
      <c r="A24" s="2">
        <v>36</v>
      </c>
      <c r="B24" s="2" t="s">
        <v>861</v>
      </c>
      <c r="C24" s="7">
        <f t="shared" si="2"/>
        <v>33868</v>
      </c>
      <c r="D24" s="2">
        <v>1229</v>
      </c>
      <c r="E24" s="2">
        <v>12000</v>
      </c>
      <c r="F24" s="2">
        <v>137</v>
      </c>
      <c r="G24" s="2">
        <v>1731</v>
      </c>
      <c r="H24" s="2">
        <v>359</v>
      </c>
      <c r="K24" s="2">
        <v>16</v>
      </c>
      <c r="L24" s="2" t="s">
        <v>862</v>
      </c>
      <c r="M24" s="7">
        <f t="shared" si="3"/>
        <v>33874</v>
      </c>
      <c r="N24" s="2">
        <v>1036</v>
      </c>
      <c r="O24" s="2" t="s">
        <v>853</v>
      </c>
      <c r="P24" s="2">
        <v>-26</v>
      </c>
      <c r="Q24" s="2">
        <v>4500</v>
      </c>
      <c r="R24" s="2">
        <v>278</v>
      </c>
      <c r="S24" s="2">
        <v>1741</v>
      </c>
      <c r="T24" s="2">
        <v>368</v>
      </c>
      <c r="U24" s="2">
        <v>341.5</v>
      </c>
      <c r="V24" s="2">
        <v>520</v>
      </c>
      <c r="W24" s="2">
        <v>284</v>
      </c>
      <c r="X24" s="2">
        <v>54</v>
      </c>
      <c r="Z24" s="2">
        <v>182</v>
      </c>
      <c r="AA24" s="2">
        <v>159</v>
      </c>
      <c r="AB24" s="2">
        <v>130</v>
      </c>
      <c r="AD24" s="2" t="s">
        <v>822</v>
      </c>
      <c r="AE24" s="2" t="s">
        <v>863</v>
      </c>
      <c r="AF24" s="7">
        <f t="shared" si="1"/>
        <v>32770</v>
      </c>
      <c r="AG24" s="2">
        <v>1535</v>
      </c>
      <c r="AH24" s="2">
        <v>6500</v>
      </c>
      <c r="AJ24" s="2">
        <v>628</v>
      </c>
      <c r="AK24" s="2">
        <v>161</v>
      </c>
      <c r="AO24" s="2">
        <v>347</v>
      </c>
      <c r="AP24" s="2">
        <v>484</v>
      </c>
      <c r="AQ24" s="2">
        <v>270</v>
      </c>
      <c r="AR24" s="2">
        <v>46</v>
      </c>
      <c r="AT24" s="2">
        <v>179</v>
      </c>
      <c r="AU24" s="2">
        <v>128</v>
      </c>
      <c r="AV24" s="2">
        <v>26</v>
      </c>
      <c r="AY24" s="2" t="s">
        <v>1</v>
      </c>
    </row>
    <row r="25" spans="1:51" x14ac:dyDescent="0.2">
      <c r="A25" s="2">
        <v>39</v>
      </c>
      <c r="B25" s="2" t="s">
        <v>864</v>
      </c>
      <c r="C25" s="7">
        <f t="shared" si="2"/>
        <v>33868</v>
      </c>
      <c r="D25" s="2">
        <v>1304</v>
      </c>
      <c r="E25" s="2">
        <v>7500</v>
      </c>
      <c r="F25" s="2">
        <v>335</v>
      </c>
      <c r="G25" s="2">
        <v>1740</v>
      </c>
      <c r="H25" s="2">
        <v>368</v>
      </c>
      <c r="K25" s="2">
        <v>17</v>
      </c>
      <c r="L25" s="2" t="s">
        <v>865</v>
      </c>
      <c r="M25" s="7">
        <f t="shared" si="3"/>
        <v>33874</v>
      </c>
      <c r="N25" s="2">
        <v>1025</v>
      </c>
      <c r="O25" s="2" t="s">
        <v>853</v>
      </c>
      <c r="P25" s="2">
        <v>-26</v>
      </c>
      <c r="Q25" s="2">
        <v>6000</v>
      </c>
      <c r="R25" s="2">
        <v>233</v>
      </c>
      <c r="S25" s="2">
        <v>1731</v>
      </c>
      <c r="T25" s="2">
        <v>363</v>
      </c>
      <c r="U25" s="2">
        <v>342.4</v>
      </c>
      <c r="V25" s="2">
        <v>526</v>
      </c>
      <c r="W25" s="2">
        <v>284</v>
      </c>
      <c r="X25" s="2">
        <v>55</v>
      </c>
      <c r="Z25" s="2">
        <v>182</v>
      </c>
      <c r="AA25" s="2">
        <v>158</v>
      </c>
      <c r="AB25" s="2">
        <v>21</v>
      </c>
      <c r="AD25" s="2" t="s">
        <v>822</v>
      </c>
      <c r="AE25" s="2" t="s">
        <v>866</v>
      </c>
      <c r="AF25" s="7">
        <f t="shared" si="1"/>
        <v>32770</v>
      </c>
      <c r="AH25" s="2">
        <v>4500</v>
      </c>
      <c r="AJ25" s="2">
        <v>691</v>
      </c>
      <c r="AK25" s="2">
        <v>535</v>
      </c>
      <c r="AO25" s="2">
        <v>356</v>
      </c>
      <c r="AP25" s="2">
        <v>477</v>
      </c>
      <c r="AQ25" s="2">
        <v>270</v>
      </c>
      <c r="AR25" s="2">
        <v>47</v>
      </c>
      <c r="AS25" s="2">
        <v>38</v>
      </c>
      <c r="AT25" s="2">
        <v>180</v>
      </c>
      <c r="AU25" s="2">
        <v>128</v>
      </c>
      <c r="AV25" s="2">
        <v>130</v>
      </c>
      <c r="AY25" s="2" t="s">
        <v>1</v>
      </c>
    </row>
    <row r="26" spans="1:51" x14ac:dyDescent="0.2">
      <c r="A26" s="2">
        <v>40</v>
      </c>
      <c r="B26" s="2" t="s">
        <v>867</v>
      </c>
      <c r="C26" s="7">
        <f t="shared" si="2"/>
        <v>33868</v>
      </c>
      <c r="D26" s="2">
        <v>1315</v>
      </c>
      <c r="E26" s="2">
        <v>6000</v>
      </c>
      <c r="F26" s="2">
        <v>363</v>
      </c>
      <c r="G26" s="2">
        <v>1745</v>
      </c>
      <c r="H26" s="2">
        <v>370</v>
      </c>
      <c r="K26" s="2">
        <v>18</v>
      </c>
      <c r="L26" s="2" t="s">
        <v>868</v>
      </c>
      <c r="M26" s="7">
        <f t="shared" si="3"/>
        <v>33874</v>
      </c>
      <c r="N26" s="2">
        <v>1015</v>
      </c>
      <c r="O26" s="2" t="s">
        <v>853</v>
      </c>
      <c r="P26" s="2">
        <v>-26</v>
      </c>
      <c r="Q26" s="2">
        <v>7500</v>
      </c>
      <c r="R26" s="2">
        <v>137</v>
      </c>
      <c r="S26" s="2">
        <v>1720</v>
      </c>
      <c r="T26" s="2">
        <v>361</v>
      </c>
      <c r="U26" s="17">
        <v>341</v>
      </c>
      <c r="V26" s="2">
        <v>517</v>
      </c>
      <c r="W26" s="2">
        <v>287</v>
      </c>
      <c r="X26" s="2">
        <v>54</v>
      </c>
      <c r="Z26" s="2">
        <v>180</v>
      </c>
      <c r="AA26" s="2">
        <v>158</v>
      </c>
      <c r="AB26" s="2">
        <v>33</v>
      </c>
      <c r="AD26" s="2" t="s">
        <v>822</v>
      </c>
      <c r="AE26" s="2" t="s">
        <v>869</v>
      </c>
      <c r="AF26" s="7">
        <f t="shared" si="1"/>
        <v>32770</v>
      </c>
      <c r="AG26" s="2">
        <v>1610</v>
      </c>
      <c r="AH26" s="2">
        <v>6500</v>
      </c>
      <c r="AJ26" s="2">
        <v>291</v>
      </c>
      <c r="AK26" s="2">
        <v>466</v>
      </c>
      <c r="AO26" s="2">
        <v>347</v>
      </c>
      <c r="AP26" s="2">
        <v>476</v>
      </c>
      <c r="AQ26" s="2">
        <v>271</v>
      </c>
      <c r="AR26" s="2">
        <v>47</v>
      </c>
      <c r="AT26" s="2">
        <v>179</v>
      </c>
      <c r="AU26" s="2">
        <v>80</v>
      </c>
      <c r="AV26" s="2">
        <v>76</v>
      </c>
      <c r="AY26" s="2" t="s">
        <v>1</v>
      </c>
    </row>
    <row r="27" spans="1:51" x14ac:dyDescent="0.2">
      <c r="A27" s="2">
        <v>42</v>
      </c>
      <c r="B27" s="2" t="s">
        <v>870</v>
      </c>
      <c r="C27" s="7">
        <f t="shared" si="2"/>
        <v>33868</v>
      </c>
      <c r="D27" s="2">
        <v>1337</v>
      </c>
      <c r="E27" s="2">
        <v>3000</v>
      </c>
      <c r="F27" s="2">
        <v>403</v>
      </c>
      <c r="G27" s="2">
        <v>1744</v>
      </c>
      <c r="H27" s="2">
        <v>368</v>
      </c>
      <c r="K27" s="2">
        <v>19</v>
      </c>
      <c r="L27" s="2" t="s">
        <v>871</v>
      </c>
      <c r="M27" s="7">
        <f t="shared" si="3"/>
        <v>33874</v>
      </c>
      <c r="N27" s="2">
        <v>1050</v>
      </c>
      <c r="O27" s="2" t="s">
        <v>853</v>
      </c>
      <c r="P27" s="2">
        <v>-26</v>
      </c>
      <c r="Q27" s="2">
        <v>3000</v>
      </c>
      <c r="R27" s="2">
        <v>242</v>
      </c>
      <c r="S27" s="2">
        <v>1731</v>
      </c>
      <c r="T27" s="2">
        <v>364</v>
      </c>
      <c r="U27" s="17">
        <v>341</v>
      </c>
      <c r="V27" s="2">
        <v>525</v>
      </c>
      <c r="W27" s="2">
        <v>287</v>
      </c>
      <c r="X27" s="2">
        <v>54</v>
      </c>
      <c r="Z27" s="2">
        <v>183</v>
      </c>
      <c r="AA27" s="2">
        <v>158</v>
      </c>
      <c r="AB27" s="2">
        <v>34</v>
      </c>
      <c r="AD27" s="2" t="s">
        <v>822</v>
      </c>
      <c r="AE27" s="2" t="s">
        <v>872</v>
      </c>
      <c r="AF27" s="7">
        <f t="shared" si="1"/>
        <v>32770</v>
      </c>
      <c r="AG27" s="2">
        <v>1630</v>
      </c>
      <c r="AH27" s="2">
        <v>8500</v>
      </c>
      <c r="AJ27" s="2">
        <v>734</v>
      </c>
      <c r="AK27" s="2">
        <v>176</v>
      </c>
      <c r="AO27" s="2">
        <v>341</v>
      </c>
      <c r="AP27" s="2">
        <v>477</v>
      </c>
      <c r="AQ27" s="2">
        <v>288</v>
      </c>
      <c r="AR27" s="2">
        <v>47</v>
      </c>
      <c r="AS27" s="2">
        <v>32</v>
      </c>
      <c r="AT27" s="2">
        <v>169</v>
      </c>
      <c r="AU27" s="2">
        <v>18</v>
      </c>
      <c r="AV27" s="2">
        <v>121</v>
      </c>
      <c r="AY27" s="2" t="s">
        <v>1</v>
      </c>
    </row>
    <row r="28" spans="1:51" x14ac:dyDescent="0.2">
      <c r="A28" s="2">
        <v>49</v>
      </c>
      <c r="B28" s="2" t="s">
        <v>873</v>
      </c>
      <c r="C28" s="7">
        <f t="shared" ref="C28:C35" si="4">DATE(92,9,22)</f>
        <v>33869</v>
      </c>
      <c r="D28" s="2">
        <v>1326</v>
      </c>
      <c r="E28" s="2">
        <v>9000</v>
      </c>
      <c r="F28" s="2">
        <v>156</v>
      </c>
      <c r="G28" s="2">
        <v>1724</v>
      </c>
      <c r="H28" s="2">
        <v>361</v>
      </c>
      <c r="K28" s="2">
        <v>20</v>
      </c>
      <c r="L28" s="2" t="s">
        <v>874</v>
      </c>
      <c r="M28" s="7">
        <f t="shared" si="3"/>
        <v>33874</v>
      </c>
      <c r="N28" s="2">
        <v>1130</v>
      </c>
      <c r="O28" s="2" t="s">
        <v>813</v>
      </c>
      <c r="P28" s="2">
        <v>-27</v>
      </c>
      <c r="Q28" s="2">
        <v>4500</v>
      </c>
      <c r="R28" s="2">
        <v>149</v>
      </c>
      <c r="S28" s="2">
        <v>1724</v>
      </c>
      <c r="T28" s="2">
        <v>361</v>
      </c>
      <c r="U28" s="17">
        <v>340.1</v>
      </c>
      <c r="V28" s="2">
        <v>516</v>
      </c>
      <c r="W28" s="2">
        <v>285</v>
      </c>
      <c r="X28" s="2">
        <v>55</v>
      </c>
      <c r="Z28" s="2">
        <v>182</v>
      </c>
      <c r="AA28" s="2">
        <v>159</v>
      </c>
      <c r="AB28" s="2">
        <v>18</v>
      </c>
      <c r="AD28" s="2" t="s">
        <v>822</v>
      </c>
      <c r="AE28" s="2" t="s">
        <v>875</v>
      </c>
      <c r="AF28" s="7">
        <f t="shared" ref="AF28:AF42" si="5">DATE(89,9,20)</f>
        <v>32771</v>
      </c>
      <c r="AG28" s="2">
        <v>1051</v>
      </c>
      <c r="AH28" s="2">
        <v>21000</v>
      </c>
      <c r="AI28" s="2">
        <v>-8</v>
      </c>
      <c r="AJ28" s="2">
        <v>1393</v>
      </c>
      <c r="AK28" s="2">
        <v>101</v>
      </c>
      <c r="AL28" s="2">
        <v>7</v>
      </c>
      <c r="AM28" s="2">
        <v>1709</v>
      </c>
      <c r="AN28" s="2">
        <v>339</v>
      </c>
      <c r="AO28" s="2">
        <v>342</v>
      </c>
      <c r="AP28" s="2">
        <v>478</v>
      </c>
      <c r="AQ28" s="2">
        <v>252</v>
      </c>
      <c r="AR28" s="2">
        <v>48</v>
      </c>
      <c r="AT28" s="2">
        <v>43</v>
      </c>
      <c r="AV28" s="2">
        <v>7</v>
      </c>
      <c r="AY28" s="2" t="s">
        <v>1</v>
      </c>
    </row>
    <row r="29" spans="1:51" x14ac:dyDescent="0.2">
      <c r="A29" s="2">
        <v>50</v>
      </c>
      <c r="B29" s="2" t="s">
        <v>876</v>
      </c>
      <c r="C29" s="7">
        <f t="shared" si="4"/>
        <v>33869</v>
      </c>
      <c r="D29" s="2">
        <v>1402</v>
      </c>
      <c r="E29" s="2">
        <v>4500</v>
      </c>
      <c r="F29" s="2">
        <v>298</v>
      </c>
      <c r="G29" s="2">
        <v>1739</v>
      </c>
      <c r="H29" s="2">
        <v>366</v>
      </c>
      <c r="K29" s="2">
        <v>21</v>
      </c>
      <c r="L29" s="2" t="s">
        <v>877</v>
      </c>
      <c r="M29" s="7">
        <f t="shared" si="3"/>
        <v>33874</v>
      </c>
      <c r="N29" s="2">
        <v>1154</v>
      </c>
      <c r="O29" s="2" t="s">
        <v>813</v>
      </c>
      <c r="P29" s="2">
        <v>-27</v>
      </c>
      <c r="Q29" s="2">
        <v>7500</v>
      </c>
      <c r="R29" s="2">
        <v>139</v>
      </c>
      <c r="S29" s="2">
        <v>1730</v>
      </c>
      <c r="T29" s="2">
        <v>361</v>
      </c>
      <c r="U29" s="17">
        <v>337.1</v>
      </c>
      <c r="V29" s="2">
        <v>517</v>
      </c>
      <c r="W29" s="2">
        <v>287</v>
      </c>
      <c r="X29" s="2">
        <v>55</v>
      </c>
      <c r="Z29" s="2">
        <v>190</v>
      </c>
      <c r="AA29" s="2">
        <v>154</v>
      </c>
      <c r="AB29" s="2">
        <v>23</v>
      </c>
      <c r="AD29" s="2" t="s">
        <v>822</v>
      </c>
      <c r="AE29" s="2" t="s">
        <v>878</v>
      </c>
      <c r="AF29" s="7">
        <f t="shared" si="5"/>
        <v>32771</v>
      </c>
      <c r="AG29" s="2">
        <v>1128</v>
      </c>
      <c r="AH29" s="2">
        <v>17000</v>
      </c>
      <c r="AJ29" s="2">
        <v>658</v>
      </c>
      <c r="AK29" s="2">
        <v>14</v>
      </c>
      <c r="AO29" s="2">
        <v>345</v>
      </c>
      <c r="AP29" s="2">
        <v>486</v>
      </c>
      <c r="AQ29" s="2">
        <v>222</v>
      </c>
      <c r="AR29" s="2">
        <v>44</v>
      </c>
      <c r="AV29" s="2">
        <v>6</v>
      </c>
      <c r="AY29" s="2" t="s">
        <v>1</v>
      </c>
    </row>
    <row r="30" spans="1:51" x14ac:dyDescent="0.2">
      <c r="A30" s="2">
        <v>51</v>
      </c>
      <c r="B30" s="2" t="s">
        <v>879</v>
      </c>
      <c r="C30" s="7">
        <f t="shared" si="4"/>
        <v>33869</v>
      </c>
      <c r="D30" s="2">
        <v>1412</v>
      </c>
      <c r="E30" s="2">
        <v>3000</v>
      </c>
      <c r="F30" s="2">
        <v>257</v>
      </c>
      <c r="G30" s="2">
        <v>1740</v>
      </c>
      <c r="H30" s="2">
        <v>362</v>
      </c>
      <c r="K30" s="2">
        <v>22</v>
      </c>
      <c r="L30" s="2" t="s">
        <v>880</v>
      </c>
      <c r="M30" s="7">
        <f t="shared" si="3"/>
        <v>33874</v>
      </c>
      <c r="N30" s="2">
        <v>1107</v>
      </c>
      <c r="O30" s="2" t="s">
        <v>813</v>
      </c>
      <c r="P30" s="2">
        <v>-27</v>
      </c>
      <c r="Q30" s="2">
        <v>9000</v>
      </c>
      <c r="R30" s="2">
        <v>121</v>
      </c>
      <c r="S30" s="2">
        <v>1745</v>
      </c>
      <c r="T30" s="2">
        <v>360</v>
      </c>
      <c r="U30" s="17">
        <v>338.9</v>
      </c>
      <c r="V30" s="2">
        <v>517</v>
      </c>
      <c r="W30" s="2">
        <v>282</v>
      </c>
      <c r="X30" s="2">
        <v>54</v>
      </c>
      <c r="Z30" s="2">
        <v>182</v>
      </c>
      <c r="AA30" s="2">
        <v>159</v>
      </c>
      <c r="AB30" s="2">
        <v>13</v>
      </c>
      <c r="AD30" s="2" t="s">
        <v>822</v>
      </c>
      <c r="AE30" s="2" t="s">
        <v>881</v>
      </c>
      <c r="AF30" s="7">
        <f t="shared" si="5"/>
        <v>32771</v>
      </c>
      <c r="AG30" s="2">
        <v>1145</v>
      </c>
      <c r="AH30" s="2">
        <v>13000</v>
      </c>
      <c r="AI30" s="2">
        <v>6</v>
      </c>
      <c r="AJ30" s="2">
        <v>590</v>
      </c>
      <c r="AK30" s="2">
        <v>136</v>
      </c>
      <c r="AL30" s="2">
        <v>135</v>
      </c>
      <c r="AM30" s="2">
        <v>1698</v>
      </c>
      <c r="AN30" s="2">
        <v>350</v>
      </c>
      <c r="AO30" s="2">
        <v>343</v>
      </c>
      <c r="AP30" s="2">
        <v>474</v>
      </c>
      <c r="AQ30" s="2">
        <v>266</v>
      </c>
      <c r="AR30" s="2">
        <v>49</v>
      </c>
      <c r="AT30" s="2">
        <v>169</v>
      </c>
      <c r="AV30" s="2">
        <v>26</v>
      </c>
      <c r="AY30" s="2" t="s">
        <v>1</v>
      </c>
    </row>
    <row r="31" spans="1:51" x14ac:dyDescent="0.2">
      <c r="A31" s="2">
        <v>52</v>
      </c>
      <c r="B31" s="2" t="s">
        <v>882</v>
      </c>
      <c r="C31" s="7">
        <f t="shared" si="4"/>
        <v>33869</v>
      </c>
      <c r="D31" s="2">
        <v>1442</v>
      </c>
      <c r="E31" s="2">
        <v>4500</v>
      </c>
      <c r="F31" s="2">
        <v>320</v>
      </c>
      <c r="G31" s="2">
        <v>1732</v>
      </c>
      <c r="H31" s="2">
        <v>361</v>
      </c>
      <c r="K31" s="2">
        <v>23</v>
      </c>
      <c r="L31" s="2" t="s">
        <v>883</v>
      </c>
      <c r="M31" s="7">
        <f t="shared" si="3"/>
        <v>33874</v>
      </c>
      <c r="N31" s="2">
        <v>1143</v>
      </c>
      <c r="O31" s="2" t="s">
        <v>813</v>
      </c>
      <c r="P31" s="2">
        <v>-27</v>
      </c>
      <c r="Q31" s="2">
        <v>6000</v>
      </c>
      <c r="R31" s="2">
        <v>167</v>
      </c>
      <c r="S31" s="2">
        <v>1735</v>
      </c>
      <c r="T31" s="2">
        <v>363</v>
      </c>
      <c r="U31" s="17">
        <v>337.2</v>
      </c>
      <c r="V31" s="2">
        <v>514</v>
      </c>
      <c r="W31" s="2">
        <v>285</v>
      </c>
      <c r="X31" s="2">
        <v>55</v>
      </c>
      <c r="Z31" s="2">
        <v>180</v>
      </c>
      <c r="AA31" s="2">
        <v>155</v>
      </c>
      <c r="AB31" s="2">
        <v>24</v>
      </c>
      <c r="AD31" s="2" t="s">
        <v>822</v>
      </c>
      <c r="AE31" s="2" t="s">
        <v>884</v>
      </c>
      <c r="AF31" s="7">
        <f t="shared" si="5"/>
        <v>32771</v>
      </c>
      <c r="AG31" s="2">
        <v>1157</v>
      </c>
      <c r="AH31" s="2">
        <v>11000</v>
      </c>
      <c r="AI31" s="2">
        <v>10</v>
      </c>
      <c r="AJ31" s="2">
        <v>586</v>
      </c>
      <c r="AK31" s="2">
        <v>144</v>
      </c>
      <c r="AL31" s="2">
        <v>126</v>
      </c>
      <c r="AM31" s="2">
        <v>1708</v>
      </c>
      <c r="AN31" s="2">
        <v>334</v>
      </c>
      <c r="AO31" s="2">
        <v>343</v>
      </c>
      <c r="AP31" s="2">
        <v>477</v>
      </c>
      <c r="AQ31" s="2">
        <v>269</v>
      </c>
      <c r="AR31" s="2">
        <v>48</v>
      </c>
      <c r="AS31" s="2">
        <v>24</v>
      </c>
      <c r="AT31" s="2">
        <v>179</v>
      </c>
      <c r="AU31" s="2">
        <v>30</v>
      </c>
      <c r="AV31" s="2">
        <v>18</v>
      </c>
      <c r="AY31" s="2" t="s">
        <v>1</v>
      </c>
    </row>
    <row r="32" spans="1:51" x14ac:dyDescent="0.2">
      <c r="A32" s="2">
        <v>53</v>
      </c>
      <c r="B32" s="2" t="s">
        <v>885</v>
      </c>
      <c r="C32" s="7">
        <f t="shared" si="4"/>
        <v>33869</v>
      </c>
      <c r="D32" s="2">
        <v>1458</v>
      </c>
      <c r="E32" s="2">
        <v>6000</v>
      </c>
      <c r="F32" s="2">
        <v>329</v>
      </c>
      <c r="G32" s="2">
        <v>1733</v>
      </c>
      <c r="H32" s="2">
        <v>364</v>
      </c>
      <c r="K32" s="2">
        <v>24</v>
      </c>
      <c r="L32" s="2" t="s">
        <v>886</v>
      </c>
      <c r="M32" s="7">
        <f t="shared" si="3"/>
        <v>33874</v>
      </c>
      <c r="N32" s="2">
        <v>1220</v>
      </c>
      <c r="O32" s="2" t="s">
        <v>813</v>
      </c>
      <c r="P32" s="2">
        <v>-27</v>
      </c>
      <c r="Q32" s="2">
        <v>10500</v>
      </c>
      <c r="R32" s="2">
        <v>140</v>
      </c>
      <c r="S32" s="2">
        <v>1724</v>
      </c>
      <c r="T32" s="2">
        <v>360</v>
      </c>
      <c r="U32" s="17">
        <v>366.1</v>
      </c>
      <c r="V32" s="2">
        <v>515</v>
      </c>
      <c r="W32" s="2">
        <v>285</v>
      </c>
      <c r="X32" s="2">
        <v>58</v>
      </c>
      <c r="Z32" s="2">
        <v>189</v>
      </c>
      <c r="AA32" s="2">
        <v>161</v>
      </c>
      <c r="AB32" s="2">
        <v>26</v>
      </c>
      <c r="AD32" s="2" t="s">
        <v>822</v>
      </c>
      <c r="AE32" s="2" t="s">
        <v>887</v>
      </c>
      <c r="AF32" s="7">
        <f t="shared" si="5"/>
        <v>32771</v>
      </c>
      <c r="AG32" s="2">
        <v>1210</v>
      </c>
      <c r="AH32" s="2">
        <v>9000</v>
      </c>
      <c r="AI32" s="2">
        <v>15</v>
      </c>
      <c r="AJ32" s="2">
        <v>782</v>
      </c>
      <c r="AK32" s="2">
        <v>260</v>
      </c>
      <c r="AO32" s="2">
        <v>343</v>
      </c>
      <c r="AP32" s="2">
        <v>472</v>
      </c>
      <c r="AQ32" s="2">
        <v>270</v>
      </c>
      <c r="AR32" s="2">
        <v>48</v>
      </c>
      <c r="AS32" s="2">
        <v>7</v>
      </c>
      <c r="AT32" s="2">
        <v>177</v>
      </c>
      <c r="AU32" s="2">
        <v>108</v>
      </c>
      <c r="AV32" s="2">
        <v>30</v>
      </c>
      <c r="AY32" s="2" t="s">
        <v>1</v>
      </c>
    </row>
    <row r="33" spans="1:51" x14ac:dyDescent="0.2">
      <c r="A33" s="2">
        <v>55</v>
      </c>
      <c r="B33" s="2" t="s">
        <v>888</v>
      </c>
      <c r="C33" s="7">
        <f t="shared" si="4"/>
        <v>33869</v>
      </c>
      <c r="D33" s="2">
        <v>1534</v>
      </c>
      <c r="E33" s="2">
        <v>10500</v>
      </c>
      <c r="F33" s="2">
        <v>152</v>
      </c>
      <c r="G33" s="2">
        <v>1725</v>
      </c>
      <c r="H33" s="2">
        <v>359</v>
      </c>
      <c r="K33" s="2">
        <v>25</v>
      </c>
      <c r="L33" s="2" t="s">
        <v>889</v>
      </c>
      <c r="M33" s="7">
        <f t="shared" ref="M33:M51" si="6">DATE(92,9,28)</f>
        <v>33875</v>
      </c>
      <c r="N33" s="2">
        <v>1515</v>
      </c>
      <c r="O33" s="2" t="s">
        <v>813</v>
      </c>
      <c r="P33" s="2">
        <v>-29</v>
      </c>
      <c r="Q33" s="2">
        <v>7500</v>
      </c>
      <c r="R33" s="2">
        <v>177</v>
      </c>
      <c r="S33" s="2">
        <v>1736</v>
      </c>
      <c r="T33" s="2">
        <v>367</v>
      </c>
      <c r="U33" s="2">
        <v>336.4</v>
      </c>
      <c r="V33" s="2">
        <v>502</v>
      </c>
      <c r="W33" s="2">
        <v>283</v>
      </c>
      <c r="X33" s="2">
        <v>55</v>
      </c>
      <c r="Z33" s="2">
        <v>180</v>
      </c>
      <c r="AA33" s="2">
        <v>158</v>
      </c>
      <c r="AB33" s="2">
        <v>29</v>
      </c>
      <c r="AD33" s="2" t="s">
        <v>822</v>
      </c>
      <c r="AE33" s="2" t="s">
        <v>890</v>
      </c>
      <c r="AF33" s="7">
        <f t="shared" si="5"/>
        <v>32771</v>
      </c>
      <c r="AG33" s="2">
        <v>1241</v>
      </c>
      <c r="AH33" s="2">
        <v>5000</v>
      </c>
      <c r="AI33" s="2">
        <v>22</v>
      </c>
      <c r="AJ33" s="2">
        <v>584</v>
      </c>
      <c r="AK33" s="2">
        <v>620</v>
      </c>
      <c r="AO33" s="2">
        <v>345</v>
      </c>
      <c r="AP33" s="2">
        <v>473</v>
      </c>
      <c r="AQ33" s="2">
        <v>271</v>
      </c>
      <c r="AR33" s="2">
        <v>48</v>
      </c>
      <c r="AT33" s="2">
        <v>176</v>
      </c>
      <c r="AU33" s="2">
        <v>160</v>
      </c>
      <c r="AV33" s="2">
        <v>105</v>
      </c>
      <c r="AY33" s="2" t="s">
        <v>1</v>
      </c>
    </row>
    <row r="34" spans="1:51" x14ac:dyDescent="0.2">
      <c r="A34" s="2">
        <v>57</v>
      </c>
      <c r="B34" s="2" t="s">
        <v>891</v>
      </c>
      <c r="C34" s="7">
        <f t="shared" si="4"/>
        <v>33869</v>
      </c>
      <c r="D34" s="2">
        <v>1613</v>
      </c>
      <c r="E34" s="2">
        <v>10500</v>
      </c>
      <c r="F34" s="2">
        <v>127</v>
      </c>
      <c r="G34" s="2">
        <v>1726</v>
      </c>
      <c r="H34" s="2">
        <v>359</v>
      </c>
      <c r="K34" s="2">
        <v>26</v>
      </c>
      <c r="L34" s="2" t="s">
        <v>892</v>
      </c>
      <c r="M34" s="7">
        <f t="shared" si="6"/>
        <v>33875</v>
      </c>
      <c r="N34" s="2">
        <v>1445</v>
      </c>
      <c r="O34" s="2" t="s">
        <v>813</v>
      </c>
      <c r="P34" s="2">
        <v>-29</v>
      </c>
      <c r="Q34" s="2">
        <v>4500</v>
      </c>
      <c r="R34" s="2">
        <v>177</v>
      </c>
      <c r="S34" s="2">
        <v>1732</v>
      </c>
      <c r="T34" s="2">
        <v>368</v>
      </c>
      <c r="U34" s="2">
        <v>339.7</v>
      </c>
      <c r="V34" s="2">
        <v>509</v>
      </c>
      <c r="W34" s="2">
        <v>284</v>
      </c>
      <c r="X34" s="2">
        <v>56</v>
      </c>
      <c r="Z34" s="2">
        <v>180</v>
      </c>
      <c r="AA34" s="2">
        <v>158</v>
      </c>
      <c r="AB34" s="2">
        <v>17</v>
      </c>
      <c r="AD34" s="2" t="s">
        <v>822</v>
      </c>
      <c r="AE34" s="2" t="s">
        <v>893</v>
      </c>
      <c r="AF34" s="7">
        <f t="shared" si="5"/>
        <v>32771</v>
      </c>
      <c r="AG34" s="2">
        <v>1255</v>
      </c>
      <c r="AH34" s="2">
        <v>3000</v>
      </c>
      <c r="AI34" s="2">
        <v>29</v>
      </c>
      <c r="AJ34" s="2">
        <v>669</v>
      </c>
      <c r="AK34" s="2">
        <v>706</v>
      </c>
      <c r="AL34" s="2">
        <v>493</v>
      </c>
      <c r="AM34" s="2">
        <v>1762</v>
      </c>
      <c r="AN34" s="2">
        <v>288</v>
      </c>
      <c r="AO34" s="2">
        <v>348</v>
      </c>
      <c r="AP34" s="2">
        <v>466</v>
      </c>
      <c r="AQ34" s="2">
        <v>269</v>
      </c>
      <c r="AR34" s="2">
        <v>48</v>
      </c>
      <c r="AS34" s="2">
        <v>18</v>
      </c>
      <c r="AT34" s="2">
        <v>175</v>
      </c>
      <c r="AU34" s="2">
        <v>157</v>
      </c>
      <c r="AV34" s="2">
        <v>183</v>
      </c>
      <c r="AY34" s="2" t="s">
        <v>1</v>
      </c>
    </row>
    <row r="35" spans="1:51" x14ac:dyDescent="0.2">
      <c r="A35" s="2">
        <v>61</v>
      </c>
      <c r="B35" s="2" t="s">
        <v>894</v>
      </c>
      <c r="C35" s="7">
        <f t="shared" si="4"/>
        <v>33869</v>
      </c>
      <c r="D35" s="2">
        <v>1703</v>
      </c>
      <c r="E35" s="2">
        <v>4500</v>
      </c>
      <c r="F35" s="2">
        <v>268</v>
      </c>
      <c r="G35" s="2">
        <v>1727</v>
      </c>
      <c r="H35" s="2">
        <v>361</v>
      </c>
      <c r="K35" s="2">
        <v>27</v>
      </c>
      <c r="L35" s="2" t="s">
        <v>895</v>
      </c>
      <c r="M35" s="7">
        <f t="shared" si="6"/>
        <v>33875</v>
      </c>
      <c r="N35" s="2">
        <v>1505</v>
      </c>
      <c r="O35" s="2" t="s">
        <v>813</v>
      </c>
      <c r="P35" s="2">
        <v>-29</v>
      </c>
      <c r="Q35" s="2">
        <v>6000</v>
      </c>
      <c r="R35" s="2">
        <v>186</v>
      </c>
      <c r="S35" s="2">
        <v>1736</v>
      </c>
      <c r="T35" s="2">
        <v>369</v>
      </c>
      <c r="U35" s="2">
        <v>339.4</v>
      </c>
      <c r="V35" s="2">
        <v>517</v>
      </c>
      <c r="W35" s="2">
        <v>283</v>
      </c>
      <c r="X35" s="2">
        <v>58</v>
      </c>
      <c r="Z35" s="2">
        <v>179</v>
      </c>
      <c r="AA35" s="2">
        <v>157</v>
      </c>
      <c r="AB35" s="2">
        <v>25</v>
      </c>
      <c r="AD35" s="2" t="s">
        <v>822</v>
      </c>
      <c r="AE35" s="2" t="s">
        <v>896</v>
      </c>
      <c r="AF35" s="7">
        <f t="shared" si="5"/>
        <v>32771</v>
      </c>
      <c r="AG35" s="2">
        <v>1448</v>
      </c>
      <c r="AH35" s="2">
        <v>9000</v>
      </c>
      <c r="AJ35" s="2">
        <v>610</v>
      </c>
      <c r="AK35" s="2">
        <v>180</v>
      </c>
      <c r="AO35" s="2">
        <v>344</v>
      </c>
      <c r="AP35" s="2">
        <v>482</v>
      </c>
      <c r="AQ35" s="2">
        <v>273</v>
      </c>
      <c r="AR35" s="2">
        <v>48</v>
      </c>
      <c r="AT35" s="2">
        <v>175</v>
      </c>
      <c r="AU35" s="2">
        <v>106</v>
      </c>
      <c r="AV35" s="2">
        <v>29</v>
      </c>
      <c r="AY35" s="2" t="s">
        <v>1</v>
      </c>
    </row>
    <row r="36" spans="1:51" x14ac:dyDescent="0.2">
      <c r="A36" s="2">
        <v>65</v>
      </c>
      <c r="B36" s="2" t="s">
        <v>897</v>
      </c>
      <c r="C36" s="7">
        <f t="shared" ref="C36:C41" si="7">DATE(92,9,23)</f>
        <v>33870</v>
      </c>
      <c r="D36" s="2">
        <v>1005</v>
      </c>
      <c r="E36" s="2">
        <v>12000</v>
      </c>
      <c r="F36" s="2">
        <v>141</v>
      </c>
      <c r="G36" s="2">
        <v>1722</v>
      </c>
      <c r="H36" s="2">
        <v>356</v>
      </c>
      <c r="K36" s="2">
        <v>28</v>
      </c>
      <c r="L36" s="2" t="s">
        <v>898</v>
      </c>
      <c r="M36" s="7">
        <f t="shared" si="6"/>
        <v>33875</v>
      </c>
      <c r="N36" s="2">
        <v>1410</v>
      </c>
      <c r="O36" s="2" t="s">
        <v>813</v>
      </c>
      <c r="P36" s="2">
        <v>-28</v>
      </c>
      <c r="Q36" s="2">
        <v>6000</v>
      </c>
      <c r="R36" s="2">
        <v>181</v>
      </c>
      <c r="S36" s="2">
        <v>1730</v>
      </c>
      <c r="T36" s="2">
        <v>370</v>
      </c>
      <c r="U36" s="2">
        <v>340.2</v>
      </c>
      <c r="V36" s="2">
        <v>511</v>
      </c>
      <c r="W36" s="2">
        <v>283</v>
      </c>
      <c r="X36" s="2">
        <v>54</v>
      </c>
      <c r="Z36" s="2">
        <v>178</v>
      </c>
      <c r="AA36" s="2">
        <v>156</v>
      </c>
      <c r="AB36" s="2">
        <v>22</v>
      </c>
      <c r="AD36" s="2" t="s">
        <v>822</v>
      </c>
      <c r="AE36" s="2" t="s">
        <v>899</v>
      </c>
      <c r="AF36" s="7">
        <f t="shared" si="5"/>
        <v>32771</v>
      </c>
      <c r="AG36" s="2">
        <v>1508</v>
      </c>
      <c r="AH36" s="2">
        <v>9000</v>
      </c>
      <c r="AI36" s="2">
        <v>15</v>
      </c>
      <c r="AJ36" s="2">
        <v>574</v>
      </c>
      <c r="AK36" s="2">
        <v>317</v>
      </c>
      <c r="AL36" s="2">
        <v>256</v>
      </c>
      <c r="AM36" s="2">
        <v>1722</v>
      </c>
      <c r="AN36" s="2">
        <v>354</v>
      </c>
      <c r="AO36" s="2">
        <v>342</v>
      </c>
      <c r="AP36" s="2">
        <v>474</v>
      </c>
      <c r="AQ36" s="2">
        <v>270</v>
      </c>
      <c r="AR36" s="2">
        <v>47</v>
      </c>
      <c r="AT36" s="2">
        <v>176</v>
      </c>
      <c r="AU36" s="2">
        <v>150</v>
      </c>
      <c r="AV36" s="2">
        <v>66</v>
      </c>
      <c r="AY36" s="2" t="s">
        <v>1</v>
      </c>
    </row>
    <row r="37" spans="1:51" x14ac:dyDescent="0.2">
      <c r="A37" s="2">
        <v>73</v>
      </c>
      <c r="B37" s="2" t="s">
        <v>900</v>
      </c>
      <c r="C37" s="7">
        <f t="shared" si="7"/>
        <v>33870</v>
      </c>
      <c r="D37" s="2">
        <v>1343</v>
      </c>
      <c r="E37" s="2">
        <v>9000</v>
      </c>
      <c r="F37" s="2">
        <v>214</v>
      </c>
      <c r="G37" s="2">
        <v>1722</v>
      </c>
      <c r="H37" s="2">
        <v>360</v>
      </c>
      <c r="K37" s="2">
        <v>29</v>
      </c>
      <c r="L37" s="2" t="s">
        <v>901</v>
      </c>
      <c r="M37" s="7">
        <f t="shared" si="6"/>
        <v>33875</v>
      </c>
      <c r="N37" s="2">
        <v>1700</v>
      </c>
      <c r="O37" s="2" t="s">
        <v>813</v>
      </c>
      <c r="P37" s="2">
        <v>-30</v>
      </c>
      <c r="Q37" s="2">
        <v>4500</v>
      </c>
      <c r="R37" s="2">
        <v>201</v>
      </c>
      <c r="S37" s="2">
        <v>1734</v>
      </c>
      <c r="T37" s="2">
        <v>367</v>
      </c>
      <c r="U37" s="2">
        <v>339.2</v>
      </c>
      <c r="V37" s="2">
        <v>507</v>
      </c>
      <c r="W37" s="2">
        <v>282</v>
      </c>
      <c r="X37" s="2">
        <v>53</v>
      </c>
      <c r="Z37" s="2">
        <v>180</v>
      </c>
      <c r="AA37" s="2">
        <v>157</v>
      </c>
      <c r="AB37" s="2">
        <v>18</v>
      </c>
      <c r="AD37" s="2" t="s">
        <v>822</v>
      </c>
      <c r="AE37" s="2" t="s">
        <v>902</v>
      </c>
      <c r="AF37" s="7">
        <f t="shared" si="5"/>
        <v>32771</v>
      </c>
      <c r="AG37" s="2">
        <v>1548</v>
      </c>
      <c r="AH37" s="2">
        <v>9000</v>
      </c>
      <c r="AI37" s="2">
        <v>15</v>
      </c>
      <c r="AJ37" s="2">
        <v>669</v>
      </c>
      <c r="AK37" s="2">
        <v>402</v>
      </c>
      <c r="AL37" s="2">
        <v>323</v>
      </c>
      <c r="AM37" s="2">
        <v>1724</v>
      </c>
      <c r="AN37" s="2">
        <v>333</v>
      </c>
      <c r="AO37" s="2">
        <v>346</v>
      </c>
      <c r="AP37" s="2">
        <v>621</v>
      </c>
      <c r="AQ37" s="2">
        <v>1447</v>
      </c>
      <c r="AR37" s="2">
        <v>53</v>
      </c>
      <c r="AT37" s="2">
        <v>178</v>
      </c>
      <c r="AU37" s="2">
        <v>119</v>
      </c>
      <c r="AV37" s="2">
        <v>67</v>
      </c>
      <c r="AY37" s="2" t="s">
        <v>1</v>
      </c>
    </row>
    <row r="38" spans="1:51" x14ac:dyDescent="0.2">
      <c r="A38" s="2">
        <v>74</v>
      </c>
      <c r="B38" s="2" t="s">
        <v>903</v>
      </c>
      <c r="C38" s="7">
        <f t="shared" si="7"/>
        <v>33870</v>
      </c>
      <c r="D38" s="2">
        <v>1350</v>
      </c>
      <c r="E38" s="2">
        <v>7500</v>
      </c>
      <c r="F38" s="2">
        <v>159</v>
      </c>
      <c r="G38" s="2">
        <v>1699</v>
      </c>
      <c r="H38" s="2">
        <v>362</v>
      </c>
      <c r="K38" s="2">
        <v>30</v>
      </c>
      <c r="L38" s="2" t="s">
        <v>904</v>
      </c>
      <c r="M38" s="7">
        <f t="shared" si="6"/>
        <v>33875</v>
      </c>
      <c r="N38" s="2">
        <v>1333</v>
      </c>
      <c r="O38" s="2" t="s">
        <v>813</v>
      </c>
      <c r="P38" s="2">
        <v>-28</v>
      </c>
      <c r="Q38" s="2">
        <v>7500</v>
      </c>
      <c r="R38" s="2">
        <v>154</v>
      </c>
      <c r="S38" s="2">
        <v>1727</v>
      </c>
      <c r="T38" s="2">
        <v>365</v>
      </c>
      <c r="U38" s="2">
        <v>339.7</v>
      </c>
      <c r="V38" s="2">
        <v>513</v>
      </c>
      <c r="W38" s="2">
        <v>284</v>
      </c>
      <c r="X38" s="2">
        <v>55</v>
      </c>
      <c r="Z38" s="2">
        <v>182</v>
      </c>
      <c r="AA38" s="2">
        <v>160</v>
      </c>
      <c r="AB38" s="2">
        <v>21</v>
      </c>
      <c r="AD38" s="2" t="s">
        <v>822</v>
      </c>
      <c r="AE38" s="2" t="s">
        <v>905</v>
      </c>
      <c r="AF38" s="7">
        <f t="shared" si="5"/>
        <v>32771</v>
      </c>
      <c r="AG38" s="2">
        <v>1608</v>
      </c>
      <c r="AH38" s="2">
        <v>8000</v>
      </c>
      <c r="AI38" s="2">
        <v>15</v>
      </c>
      <c r="AJ38" s="2">
        <v>572</v>
      </c>
      <c r="AK38" s="2">
        <v>216</v>
      </c>
      <c r="AO38" s="2">
        <v>341</v>
      </c>
      <c r="AP38" s="2">
        <v>472</v>
      </c>
      <c r="AQ38" s="2">
        <v>272</v>
      </c>
      <c r="AR38" s="2">
        <v>48</v>
      </c>
      <c r="AT38" s="2">
        <v>181</v>
      </c>
      <c r="AU38" s="2">
        <v>133</v>
      </c>
      <c r="AV38" s="2">
        <v>28</v>
      </c>
      <c r="AY38" s="2" t="s">
        <v>1</v>
      </c>
    </row>
    <row r="39" spans="1:51" x14ac:dyDescent="0.2">
      <c r="A39" s="2">
        <v>77</v>
      </c>
      <c r="B39" s="2" t="s">
        <v>906</v>
      </c>
      <c r="C39" s="7">
        <f t="shared" si="7"/>
        <v>33870</v>
      </c>
      <c r="D39" s="2">
        <v>1428</v>
      </c>
      <c r="E39" s="2">
        <v>3000</v>
      </c>
      <c r="F39" s="2">
        <v>272</v>
      </c>
      <c r="G39" s="2">
        <v>1729</v>
      </c>
      <c r="H39" s="2">
        <v>361</v>
      </c>
      <c r="K39" s="2">
        <v>31</v>
      </c>
      <c r="L39" s="2" t="s">
        <v>907</v>
      </c>
      <c r="M39" s="7">
        <f t="shared" si="6"/>
        <v>33875</v>
      </c>
      <c r="N39" s="2">
        <v>1322</v>
      </c>
      <c r="O39" s="2" t="s">
        <v>813</v>
      </c>
      <c r="P39" s="2">
        <v>-28</v>
      </c>
      <c r="R39" s="2">
        <v>119</v>
      </c>
      <c r="S39" s="2">
        <v>1721</v>
      </c>
      <c r="T39" s="2">
        <v>359</v>
      </c>
      <c r="U39" s="2">
        <v>335.9</v>
      </c>
      <c r="V39" s="2">
        <v>510</v>
      </c>
      <c r="W39" s="2">
        <v>283</v>
      </c>
      <c r="X39" s="2">
        <v>54</v>
      </c>
      <c r="Z39" s="2">
        <v>180</v>
      </c>
      <c r="AA39" s="2">
        <v>160</v>
      </c>
      <c r="AB39" s="2">
        <v>22</v>
      </c>
      <c r="AD39" s="2" t="s">
        <v>822</v>
      </c>
      <c r="AE39" s="2" t="s">
        <v>908</v>
      </c>
      <c r="AF39" s="7">
        <f t="shared" si="5"/>
        <v>32771</v>
      </c>
      <c r="AG39" s="2">
        <v>1628</v>
      </c>
      <c r="AH39" s="2">
        <v>9000</v>
      </c>
      <c r="AI39" s="2">
        <v>15</v>
      </c>
      <c r="AJ39" s="2">
        <v>797</v>
      </c>
      <c r="AK39" s="2">
        <v>273</v>
      </c>
      <c r="AO39" s="2">
        <v>342</v>
      </c>
      <c r="AP39" s="2">
        <v>565</v>
      </c>
      <c r="AQ39" s="2">
        <v>983</v>
      </c>
      <c r="AR39" s="2">
        <v>52</v>
      </c>
      <c r="AT39" s="2">
        <v>182</v>
      </c>
      <c r="AU39" s="2">
        <v>138</v>
      </c>
      <c r="AV39" s="2">
        <v>44</v>
      </c>
      <c r="AY39" s="2" t="s">
        <v>1</v>
      </c>
    </row>
    <row r="40" spans="1:51" x14ac:dyDescent="0.2">
      <c r="A40" s="2">
        <v>83</v>
      </c>
      <c r="B40" s="2" t="s">
        <v>909</v>
      </c>
      <c r="C40" s="7">
        <f t="shared" si="7"/>
        <v>33870</v>
      </c>
      <c r="D40" s="2">
        <v>1707</v>
      </c>
      <c r="E40" s="2">
        <v>6000</v>
      </c>
      <c r="F40" s="2">
        <v>250</v>
      </c>
      <c r="G40" s="2">
        <v>1719</v>
      </c>
      <c r="H40" s="2">
        <v>359</v>
      </c>
      <c r="K40" s="2">
        <v>32</v>
      </c>
      <c r="L40" s="2" t="s">
        <v>910</v>
      </c>
      <c r="M40" s="7">
        <f t="shared" si="6"/>
        <v>33875</v>
      </c>
      <c r="N40" s="2">
        <v>1344</v>
      </c>
      <c r="O40" s="2" t="s">
        <v>813</v>
      </c>
      <c r="P40" s="2">
        <v>-28</v>
      </c>
      <c r="Q40" s="2">
        <v>6000</v>
      </c>
      <c r="R40" s="2">
        <v>171</v>
      </c>
      <c r="S40" s="2">
        <v>1724</v>
      </c>
      <c r="T40" s="2">
        <v>366</v>
      </c>
      <c r="U40" s="2">
        <v>340.9</v>
      </c>
      <c r="V40" s="2">
        <v>518</v>
      </c>
      <c r="W40" s="2">
        <v>284</v>
      </c>
      <c r="X40" s="2">
        <v>55</v>
      </c>
      <c r="Z40" s="2">
        <v>183</v>
      </c>
      <c r="AA40" s="2">
        <v>160</v>
      </c>
      <c r="AB40" s="2">
        <v>22</v>
      </c>
      <c r="AD40" s="2" t="s">
        <v>822</v>
      </c>
      <c r="AE40" s="2" t="s">
        <v>911</v>
      </c>
      <c r="AF40" s="7">
        <f t="shared" si="5"/>
        <v>32771</v>
      </c>
      <c r="AG40" s="2">
        <v>1648</v>
      </c>
      <c r="AH40" s="2">
        <v>9000</v>
      </c>
      <c r="AI40" s="2">
        <v>15</v>
      </c>
      <c r="AJ40" s="2">
        <v>1679</v>
      </c>
      <c r="AK40" s="2">
        <v>233</v>
      </c>
      <c r="AO40" s="2">
        <v>340</v>
      </c>
      <c r="AP40" s="2">
        <v>469</v>
      </c>
      <c r="AQ40" s="2">
        <v>269</v>
      </c>
      <c r="AR40" s="2">
        <v>46</v>
      </c>
      <c r="AT40" s="2">
        <v>176</v>
      </c>
      <c r="AU40" s="2">
        <v>110</v>
      </c>
      <c r="AV40" s="2">
        <v>92</v>
      </c>
      <c r="AY40" s="2" t="s">
        <v>1</v>
      </c>
    </row>
    <row r="41" spans="1:51" x14ac:dyDescent="0.2">
      <c r="A41" s="2">
        <v>85</v>
      </c>
      <c r="B41" s="2" t="s">
        <v>912</v>
      </c>
      <c r="C41" s="7">
        <f t="shared" si="7"/>
        <v>33870</v>
      </c>
      <c r="D41" s="2">
        <v>1730</v>
      </c>
      <c r="E41" s="2">
        <v>3000</v>
      </c>
      <c r="F41" s="2">
        <v>268</v>
      </c>
      <c r="G41" s="2">
        <v>1722</v>
      </c>
      <c r="H41" s="2">
        <v>361</v>
      </c>
      <c r="K41" s="2">
        <v>33</v>
      </c>
      <c r="L41" s="2" t="s">
        <v>913</v>
      </c>
      <c r="M41" s="7">
        <f t="shared" si="6"/>
        <v>33875</v>
      </c>
      <c r="N41" s="2">
        <v>1356</v>
      </c>
      <c r="O41" s="2" t="s">
        <v>813</v>
      </c>
      <c r="P41" s="2">
        <v>-28</v>
      </c>
      <c r="Q41" s="2">
        <v>4500</v>
      </c>
      <c r="R41" s="2">
        <v>174</v>
      </c>
      <c r="S41" s="2">
        <v>1728</v>
      </c>
      <c r="T41" s="2">
        <v>368</v>
      </c>
      <c r="U41" s="2">
        <v>339.2</v>
      </c>
      <c r="V41" s="2">
        <v>516</v>
      </c>
      <c r="W41" s="2">
        <v>282</v>
      </c>
      <c r="X41" s="2">
        <v>55</v>
      </c>
      <c r="Z41" s="2">
        <v>182</v>
      </c>
      <c r="AA41" s="2">
        <v>160</v>
      </c>
      <c r="AB41" s="2">
        <v>23</v>
      </c>
      <c r="AD41" s="2" t="s">
        <v>822</v>
      </c>
      <c r="AE41" s="2" t="s">
        <v>914</v>
      </c>
      <c r="AF41" s="7">
        <f t="shared" si="5"/>
        <v>32771</v>
      </c>
      <c r="AG41" s="2">
        <v>1722</v>
      </c>
      <c r="AH41" s="2">
        <v>8000</v>
      </c>
      <c r="AI41" s="2">
        <v>15</v>
      </c>
      <c r="AJ41" s="2">
        <v>653</v>
      </c>
      <c r="AK41" s="2">
        <v>177</v>
      </c>
      <c r="AO41" s="2">
        <v>340</v>
      </c>
      <c r="AP41" s="2">
        <v>472</v>
      </c>
      <c r="AQ41" s="2">
        <v>269</v>
      </c>
      <c r="AR41" s="2">
        <v>47</v>
      </c>
      <c r="AS41" s="2">
        <v>20</v>
      </c>
      <c r="AT41" s="2">
        <v>177</v>
      </c>
      <c r="AU41" s="2">
        <v>138</v>
      </c>
      <c r="AY41" s="2" t="s">
        <v>1</v>
      </c>
    </row>
    <row r="42" spans="1:51" x14ac:dyDescent="0.2">
      <c r="K42" s="2">
        <v>34</v>
      </c>
      <c r="L42" s="2" t="s">
        <v>915</v>
      </c>
      <c r="M42" s="7">
        <f t="shared" si="6"/>
        <v>33875</v>
      </c>
      <c r="N42" s="2">
        <v>1710</v>
      </c>
      <c r="O42" s="2" t="s">
        <v>813</v>
      </c>
      <c r="P42" s="2">
        <v>-30</v>
      </c>
      <c r="Q42" s="2">
        <v>4500</v>
      </c>
      <c r="R42" s="2">
        <v>186</v>
      </c>
      <c r="S42" s="2">
        <v>1721</v>
      </c>
      <c r="T42" s="2">
        <v>365</v>
      </c>
      <c r="U42" s="2">
        <v>341.6</v>
      </c>
      <c r="V42" s="2">
        <v>507</v>
      </c>
      <c r="W42" s="2">
        <v>282</v>
      </c>
      <c r="X42" s="2">
        <v>55</v>
      </c>
      <c r="Z42" s="2">
        <v>182</v>
      </c>
      <c r="AA42" s="2">
        <v>157</v>
      </c>
      <c r="AB42" s="2">
        <v>19</v>
      </c>
      <c r="AD42" s="2" t="s">
        <v>822</v>
      </c>
      <c r="AE42" s="2" t="s">
        <v>916</v>
      </c>
      <c r="AF42" s="7">
        <f t="shared" si="5"/>
        <v>32771</v>
      </c>
      <c r="AG42" s="2">
        <v>1007</v>
      </c>
      <c r="AH42" s="2">
        <v>22000</v>
      </c>
      <c r="AI42" s="2">
        <v>-14</v>
      </c>
      <c r="AJ42" s="2">
        <v>943</v>
      </c>
      <c r="AK42" s="2">
        <v>138</v>
      </c>
      <c r="AO42" s="2">
        <v>342</v>
      </c>
      <c r="AP42" s="2">
        <v>478</v>
      </c>
      <c r="AQ42" s="2">
        <v>272</v>
      </c>
      <c r="AR42" s="2">
        <v>56</v>
      </c>
      <c r="AS42" s="2">
        <v>11</v>
      </c>
      <c r="AT42" s="2">
        <v>84</v>
      </c>
      <c r="AV42" s="2">
        <v>19</v>
      </c>
      <c r="AY42" s="2" t="s">
        <v>1</v>
      </c>
    </row>
    <row r="43" spans="1:51" x14ac:dyDescent="0.2">
      <c r="K43" s="2">
        <v>35</v>
      </c>
      <c r="L43" s="2" t="s">
        <v>917</v>
      </c>
      <c r="M43" s="7">
        <f t="shared" si="6"/>
        <v>33875</v>
      </c>
      <c r="N43" s="2">
        <v>1630</v>
      </c>
      <c r="O43" s="2" t="s">
        <v>813</v>
      </c>
      <c r="P43" s="2">
        <v>-30</v>
      </c>
      <c r="Q43" s="2">
        <v>7500</v>
      </c>
      <c r="R43" s="2">
        <v>156</v>
      </c>
      <c r="S43" s="2">
        <v>1722</v>
      </c>
      <c r="T43" s="2">
        <v>363</v>
      </c>
      <c r="U43" s="2">
        <v>340.9</v>
      </c>
      <c r="V43" s="2">
        <v>515</v>
      </c>
      <c r="W43" s="2">
        <v>284</v>
      </c>
      <c r="X43" s="2">
        <v>54</v>
      </c>
      <c r="Z43" s="2">
        <v>187</v>
      </c>
      <c r="AA43" s="2">
        <v>160</v>
      </c>
      <c r="AB43" s="2">
        <v>18</v>
      </c>
      <c r="AD43" s="2" t="s">
        <v>822</v>
      </c>
      <c r="AE43" s="2" t="s">
        <v>918</v>
      </c>
      <c r="AH43" s="2">
        <v>13000</v>
      </c>
      <c r="AJ43" s="2">
        <v>1696</v>
      </c>
      <c r="AK43" s="2">
        <v>18</v>
      </c>
      <c r="AM43" s="2">
        <v>1716</v>
      </c>
      <c r="AN43" s="2">
        <v>345</v>
      </c>
      <c r="AO43" s="2">
        <v>343</v>
      </c>
      <c r="AP43" s="2">
        <v>488</v>
      </c>
      <c r="AQ43" s="2">
        <v>303</v>
      </c>
      <c r="AR43" s="2">
        <v>49</v>
      </c>
      <c r="AT43" s="2">
        <v>170</v>
      </c>
      <c r="AY43" s="2" t="s">
        <v>1</v>
      </c>
    </row>
    <row r="44" spans="1:51" x14ac:dyDescent="0.2">
      <c r="K44" s="2">
        <v>36</v>
      </c>
      <c r="L44" s="2" t="s">
        <v>919</v>
      </c>
      <c r="M44" s="7">
        <f t="shared" si="6"/>
        <v>33875</v>
      </c>
      <c r="N44" s="2">
        <v>1650</v>
      </c>
      <c r="O44" s="2" t="s">
        <v>813</v>
      </c>
      <c r="P44" s="2">
        <v>-30</v>
      </c>
      <c r="Q44" s="2">
        <v>6000</v>
      </c>
      <c r="R44" s="2">
        <v>209</v>
      </c>
      <c r="S44" s="2">
        <v>1725</v>
      </c>
      <c r="T44" s="2">
        <v>366</v>
      </c>
      <c r="U44" s="2">
        <v>340.3</v>
      </c>
      <c r="V44" s="2">
        <v>507</v>
      </c>
      <c r="W44" s="2">
        <v>287</v>
      </c>
      <c r="X44" s="2">
        <v>54</v>
      </c>
      <c r="Z44" s="2">
        <v>183</v>
      </c>
      <c r="AA44" s="2">
        <v>156</v>
      </c>
      <c r="AB44" s="2">
        <v>21</v>
      </c>
      <c r="AD44" s="2" t="s">
        <v>822</v>
      </c>
      <c r="AE44" s="2" t="s">
        <v>920</v>
      </c>
      <c r="AH44" s="2">
        <v>14000</v>
      </c>
      <c r="AJ44" s="2">
        <v>1038</v>
      </c>
      <c r="AK44" s="2">
        <v>63</v>
      </c>
      <c r="AM44" s="2">
        <v>1688</v>
      </c>
      <c r="AN44" s="2">
        <v>348</v>
      </c>
      <c r="AO44" s="2">
        <v>343</v>
      </c>
      <c r="AP44" s="2">
        <v>908</v>
      </c>
      <c r="AQ44" s="2">
        <v>3441</v>
      </c>
      <c r="AR44" s="2">
        <v>73</v>
      </c>
      <c r="AS44" s="2">
        <v>25</v>
      </c>
      <c r="AT44" s="2">
        <v>187</v>
      </c>
      <c r="AV44" s="2">
        <v>28</v>
      </c>
      <c r="AY44" s="2" t="s">
        <v>1</v>
      </c>
    </row>
    <row r="45" spans="1:51" x14ac:dyDescent="0.2">
      <c r="K45" s="2">
        <v>37</v>
      </c>
      <c r="L45" s="2" t="s">
        <v>921</v>
      </c>
      <c r="M45" s="7">
        <f t="shared" si="6"/>
        <v>33875</v>
      </c>
      <c r="N45" s="2">
        <v>1620</v>
      </c>
      <c r="O45" s="2" t="s">
        <v>813</v>
      </c>
      <c r="P45" s="2">
        <v>-30</v>
      </c>
      <c r="Q45" s="2">
        <v>9000</v>
      </c>
      <c r="R45" s="2">
        <v>126</v>
      </c>
      <c r="S45" s="2">
        <v>1720</v>
      </c>
      <c r="T45" s="2">
        <v>361</v>
      </c>
      <c r="U45" s="2">
        <v>340.3</v>
      </c>
      <c r="V45" s="2">
        <v>505</v>
      </c>
      <c r="W45" s="2">
        <v>285</v>
      </c>
      <c r="X45" s="2">
        <v>55</v>
      </c>
      <c r="Z45" s="2">
        <v>188</v>
      </c>
      <c r="AA45" s="2">
        <v>161</v>
      </c>
      <c r="AB45" s="2">
        <v>15</v>
      </c>
      <c r="AD45" s="2" t="s">
        <v>822</v>
      </c>
      <c r="AE45" s="2" t="s">
        <v>922</v>
      </c>
      <c r="AF45" s="7">
        <f>DATE(89,9,21)</f>
        <v>32772</v>
      </c>
      <c r="AG45" s="2">
        <v>1130</v>
      </c>
      <c r="AH45" s="2">
        <v>12000</v>
      </c>
      <c r="AI45" s="2">
        <v>9</v>
      </c>
      <c r="AJ45" s="2">
        <v>581</v>
      </c>
      <c r="AK45" s="2">
        <v>36</v>
      </c>
      <c r="AO45" s="2">
        <v>344</v>
      </c>
      <c r="AP45" s="2">
        <v>483</v>
      </c>
      <c r="AQ45" s="2">
        <v>267</v>
      </c>
      <c r="AR45" s="2">
        <v>47</v>
      </c>
      <c r="AT45" s="2">
        <v>161</v>
      </c>
      <c r="AV45" s="2">
        <v>10</v>
      </c>
      <c r="AY45" s="2" t="s">
        <v>1</v>
      </c>
    </row>
    <row r="46" spans="1:51" x14ac:dyDescent="0.2">
      <c r="K46" s="2">
        <v>38</v>
      </c>
      <c r="L46" s="2" t="s">
        <v>923</v>
      </c>
      <c r="M46" s="7">
        <f t="shared" si="6"/>
        <v>33875</v>
      </c>
      <c r="N46" s="2">
        <v>1610</v>
      </c>
      <c r="O46" s="2" t="s">
        <v>813</v>
      </c>
      <c r="P46" s="2">
        <v>-30</v>
      </c>
      <c r="Q46" s="2">
        <v>10500</v>
      </c>
      <c r="R46" s="2">
        <v>122</v>
      </c>
      <c r="S46" s="2">
        <v>1723</v>
      </c>
      <c r="T46" s="2">
        <v>361</v>
      </c>
      <c r="U46" s="2">
        <v>339.8</v>
      </c>
      <c r="V46" s="2">
        <v>519</v>
      </c>
      <c r="W46" s="2">
        <v>285</v>
      </c>
      <c r="X46" s="2">
        <v>54</v>
      </c>
      <c r="Z46" s="2">
        <v>182</v>
      </c>
      <c r="AA46" s="2">
        <v>158</v>
      </c>
      <c r="AB46" s="2">
        <v>15</v>
      </c>
      <c r="AD46" s="2" t="s">
        <v>822</v>
      </c>
      <c r="AE46" s="2" t="s">
        <v>924</v>
      </c>
      <c r="AF46" s="7">
        <f>DATE(89,9,21)</f>
        <v>32772</v>
      </c>
      <c r="AG46" s="2">
        <v>1145</v>
      </c>
      <c r="AH46" s="2">
        <v>10000</v>
      </c>
      <c r="AI46" s="2">
        <v>10</v>
      </c>
      <c r="AJ46" s="2">
        <v>1333</v>
      </c>
      <c r="AK46" s="2">
        <v>167</v>
      </c>
      <c r="AL46" s="2">
        <v>169</v>
      </c>
      <c r="AM46" s="2">
        <v>1719</v>
      </c>
      <c r="AN46" s="2">
        <v>338</v>
      </c>
      <c r="AO46" s="2">
        <v>342</v>
      </c>
      <c r="AP46" s="2">
        <v>476</v>
      </c>
      <c r="AQ46" s="2">
        <v>264</v>
      </c>
      <c r="AR46" s="2">
        <v>47</v>
      </c>
      <c r="AT46" s="2">
        <v>139</v>
      </c>
      <c r="AU46" s="2">
        <v>77</v>
      </c>
      <c r="AV46" s="2">
        <v>69</v>
      </c>
    </row>
    <row r="47" spans="1:51" x14ac:dyDescent="0.2">
      <c r="K47" s="2">
        <v>39</v>
      </c>
      <c r="L47" s="2" t="s">
        <v>925</v>
      </c>
      <c r="M47" s="7">
        <f t="shared" si="6"/>
        <v>33875</v>
      </c>
      <c r="N47" s="2">
        <v>1535</v>
      </c>
      <c r="O47" s="2" t="s">
        <v>813</v>
      </c>
      <c r="P47" s="2">
        <v>-29</v>
      </c>
      <c r="Q47" s="2">
        <v>10600</v>
      </c>
      <c r="R47" s="2">
        <v>87</v>
      </c>
      <c r="S47" s="2">
        <v>1757</v>
      </c>
      <c r="T47" s="2">
        <v>358</v>
      </c>
      <c r="U47" s="2">
        <v>338.4</v>
      </c>
      <c r="V47" s="2">
        <v>511</v>
      </c>
      <c r="W47" s="2">
        <v>284</v>
      </c>
      <c r="X47" s="2">
        <v>54</v>
      </c>
      <c r="Z47" s="2">
        <v>182</v>
      </c>
      <c r="AA47" s="2">
        <v>156</v>
      </c>
      <c r="AB47" s="2">
        <v>11</v>
      </c>
      <c r="AD47" s="2" t="s">
        <v>822</v>
      </c>
      <c r="AE47" s="2" t="s">
        <v>926</v>
      </c>
      <c r="AH47" s="2">
        <v>8000</v>
      </c>
      <c r="AJ47" s="2">
        <v>861</v>
      </c>
      <c r="AK47" s="2">
        <v>293</v>
      </c>
      <c r="AL47" s="2">
        <v>197</v>
      </c>
      <c r="AM47" s="2">
        <v>1722</v>
      </c>
      <c r="AN47" s="2">
        <v>337</v>
      </c>
      <c r="AO47" s="2">
        <v>341</v>
      </c>
      <c r="AP47" s="2">
        <v>475</v>
      </c>
      <c r="AQ47" s="2">
        <v>272</v>
      </c>
      <c r="AR47" s="2">
        <v>49</v>
      </c>
      <c r="AT47" s="2">
        <v>182</v>
      </c>
      <c r="AU47" s="2">
        <v>32</v>
      </c>
      <c r="AV47" s="2">
        <v>84</v>
      </c>
    </row>
    <row r="48" spans="1:51" x14ac:dyDescent="0.2">
      <c r="F48" s="8" t="s">
        <v>118</v>
      </c>
      <c r="G48" s="8" t="s">
        <v>123</v>
      </c>
      <c r="H48" s="8" t="s">
        <v>134</v>
      </c>
      <c r="K48" s="2">
        <v>40</v>
      </c>
      <c r="L48" s="2" t="s">
        <v>927</v>
      </c>
      <c r="M48" s="7">
        <f t="shared" si="6"/>
        <v>33875</v>
      </c>
      <c r="N48" s="2">
        <v>1545</v>
      </c>
      <c r="O48" s="2" t="s">
        <v>813</v>
      </c>
      <c r="P48" s="2">
        <v>-29</v>
      </c>
      <c r="Q48" s="2">
        <v>12000</v>
      </c>
      <c r="R48" s="2">
        <v>104</v>
      </c>
      <c r="S48" s="2">
        <v>1735</v>
      </c>
      <c r="T48" s="2">
        <v>358</v>
      </c>
      <c r="U48" s="2">
        <v>340.8</v>
      </c>
      <c r="V48" s="2">
        <v>516</v>
      </c>
      <c r="W48" s="2">
        <v>286</v>
      </c>
      <c r="X48" s="2">
        <v>55</v>
      </c>
      <c r="Z48" s="2">
        <v>184</v>
      </c>
      <c r="AA48" s="2">
        <v>159</v>
      </c>
      <c r="AB48" s="2">
        <v>16</v>
      </c>
      <c r="AD48" s="2" t="s">
        <v>822</v>
      </c>
      <c r="AE48" s="2" t="s">
        <v>928</v>
      </c>
      <c r="AF48" s="7">
        <f>DATE(89,9,21)</f>
        <v>32772</v>
      </c>
      <c r="AG48" s="2">
        <v>1218</v>
      </c>
      <c r="AH48" s="2">
        <v>5000</v>
      </c>
      <c r="AJ48" s="2">
        <v>1065</v>
      </c>
      <c r="AK48" s="2">
        <v>449</v>
      </c>
      <c r="AL48" s="2">
        <v>198</v>
      </c>
      <c r="AM48" s="2">
        <v>1748</v>
      </c>
      <c r="AN48" s="2">
        <v>211</v>
      </c>
      <c r="AO48" s="2">
        <v>343</v>
      </c>
      <c r="AP48" s="2">
        <v>474</v>
      </c>
      <c r="AQ48" s="2">
        <v>270</v>
      </c>
      <c r="AR48" s="2">
        <v>47</v>
      </c>
      <c r="AS48" s="2">
        <v>44</v>
      </c>
      <c r="AT48" s="2">
        <v>186</v>
      </c>
      <c r="AU48" s="2">
        <v>90</v>
      </c>
      <c r="AV48" s="2">
        <v>48</v>
      </c>
    </row>
    <row r="49" spans="2:56" x14ac:dyDescent="0.2">
      <c r="F49" s="8" t="s">
        <v>266</v>
      </c>
      <c r="G49" s="8" t="s">
        <v>266</v>
      </c>
      <c r="H49" s="8" t="s">
        <v>371</v>
      </c>
      <c r="K49" s="2">
        <v>41</v>
      </c>
      <c r="L49" s="2" t="s">
        <v>929</v>
      </c>
      <c r="M49" s="7">
        <f t="shared" si="6"/>
        <v>33875</v>
      </c>
      <c r="N49" s="2">
        <v>1525</v>
      </c>
      <c r="O49" s="2" t="s">
        <v>813</v>
      </c>
      <c r="P49" s="2">
        <v>-29</v>
      </c>
      <c r="Q49" s="2">
        <v>9000</v>
      </c>
      <c r="R49" s="2">
        <v>105</v>
      </c>
      <c r="S49" s="2">
        <v>1745</v>
      </c>
      <c r="T49" s="2">
        <v>360</v>
      </c>
      <c r="U49" s="2">
        <v>338.5</v>
      </c>
      <c r="V49" s="2">
        <v>514</v>
      </c>
      <c r="W49" s="2">
        <v>286</v>
      </c>
      <c r="X49" s="2">
        <v>55</v>
      </c>
      <c r="Z49" s="2">
        <v>182</v>
      </c>
      <c r="AA49" s="2">
        <v>156</v>
      </c>
      <c r="AB49" s="2">
        <v>13</v>
      </c>
    </row>
    <row r="50" spans="2:56" x14ac:dyDescent="0.2">
      <c r="K50" s="2">
        <v>42</v>
      </c>
      <c r="L50" s="2" t="s">
        <v>930</v>
      </c>
      <c r="M50" s="7">
        <f t="shared" si="6"/>
        <v>33875</v>
      </c>
      <c r="N50" s="2">
        <v>1255</v>
      </c>
      <c r="O50" s="2" t="s">
        <v>813</v>
      </c>
      <c r="P50" s="2">
        <v>-28</v>
      </c>
      <c r="R50" s="2">
        <v>99</v>
      </c>
      <c r="S50" s="2">
        <v>1722</v>
      </c>
      <c r="T50" s="2">
        <v>360</v>
      </c>
      <c r="U50" s="2">
        <v>339.6</v>
      </c>
      <c r="V50" s="2">
        <v>515</v>
      </c>
      <c r="W50" s="2">
        <v>286</v>
      </c>
      <c r="X50" s="2">
        <v>55</v>
      </c>
      <c r="Z50" s="2">
        <v>185</v>
      </c>
      <c r="AA50" s="2">
        <v>160</v>
      </c>
      <c r="AB50" s="2">
        <v>21</v>
      </c>
    </row>
    <row r="51" spans="2:56" x14ac:dyDescent="0.2">
      <c r="K51" s="2">
        <v>43</v>
      </c>
      <c r="L51" s="2" t="s">
        <v>931</v>
      </c>
      <c r="M51" s="7">
        <f t="shared" si="6"/>
        <v>33875</v>
      </c>
      <c r="O51" s="2" t="s">
        <v>813</v>
      </c>
      <c r="P51" s="2">
        <v>-28</v>
      </c>
      <c r="Q51" s="2">
        <v>10500</v>
      </c>
      <c r="R51" s="2">
        <v>123</v>
      </c>
      <c r="S51" s="2">
        <v>1723</v>
      </c>
      <c r="T51" s="2">
        <v>360</v>
      </c>
      <c r="U51" s="2">
        <v>343.5</v>
      </c>
      <c r="V51" s="2">
        <v>514</v>
      </c>
      <c r="W51" s="2">
        <v>285</v>
      </c>
      <c r="X51" s="2">
        <v>56</v>
      </c>
      <c r="Z51" s="2">
        <v>187</v>
      </c>
      <c r="AA51" s="2">
        <v>161</v>
      </c>
      <c r="AB51" s="2">
        <v>22</v>
      </c>
      <c r="AJ51" s="8" t="s">
        <v>117</v>
      </c>
      <c r="AK51" s="8" t="s">
        <v>118</v>
      </c>
      <c r="AL51" s="8" t="s">
        <v>118</v>
      </c>
      <c r="AM51" s="8" t="s">
        <v>123</v>
      </c>
      <c r="AN51" s="8" t="s">
        <v>134</v>
      </c>
      <c r="AO51" s="8" t="s">
        <v>138</v>
      </c>
      <c r="AP51" s="8" t="s">
        <v>136</v>
      </c>
      <c r="AQ51" s="8" t="s">
        <v>130</v>
      </c>
      <c r="AR51" s="8" t="s">
        <v>133</v>
      </c>
      <c r="AS51" s="8" t="s">
        <v>127</v>
      </c>
      <c r="AT51" s="8" t="s">
        <v>121</v>
      </c>
      <c r="AU51" s="8" t="s">
        <v>112</v>
      </c>
      <c r="AV51" s="8" t="s">
        <v>146</v>
      </c>
    </row>
    <row r="52" spans="2:56" x14ac:dyDescent="0.2">
      <c r="B52" s="2" t="s">
        <v>363</v>
      </c>
      <c r="C52" s="7">
        <f t="shared" ref="C52:H52" si="8">AVERAGE(C8:C41)</f>
        <v>33868.323529411762</v>
      </c>
      <c r="D52" s="4">
        <f t="shared" si="8"/>
        <v>1279.5294117647059</v>
      </c>
      <c r="E52" s="4">
        <f t="shared" si="8"/>
        <v>7129.411764705882</v>
      </c>
      <c r="F52" s="4">
        <f t="shared" si="8"/>
        <v>252.1764705882353</v>
      </c>
      <c r="G52" s="4">
        <f t="shared" si="8"/>
        <v>1731.4117647058824</v>
      </c>
      <c r="H52" s="4">
        <f t="shared" si="8"/>
        <v>363.23529411764707</v>
      </c>
      <c r="K52" s="2">
        <v>44</v>
      </c>
      <c r="L52" s="2" t="s">
        <v>932</v>
      </c>
      <c r="M52" s="7">
        <f t="shared" ref="M52:M58" si="9">DATE(92,10,1)</f>
        <v>33878</v>
      </c>
      <c r="N52" s="2">
        <v>1020</v>
      </c>
      <c r="O52" s="2" t="s">
        <v>813</v>
      </c>
      <c r="P52" s="2">
        <v>-31</v>
      </c>
      <c r="Q52" s="2">
        <v>10500</v>
      </c>
      <c r="R52" s="2">
        <v>108</v>
      </c>
      <c r="S52" s="2">
        <v>1724</v>
      </c>
      <c r="T52" s="2">
        <v>359</v>
      </c>
      <c r="U52" s="17">
        <v>339.2</v>
      </c>
      <c r="V52" s="2">
        <v>519</v>
      </c>
      <c r="W52" s="2">
        <v>288</v>
      </c>
      <c r="X52" s="2">
        <v>41</v>
      </c>
      <c r="Z52" s="2">
        <v>190</v>
      </c>
      <c r="AA52" s="2">
        <v>166</v>
      </c>
      <c r="AB52" s="2">
        <v>19</v>
      </c>
      <c r="AJ52" s="8" t="s">
        <v>266</v>
      </c>
      <c r="AK52" s="8" t="s">
        <v>266</v>
      </c>
      <c r="AL52" s="8" t="s">
        <v>266</v>
      </c>
      <c r="AM52" s="8" t="s">
        <v>266</v>
      </c>
      <c r="AN52" s="8" t="s">
        <v>371</v>
      </c>
      <c r="AO52" s="8" t="s">
        <v>266</v>
      </c>
      <c r="AP52" s="8" t="s">
        <v>144</v>
      </c>
      <c r="AQ52" s="8" t="s">
        <v>144</v>
      </c>
      <c r="AR52" s="8" t="s">
        <v>144</v>
      </c>
      <c r="AS52" s="8" t="s">
        <v>144</v>
      </c>
      <c r="AT52" s="8" t="s">
        <v>144</v>
      </c>
      <c r="AU52" s="8" t="s">
        <v>144</v>
      </c>
      <c r="AV52" s="8" t="s">
        <v>426</v>
      </c>
    </row>
    <row r="53" spans="2:56" x14ac:dyDescent="0.2">
      <c r="B53" s="2" t="s">
        <v>364</v>
      </c>
      <c r="C53" s="4"/>
      <c r="D53" s="4">
        <f>STDEV(D8:D41)</f>
        <v>217.88504548988303</v>
      </c>
      <c r="E53" s="4">
        <f>STDEV(E8:E41)</f>
        <v>2941.2973237202768</v>
      </c>
      <c r="F53" s="4">
        <f>STDEV(F8:F41)</f>
        <v>104.97834425691494</v>
      </c>
      <c r="G53" s="4">
        <f>STDEV(G8:G41)</f>
        <v>11.254945437070937</v>
      </c>
      <c r="H53" s="4">
        <f>STDEV(H8:H41)</f>
        <v>4.9363145590637698</v>
      </c>
      <c r="K53" s="2">
        <v>45</v>
      </c>
      <c r="L53" s="2" t="s">
        <v>933</v>
      </c>
      <c r="M53" s="7">
        <f t="shared" si="9"/>
        <v>33878</v>
      </c>
      <c r="N53" s="2">
        <v>943</v>
      </c>
      <c r="O53" s="2" t="s">
        <v>813</v>
      </c>
      <c r="P53" s="2">
        <v>-31</v>
      </c>
      <c r="R53" s="2">
        <v>127</v>
      </c>
      <c r="S53" s="2">
        <v>1727</v>
      </c>
      <c r="T53" s="2">
        <v>360</v>
      </c>
      <c r="U53" s="17">
        <v>337</v>
      </c>
      <c r="V53" s="2">
        <v>510</v>
      </c>
      <c r="W53" s="2">
        <v>282</v>
      </c>
      <c r="X53" s="2">
        <v>54</v>
      </c>
      <c r="Z53" s="2">
        <v>182</v>
      </c>
      <c r="AA53" s="2">
        <v>158</v>
      </c>
      <c r="AB53" s="2">
        <v>20</v>
      </c>
    </row>
    <row r="54" spans="2:56" x14ac:dyDescent="0.2">
      <c r="B54" s="2" t="s">
        <v>365</v>
      </c>
      <c r="D54" s="2">
        <f>COUNTA(D8:D41)</f>
        <v>34</v>
      </c>
      <c r="E54" s="2">
        <f>COUNTA(E8:E41)</f>
        <v>34</v>
      </c>
      <c r="F54" s="2">
        <f>COUNTA(F8:F41)</f>
        <v>34</v>
      </c>
      <c r="G54" s="2">
        <f>COUNTA(G8:G41)</f>
        <v>34</v>
      </c>
      <c r="H54" s="2">
        <f>COUNTA(H8:H41)</f>
        <v>34</v>
      </c>
      <c r="K54" s="2">
        <v>46</v>
      </c>
      <c r="L54" s="2" t="s">
        <v>934</v>
      </c>
      <c r="M54" s="7">
        <f t="shared" si="9"/>
        <v>33878</v>
      </c>
      <c r="N54" s="2">
        <v>928</v>
      </c>
      <c r="O54" s="2" t="s">
        <v>813</v>
      </c>
      <c r="P54" s="2">
        <v>-31</v>
      </c>
      <c r="R54" s="2">
        <v>154</v>
      </c>
      <c r="S54" s="2">
        <v>1734</v>
      </c>
      <c r="T54" s="2">
        <v>363</v>
      </c>
      <c r="U54" s="17">
        <v>338.4</v>
      </c>
      <c r="V54" s="2">
        <v>508</v>
      </c>
      <c r="W54" s="2">
        <v>286</v>
      </c>
      <c r="X54" s="2">
        <v>53</v>
      </c>
      <c r="Z54" s="2">
        <v>183</v>
      </c>
      <c r="AA54" s="2">
        <v>157</v>
      </c>
      <c r="AB54" s="2">
        <v>15</v>
      </c>
      <c r="AD54" s="2" t="s">
        <v>363</v>
      </c>
      <c r="AE54" s="7"/>
      <c r="AF54" s="7">
        <f>AVERAGE(AF34:AF50)</f>
        <v>32771.25</v>
      </c>
      <c r="AJ54" s="4">
        <f t="shared" ref="AJ54:AV54" si="10">AVERAGE(AJ34:AJ50)</f>
        <v>916</v>
      </c>
      <c r="AK54" s="4">
        <f t="shared" si="10"/>
        <v>244.53333333333333</v>
      </c>
      <c r="AL54" s="4">
        <f t="shared" si="10"/>
        <v>272.66666666666669</v>
      </c>
      <c r="AM54" s="4">
        <f t="shared" si="10"/>
        <v>1725.125</v>
      </c>
      <c r="AN54" s="4">
        <f t="shared" si="10"/>
        <v>319.25</v>
      </c>
      <c r="AO54" s="4">
        <f t="shared" si="10"/>
        <v>342.73333333333335</v>
      </c>
      <c r="AP54" s="4">
        <f t="shared" si="10"/>
        <v>520.20000000000005</v>
      </c>
      <c r="AQ54" s="4">
        <f t="shared" si="10"/>
        <v>609.4</v>
      </c>
      <c r="AR54" s="4">
        <f t="shared" si="10"/>
        <v>50.466666666666669</v>
      </c>
      <c r="AS54" s="4">
        <f t="shared" si="10"/>
        <v>23.6</v>
      </c>
      <c r="AT54" s="4">
        <f t="shared" si="10"/>
        <v>168.6</v>
      </c>
      <c r="AU54" s="4">
        <f t="shared" si="10"/>
        <v>113.63636363636364</v>
      </c>
      <c r="AV54" s="4">
        <f t="shared" si="10"/>
        <v>59</v>
      </c>
      <c r="AW54" s="4"/>
      <c r="AX54" s="4"/>
      <c r="AY54" s="4"/>
      <c r="AZ54" s="4"/>
      <c r="BA54" s="4"/>
      <c r="BB54" s="4"/>
      <c r="BC54" s="4"/>
      <c r="BD54" s="4"/>
    </row>
    <row r="55" spans="2:56" x14ac:dyDescent="0.2">
      <c r="K55" s="2">
        <v>47</v>
      </c>
      <c r="L55" s="2" t="s">
        <v>935</v>
      </c>
      <c r="M55" s="7">
        <f t="shared" si="9"/>
        <v>33878</v>
      </c>
      <c r="N55" s="2">
        <v>915</v>
      </c>
      <c r="O55" s="2" t="s">
        <v>813</v>
      </c>
      <c r="P55" s="2">
        <v>-31</v>
      </c>
      <c r="R55" s="2">
        <v>214</v>
      </c>
      <c r="S55" s="2">
        <v>1738</v>
      </c>
      <c r="T55" s="2">
        <v>367</v>
      </c>
      <c r="U55" s="17">
        <v>339.3</v>
      </c>
      <c r="V55" s="2">
        <v>513</v>
      </c>
      <c r="W55" s="2">
        <v>284</v>
      </c>
      <c r="X55" s="2">
        <v>54</v>
      </c>
      <c r="Z55" s="2">
        <v>178</v>
      </c>
      <c r="AA55" s="2">
        <v>157</v>
      </c>
      <c r="AB55" s="2">
        <v>31</v>
      </c>
      <c r="AD55" s="2" t="s">
        <v>364</v>
      </c>
      <c r="AE55" s="4"/>
      <c r="AF55" s="4">
        <f>STDEV(AF34:AF50)</f>
        <v>0.45226701686664544</v>
      </c>
      <c r="AJ55" s="4">
        <f t="shared" ref="AJ55:AV55" si="11">STDEV(AJ34:AJ50)</f>
        <v>382.82838378125962</v>
      </c>
      <c r="AK55" s="4">
        <f t="shared" si="11"/>
        <v>177.83534385439111</v>
      </c>
      <c r="AL55" s="4">
        <f t="shared" si="11"/>
        <v>121.16545162160153</v>
      </c>
      <c r="AM55" s="4">
        <f t="shared" si="11"/>
        <v>22.04824256034934</v>
      </c>
      <c r="AN55" s="4">
        <f t="shared" si="11"/>
        <v>48.177499193829355</v>
      </c>
      <c r="AO55" s="4">
        <f t="shared" si="11"/>
        <v>2.1536237457121516</v>
      </c>
      <c r="AP55" s="4">
        <f t="shared" si="11"/>
        <v>115.47677564898366</v>
      </c>
      <c r="AQ55" s="4">
        <f t="shared" si="11"/>
        <v>854.49281531711631</v>
      </c>
      <c r="AR55" s="4">
        <f t="shared" si="11"/>
        <v>6.8124535821922168</v>
      </c>
      <c r="AS55" s="4">
        <f t="shared" si="11"/>
        <v>12.461942063739501</v>
      </c>
      <c r="AT55" s="4">
        <f t="shared" si="11"/>
        <v>26.182873355360666</v>
      </c>
      <c r="AU55" s="4">
        <f t="shared" si="11"/>
        <v>36.64770859759917</v>
      </c>
      <c r="AV55" s="4">
        <f t="shared" si="11"/>
        <v>45.158978435448837</v>
      </c>
      <c r="AW55" s="4"/>
      <c r="AX55" s="4"/>
      <c r="AY55" s="4"/>
      <c r="AZ55" s="4"/>
      <c r="BA55" s="4"/>
      <c r="BB55" s="4"/>
      <c r="BC55" s="4"/>
      <c r="BD55" s="4"/>
    </row>
    <row r="56" spans="2:56" x14ac:dyDescent="0.2">
      <c r="K56" s="2">
        <v>48</v>
      </c>
      <c r="L56" s="2" t="s">
        <v>936</v>
      </c>
      <c r="M56" s="7">
        <f t="shared" si="9"/>
        <v>33878</v>
      </c>
      <c r="N56" s="2">
        <v>1007</v>
      </c>
      <c r="O56" s="2" t="s">
        <v>813</v>
      </c>
      <c r="P56" s="2">
        <v>-31</v>
      </c>
      <c r="Q56" s="2">
        <v>9000</v>
      </c>
      <c r="R56" s="2">
        <v>132</v>
      </c>
      <c r="S56" s="2">
        <v>1733</v>
      </c>
      <c r="T56" s="2">
        <v>359</v>
      </c>
      <c r="U56" s="17">
        <v>336.3</v>
      </c>
      <c r="V56" s="2">
        <v>547</v>
      </c>
      <c r="W56" s="2">
        <v>523</v>
      </c>
      <c r="X56" s="2">
        <v>58</v>
      </c>
      <c r="Y56" s="2">
        <v>56</v>
      </c>
      <c r="Z56" s="2">
        <v>310</v>
      </c>
      <c r="AA56" s="2">
        <v>160</v>
      </c>
      <c r="AB56" s="2">
        <v>11</v>
      </c>
      <c r="AD56" s="2" t="s">
        <v>365</v>
      </c>
      <c r="AF56" s="2">
        <f>COUNTA(AF34:AF50)</f>
        <v>12</v>
      </c>
      <c r="AJ56" s="2">
        <f t="shared" ref="AJ56:AV56" si="12">COUNTA(AJ34:AJ50)</f>
        <v>15</v>
      </c>
      <c r="AK56" s="2">
        <f t="shared" si="12"/>
        <v>15</v>
      </c>
      <c r="AL56" s="2">
        <f t="shared" si="12"/>
        <v>6</v>
      </c>
      <c r="AM56" s="2">
        <f t="shared" si="12"/>
        <v>8</v>
      </c>
      <c r="AN56" s="2">
        <f t="shared" si="12"/>
        <v>8</v>
      </c>
      <c r="AO56" s="2">
        <f t="shared" si="12"/>
        <v>15</v>
      </c>
      <c r="AP56" s="2">
        <f t="shared" si="12"/>
        <v>15</v>
      </c>
      <c r="AQ56" s="2">
        <f t="shared" si="12"/>
        <v>15</v>
      </c>
      <c r="AR56" s="2">
        <f t="shared" si="12"/>
        <v>15</v>
      </c>
      <c r="AS56" s="2">
        <f t="shared" si="12"/>
        <v>5</v>
      </c>
      <c r="AT56" s="2">
        <f t="shared" si="12"/>
        <v>15</v>
      </c>
      <c r="AU56" s="2">
        <f t="shared" si="12"/>
        <v>11</v>
      </c>
      <c r="AV56" s="2">
        <f t="shared" si="12"/>
        <v>13</v>
      </c>
    </row>
    <row r="57" spans="2:56" x14ac:dyDescent="0.2">
      <c r="K57" s="2">
        <v>49</v>
      </c>
      <c r="L57" s="2" t="s">
        <v>937</v>
      </c>
      <c r="M57" s="7">
        <f t="shared" si="9"/>
        <v>33878</v>
      </c>
      <c r="N57" s="2">
        <v>955</v>
      </c>
      <c r="O57" s="2" t="s">
        <v>813</v>
      </c>
      <c r="R57" s="2">
        <v>106</v>
      </c>
      <c r="S57" s="2">
        <v>1724</v>
      </c>
      <c r="T57" s="2">
        <v>359</v>
      </c>
      <c r="U57" s="17">
        <v>339.1</v>
      </c>
      <c r="V57" s="2">
        <v>510</v>
      </c>
      <c r="W57" s="2">
        <v>286</v>
      </c>
      <c r="X57" s="2">
        <v>54</v>
      </c>
      <c r="Z57" s="2">
        <v>184</v>
      </c>
      <c r="AA57" s="2">
        <v>163</v>
      </c>
      <c r="AB57" s="2">
        <v>12</v>
      </c>
    </row>
    <row r="58" spans="2:56" x14ac:dyDescent="0.2">
      <c r="K58" s="2">
        <v>50</v>
      </c>
      <c r="L58" s="2" t="s">
        <v>938</v>
      </c>
      <c r="M58" s="7">
        <f t="shared" si="9"/>
        <v>33878</v>
      </c>
      <c r="N58" s="2">
        <v>1034</v>
      </c>
      <c r="O58" s="2" t="s">
        <v>813</v>
      </c>
      <c r="P58" s="2">
        <v>-31</v>
      </c>
      <c r="R58" s="2">
        <v>135</v>
      </c>
      <c r="S58" s="2">
        <v>1731</v>
      </c>
      <c r="T58" s="2">
        <v>359</v>
      </c>
      <c r="U58" s="17">
        <v>336.9</v>
      </c>
      <c r="V58" s="2">
        <v>511</v>
      </c>
      <c r="W58" s="2">
        <v>285</v>
      </c>
      <c r="X58" s="2">
        <v>56</v>
      </c>
      <c r="Z58" s="2">
        <v>184</v>
      </c>
      <c r="AA58" s="2">
        <v>159</v>
      </c>
      <c r="AB58" s="2">
        <v>28</v>
      </c>
    </row>
    <row r="61" spans="2:56" x14ac:dyDescent="0.2">
      <c r="R61" s="8" t="s">
        <v>118</v>
      </c>
      <c r="S61" s="8" t="s">
        <v>123</v>
      </c>
      <c r="T61" s="8" t="s">
        <v>134</v>
      </c>
      <c r="U61" s="8" t="s">
        <v>138</v>
      </c>
      <c r="V61" s="8" t="s">
        <v>136</v>
      </c>
      <c r="W61" s="8" t="s">
        <v>130</v>
      </c>
      <c r="X61" s="8" t="s">
        <v>133</v>
      </c>
      <c r="Y61" s="8" t="s">
        <v>127</v>
      </c>
      <c r="Z61" s="8" t="s">
        <v>121</v>
      </c>
      <c r="AA61" s="8" t="s">
        <v>112</v>
      </c>
      <c r="AB61" s="8" t="s">
        <v>146</v>
      </c>
    </row>
    <row r="62" spans="2:56" x14ac:dyDescent="0.2">
      <c r="R62" s="8" t="s">
        <v>266</v>
      </c>
      <c r="S62" s="8" t="s">
        <v>266</v>
      </c>
      <c r="T62" s="8" t="s">
        <v>371</v>
      </c>
      <c r="U62" s="8" t="s">
        <v>266</v>
      </c>
      <c r="V62" s="8" t="s">
        <v>144</v>
      </c>
      <c r="W62" s="8" t="s">
        <v>144</v>
      </c>
      <c r="X62" s="8" t="s">
        <v>144</v>
      </c>
      <c r="Y62" s="8" t="s">
        <v>144</v>
      </c>
      <c r="Z62" s="8" t="s">
        <v>144</v>
      </c>
      <c r="AA62" s="8" t="s">
        <v>144</v>
      </c>
      <c r="AB62" s="8" t="s">
        <v>426</v>
      </c>
    </row>
    <row r="63" spans="2:56" x14ac:dyDescent="0.2">
      <c r="L63" s="2" t="s">
        <v>363</v>
      </c>
      <c r="M63" s="7">
        <f>AVERAGE(M10:M58)</f>
        <v>33873.775510204083</v>
      </c>
      <c r="N63" s="4">
        <f>AVERAGE(N10:N58)</f>
        <v>1270.9574468085107</v>
      </c>
      <c r="R63" s="4">
        <f t="shared" ref="R63:AB63" si="13">AVERAGE(R10:R58)</f>
        <v>199.51020408163265</v>
      </c>
      <c r="S63" s="4">
        <f t="shared" si="13"/>
        <v>1735.204081632653</v>
      </c>
      <c r="T63" s="4">
        <f t="shared" si="13"/>
        <v>365.34693877551018</v>
      </c>
      <c r="U63" s="4">
        <f t="shared" si="13"/>
        <v>339.55510204081634</v>
      </c>
      <c r="V63" s="4">
        <f t="shared" si="13"/>
        <v>513.10204081632651</v>
      </c>
      <c r="W63" s="4">
        <f t="shared" si="13"/>
        <v>289.77551020408163</v>
      </c>
      <c r="X63" s="4">
        <f t="shared" si="13"/>
        <v>53.938775510204081</v>
      </c>
      <c r="Y63" s="4">
        <f t="shared" si="13"/>
        <v>56</v>
      </c>
      <c r="Z63" s="4">
        <f t="shared" si="13"/>
        <v>186.81632653061226</v>
      </c>
      <c r="AA63" s="4">
        <f t="shared" si="13"/>
        <v>158.69387755102042</v>
      </c>
      <c r="AB63" s="4">
        <f t="shared" si="13"/>
        <v>29.142857142857142</v>
      </c>
    </row>
    <row r="64" spans="2:56" x14ac:dyDescent="0.2">
      <c r="L64" s="2" t="s">
        <v>364</v>
      </c>
      <c r="M64" s="4"/>
      <c r="N64" s="4">
        <f>STDEV(N10:N58)</f>
        <v>254.64339578992886</v>
      </c>
      <c r="R64" s="4">
        <f t="shared" ref="R64:AB64" si="14">STDEV(R10:R58)</f>
        <v>120.53061893992256</v>
      </c>
      <c r="S64" s="4">
        <f t="shared" si="14"/>
        <v>16.436721580854577</v>
      </c>
      <c r="T64" s="4">
        <f t="shared" si="14"/>
        <v>8.3105129715523702</v>
      </c>
      <c r="U64" s="4">
        <f t="shared" si="14"/>
        <v>4.3193875542184728</v>
      </c>
      <c r="V64" s="4">
        <f t="shared" si="14"/>
        <v>7.7304724358626755</v>
      </c>
      <c r="W64" s="4">
        <f t="shared" si="14"/>
        <v>34.070555045206291</v>
      </c>
      <c r="X64" s="4">
        <f t="shared" si="14"/>
        <v>4.0589826479124556</v>
      </c>
      <c r="Y64" s="4" t="e">
        <f t="shared" si="14"/>
        <v>#DIV/0!</v>
      </c>
      <c r="Z64" s="4">
        <f t="shared" si="14"/>
        <v>20.577772665941247</v>
      </c>
      <c r="AA64" s="4">
        <f t="shared" si="14"/>
        <v>2.5347919180925307</v>
      </c>
      <c r="AB64" s="4">
        <f t="shared" si="14"/>
        <v>23.014488190413157</v>
      </c>
    </row>
    <row r="65" spans="11:28" x14ac:dyDescent="0.2">
      <c r="L65" s="2" t="s">
        <v>365</v>
      </c>
      <c r="N65" s="2">
        <f>COUNTA(N10:N58)</f>
        <v>47</v>
      </c>
      <c r="R65" s="2">
        <f t="shared" ref="R65:AB65" si="15">COUNTA(R10:R58)</f>
        <v>49</v>
      </c>
      <c r="S65" s="2">
        <f t="shared" si="15"/>
        <v>49</v>
      </c>
      <c r="T65" s="2">
        <f t="shared" si="15"/>
        <v>49</v>
      </c>
      <c r="U65" s="2">
        <f t="shared" si="15"/>
        <v>49</v>
      </c>
      <c r="V65" s="2">
        <f t="shared" si="15"/>
        <v>49</v>
      </c>
      <c r="W65" s="2">
        <f t="shared" si="15"/>
        <v>49</v>
      </c>
      <c r="X65" s="2">
        <f t="shared" si="15"/>
        <v>49</v>
      </c>
      <c r="Y65" s="2">
        <f t="shared" si="15"/>
        <v>1</v>
      </c>
      <c r="Z65" s="2">
        <f t="shared" si="15"/>
        <v>49</v>
      </c>
      <c r="AA65" s="2">
        <f t="shared" si="15"/>
        <v>49</v>
      </c>
      <c r="AB65" s="2">
        <f t="shared" si="15"/>
        <v>49</v>
      </c>
    </row>
    <row r="71" spans="11:28" x14ac:dyDescent="0.2">
      <c r="K71" s="2" t="s">
        <v>939</v>
      </c>
    </row>
    <row r="72" spans="11:28" x14ac:dyDescent="0.2">
      <c r="K72" s="2">
        <v>56</v>
      </c>
      <c r="L72" s="2" t="s">
        <v>940</v>
      </c>
      <c r="M72" s="7">
        <f>DATE(92,12,17)</f>
        <v>33955</v>
      </c>
      <c r="N72" s="8" t="s">
        <v>941</v>
      </c>
      <c r="O72" s="2" t="s">
        <v>942</v>
      </c>
      <c r="R72" s="2">
        <v>17192</v>
      </c>
      <c r="S72" s="2">
        <v>1946</v>
      </c>
      <c r="T72" s="2">
        <v>466</v>
      </c>
      <c r="U72" s="17">
        <v>342.2</v>
      </c>
      <c r="V72" s="2">
        <v>1084</v>
      </c>
      <c r="W72" s="2">
        <v>312</v>
      </c>
      <c r="X72" s="2">
        <v>73</v>
      </c>
      <c r="Y72" s="2">
        <v>81</v>
      </c>
      <c r="Z72" s="2">
        <v>369</v>
      </c>
      <c r="AA72" s="2">
        <v>167</v>
      </c>
      <c r="AB72" s="2">
        <v>2237</v>
      </c>
    </row>
    <row r="73" spans="11:28" x14ac:dyDescent="0.2">
      <c r="K73" s="2">
        <v>57</v>
      </c>
      <c r="L73" s="2" t="s">
        <v>943</v>
      </c>
      <c r="M73" s="7">
        <f>DATE(92,12,17)</f>
        <v>33955</v>
      </c>
      <c r="N73" s="8" t="s">
        <v>944</v>
      </c>
      <c r="O73" s="2" t="s">
        <v>942</v>
      </c>
      <c r="R73" s="2">
        <v>24848</v>
      </c>
      <c r="S73" s="2">
        <v>2079</v>
      </c>
      <c r="T73" s="2">
        <v>498</v>
      </c>
      <c r="U73" s="17">
        <v>343.5</v>
      </c>
      <c r="V73" s="2">
        <v>950</v>
      </c>
      <c r="W73" s="2">
        <v>352</v>
      </c>
      <c r="X73" s="2">
        <v>101</v>
      </c>
      <c r="Y73" s="2">
        <v>71</v>
      </c>
      <c r="Z73" s="2">
        <v>412</v>
      </c>
      <c r="AA73" s="2">
        <v>164</v>
      </c>
      <c r="AB73" s="2">
        <v>3692</v>
      </c>
    </row>
    <row r="74" spans="11:28" x14ac:dyDescent="0.2">
      <c r="K74" s="2">
        <v>60</v>
      </c>
      <c r="L74" s="2" t="s">
        <v>945</v>
      </c>
      <c r="M74" s="7">
        <f>DATE(92,12,17)</f>
        <v>33955</v>
      </c>
      <c r="N74" s="8" t="s">
        <v>946</v>
      </c>
      <c r="O74" s="2" t="s">
        <v>942</v>
      </c>
      <c r="R74" s="2">
        <v>24320</v>
      </c>
      <c r="S74" s="2">
        <v>2023</v>
      </c>
      <c r="T74" s="2">
        <v>498</v>
      </c>
      <c r="U74" s="17">
        <v>346.4</v>
      </c>
      <c r="V74" s="2">
        <v>946</v>
      </c>
      <c r="W74" s="2">
        <v>372</v>
      </c>
      <c r="X74" s="2">
        <v>67</v>
      </c>
      <c r="Y74" s="2">
        <v>95</v>
      </c>
      <c r="Z74" s="2">
        <v>476</v>
      </c>
      <c r="AA74" s="2">
        <v>168</v>
      </c>
      <c r="AB74" s="2">
        <v>2663</v>
      </c>
    </row>
    <row r="75" spans="11:28" x14ac:dyDescent="0.2">
      <c r="K75" s="2">
        <v>61</v>
      </c>
      <c r="L75" s="2" t="s">
        <v>947</v>
      </c>
      <c r="M75" s="7">
        <f>DATE(92,12,1)</f>
        <v>33939</v>
      </c>
      <c r="N75" s="2">
        <v>1500</v>
      </c>
      <c r="O75" s="2" t="s">
        <v>942</v>
      </c>
      <c r="R75" s="2">
        <v>4782</v>
      </c>
      <c r="S75" s="2">
        <v>1790</v>
      </c>
      <c r="T75" s="2">
        <v>419</v>
      </c>
      <c r="U75" s="17">
        <v>343.1</v>
      </c>
      <c r="V75" s="2">
        <v>580</v>
      </c>
      <c r="W75" s="2">
        <v>2500</v>
      </c>
      <c r="X75" s="2">
        <v>57</v>
      </c>
      <c r="Y75" s="2">
        <v>36</v>
      </c>
      <c r="Z75" s="2">
        <v>248</v>
      </c>
      <c r="AA75" s="2">
        <v>164</v>
      </c>
      <c r="AB75" s="2">
        <v>1083</v>
      </c>
    </row>
    <row r="76" spans="11:28" x14ac:dyDescent="0.2">
      <c r="K76" s="2">
        <v>62</v>
      </c>
      <c r="L76" s="2" t="s">
        <v>948</v>
      </c>
      <c r="M76" s="7">
        <f>DATE(92,12,2)</f>
        <v>33940</v>
      </c>
      <c r="N76" s="2">
        <v>1355</v>
      </c>
      <c r="O76" s="2" t="s">
        <v>942</v>
      </c>
      <c r="R76" s="2">
        <v>2250</v>
      </c>
      <c r="S76" s="2">
        <v>1765</v>
      </c>
      <c r="T76" s="2">
        <v>408</v>
      </c>
      <c r="U76" s="17">
        <v>344.4</v>
      </c>
      <c r="V76" s="2">
        <v>562</v>
      </c>
      <c r="W76" s="2">
        <v>14992</v>
      </c>
      <c r="X76" s="2">
        <v>50</v>
      </c>
      <c r="Y76" s="2">
        <v>53</v>
      </c>
      <c r="Z76" s="2">
        <v>242</v>
      </c>
      <c r="AA76" s="2">
        <v>161</v>
      </c>
      <c r="AB76" s="2">
        <v>527</v>
      </c>
    </row>
    <row r="81" spans="11:28" x14ac:dyDescent="0.2">
      <c r="K81" s="2" t="s">
        <v>949</v>
      </c>
    </row>
    <row r="82" spans="11:28" x14ac:dyDescent="0.2">
      <c r="K82" s="2">
        <v>51</v>
      </c>
      <c r="L82" s="2" t="s">
        <v>950</v>
      </c>
      <c r="M82" s="7">
        <f>DATE(92,12,4)</f>
        <v>33942</v>
      </c>
      <c r="N82" s="2">
        <v>1540</v>
      </c>
      <c r="O82" s="2" t="s">
        <v>949</v>
      </c>
      <c r="R82" s="2">
        <v>994</v>
      </c>
      <c r="S82" s="2">
        <v>1728</v>
      </c>
      <c r="T82" s="2">
        <v>365</v>
      </c>
      <c r="U82" s="17">
        <v>339</v>
      </c>
      <c r="V82" s="2">
        <v>533</v>
      </c>
      <c r="W82" s="2">
        <v>2138</v>
      </c>
      <c r="X82" s="2">
        <v>53</v>
      </c>
      <c r="Y82" s="2">
        <v>26</v>
      </c>
      <c r="Z82" s="2">
        <v>191</v>
      </c>
      <c r="AA82" s="2">
        <v>160</v>
      </c>
      <c r="AB82" s="2">
        <v>326</v>
      </c>
    </row>
    <row r="83" spans="11:28" x14ac:dyDescent="0.2">
      <c r="K83" s="2">
        <v>52</v>
      </c>
      <c r="L83" s="2" t="s">
        <v>951</v>
      </c>
      <c r="M83" s="7">
        <f>DATE(92,12,7)</f>
        <v>33945</v>
      </c>
      <c r="N83" s="8" t="s">
        <v>430</v>
      </c>
      <c r="O83" s="2" t="s">
        <v>949</v>
      </c>
      <c r="S83" s="2">
        <v>1850</v>
      </c>
      <c r="T83" s="2">
        <v>412</v>
      </c>
      <c r="U83" s="17">
        <v>342.5</v>
      </c>
      <c r="V83" s="2">
        <v>587</v>
      </c>
      <c r="W83" s="2">
        <v>2942</v>
      </c>
      <c r="X83" s="2">
        <v>57</v>
      </c>
      <c r="Y83" s="2">
        <v>60</v>
      </c>
      <c r="Z83" s="2">
        <v>1345</v>
      </c>
      <c r="AA83" s="2">
        <v>160</v>
      </c>
      <c r="AB83" s="2">
        <v>608</v>
      </c>
    </row>
    <row r="84" spans="11:28" x14ac:dyDescent="0.2">
      <c r="K84" s="2">
        <v>53</v>
      </c>
      <c r="L84" s="2" t="s">
        <v>952</v>
      </c>
      <c r="M84" s="7">
        <f>DATE(92,12,15)</f>
        <v>33953</v>
      </c>
      <c r="N84" s="2">
        <v>1530</v>
      </c>
      <c r="O84" s="2" t="s">
        <v>949</v>
      </c>
      <c r="R84" s="2">
        <v>1927</v>
      </c>
      <c r="S84" s="2">
        <v>1766</v>
      </c>
      <c r="T84" s="2">
        <v>391</v>
      </c>
      <c r="U84" s="17">
        <v>355.3</v>
      </c>
      <c r="V84" s="2">
        <v>619</v>
      </c>
      <c r="W84" s="2">
        <v>15320</v>
      </c>
      <c r="X84" s="2">
        <v>48</v>
      </c>
      <c r="Y84" s="2">
        <v>96</v>
      </c>
      <c r="Z84" s="2">
        <v>243</v>
      </c>
      <c r="AA84" s="2">
        <v>174</v>
      </c>
      <c r="AB84" s="2">
        <v>514</v>
      </c>
    </row>
    <row r="85" spans="11:28" x14ac:dyDescent="0.2">
      <c r="K85" s="2">
        <v>54</v>
      </c>
      <c r="L85" s="2" t="s">
        <v>953</v>
      </c>
      <c r="M85" s="7">
        <f>DATE(92,12,16)</f>
        <v>33954</v>
      </c>
      <c r="N85" s="8" t="s">
        <v>954</v>
      </c>
      <c r="O85" s="2" t="s">
        <v>949</v>
      </c>
      <c r="R85" s="2">
        <v>799</v>
      </c>
      <c r="S85" s="2">
        <v>1830</v>
      </c>
      <c r="T85" s="2">
        <v>387</v>
      </c>
      <c r="U85" s="17">
        <v>357.6</v>
      </c>
      <c r="V85" s="2">
        <v>586</v>
      </c>
      <c r="W85" s="2">
        <v>2523</v>
      </c>
      <c r="X85" s="2">
        <v>60</v>
      </c>
      <c r="Y85" s="2">
        <v>211</v>
      </c>
      <c r="Z85" s="2">
        <v>686</v>
      </c>
      <c r="AA85" s="2">
        <v>168</v>
      </c>
      <c r="AB85" s="2">
        <v>267</v>
      </c>
    </row>
    <row r="86" spans="11:28" x14ac:dyDescent="0.2">
      <c r="K86" s="2">
        <v>55</v>
      </c>
      <c r="L86" s="2" t="s">
        <v>955</v>
      </c>
      <c r="M86" s="7">
        <f>DATE(92,12,3)</f>
        <v>33941</v>
      </c>
      <c r="N86" s="2">
        <v>1448</v>
      </c>
      <c r="O86" s="2" t="s">
        <v>949</v>
      </c>
      <c r="R86" s="2">
        <v>1206</v>
      </c>
      <c r="S86" s="2">
        <v>1748</v>
      </c>
      <c r="T86" s="2">
        <v>408</v>
      </c>
      <c r="U86" s="17">
        <v>371.4</v>
      </c>
      <c r="V86" s="2">
        <v>603</v>
      </c>
      <c r="W86" s="2">
        <v>10760</v>
      </c>
      <c r="X86" s="2">
        <v>51</v>
      </c>
      <c r="Y86" s="2">
        <v>26</v>
      </c>
      <c r="Z86" s="2">
        <v>362</v>
      </c>
      <c r="AA86" s="2">
        <v>162</v>
      </c>
      <c r="AB86" s="2">
        <v>343</v>
      </c>
    </row>
    <row r="87" spans="11:28" x14ac:dyDescent="0.2">
      <c r="K87" s="2">
        <v>63</v>
      </c>
      <c r="L87" s="2" t="s">
        <v>956</v>
      </c>
      <c r="M87" s="7">
        <f>DATE(92,12,14)</f>
        <v>33952</v>
      </c>
      <c r="N87" s="2">
        <v>1321</v>
      </c>
      <c r="O87" s="2" t="s">
        <v>949</v>
      </c>
      <c r="R87" s="2">
        <v>903</v>
      </c>
      <c r="S87" s="2">
        <v>1736</v>
      </c>
      <c r="T87" s="2">
        <v>365</v>
      </c>
      <c r="U87" s="17">
        <v>342.7</v>
      </c>
      <c r="V87" s="2">
        <v>543</v>
      </c>
      <c r="W87" s="2">
        <v>8765</v>
      </c>
      <c r="X87" s="2">
        <v>56</v>
      </c>
      <c r="Z87" s="2">
        <v>199</v>
      </c>
      <c r="AA87" s="2">
        <v>165</v>
      </c>
      <c r="AB87" s="2">
        <v>541</v>
      </c>
    </row>
    <row r="88" spans="11:28" x14ac:dyDescent="0.2">
      <c r="K88" s="2">
        <v>64</v>
      </c>
      <c r="L88" s="2" t="s">
        <v>957</v>
      </c>
      <c r="M88" s="7">
        <f>DATE(92,12,10)</f>
        <v>33948</v>
      </c>
      <c r="N88" s="2">
        <v>1530</v>
      </c>
      <c r="O88" s="2" t="s">
        <v>949</v>
      </c>
      <c r="R88" s="2">
        <v>831</v>
      </c>
      <c r="S88" s="2">
        <v>1729</v>
      </c>
      <c r="T88" s="2">
        <v>367</v>
      </c>
      <c r="U88" s="17">
        <v>346.1</v>
      </c>
      <c r="V88" s="2">
        <v>556</v>
      </c>
      <c r="W88" s="2">
        <v>4833</v>
      </c>
      <c r="X88" s="2">
        <v>54</v>
      </c>
      <c r="Y88" s="2">
        <v>32</v>
      </c>
      <c r="Z88" s="2">
        <v>544</v>
      </c>
      <c r="AA88" s="2">
        <v>164</v>
      </c>
      <c r="AB88" s="2">
        <v>285</v>
      </c>
    </row>
    <row r="89" spans="11:28" x14ac:dyDescent="0.2">
      <c r="K89" s="2">
        <v>65</v>
      </c>
      <c r="L89" s="2" t="s">
        <v>958</v>
      </c>
      <c r="M89" s="7">
        <f>DATE(92,12,9)</f>
        <v>33947</v>
      </c>
      <c r="N89" s="2">
        <v>1540</v>
      </c>
      <c r="O89" s="2" t="s">
        <v>949</v>
      </c>
      <c r="R89" s="2">
        <v>1120</v>
      </c>
      <c r="S89" s="2">
        <v>1732</v>
      </c>
      <c r="T89" s="2">
        <v>365</v>
      </c>
      <c r="U89" s="17">
        <v>344.7</v>
      </c>
      <c r="V89" s="2">
        <v>546</v>
      </c>
      <c r="W89" s="2">
        <v>3418</v>
      </c>
      <c r="X89" s="2">
        <v>56</v>
      </c>
      <c r="Y89" s="2">
        <v>33</v>
      </c>
      <c r="Z89" s="2">
        <v>220</v>
      </c>
      <c r="AA89" s="2">
        <v>168</v>
      </c>
      <c r="AB89" s="2">
        <v>307</v>
      </c>
    </row>
    <row r="90" spans="11:28" x14ac:dyDescent="0.2">
      <c r="K90" s="2">
        <v>66</v>
      </c>
      <c r="L90" s="2" t="s">
        <v>959</v>
      </c>
      <c r="M90" s="7">
        <f>DATE(92,12,8)</f>
        <v>33946</v>
      </c>
      <c r="N90" s="2">
        <v>1536</v>
      </c>
      <c r="O90" s="2" t="s">
        <v>960</v>
      </c>
      <c r="R90" s="2">
        <v>1698</v>
      </c>
      <c r="S90" s="2">
        <v>1738</v>
      </c>
      <c r="T90" s="2">
        <v>366</v>
      </c>
      <c r="U90" s="17">
        <v>342.5</v>
      </c>
      <c r="V90" s="2">
        <v>603</v>
      </c>
      <c r="W90" s="2">
        <v>3271</v>
      </c>
      <c r="X90" s="2">
        <v>56</v>
      </c>
      <c r="Y90" s="2">
        <v>93</v>
      </c>
      <c r="Z90" s="2">
        <v>212</v>
      </c>
      <c r="AA90" s="2">
        <v>165</v>
      </c>
      <c r="AB90" s="2">
        <v>505</v>
      </c>
    </row>
  </sheetData>
  <pageMargins left="0.5" right="0.5" top="0.75" bottom="0.75" header="0.5" footer="0.5"/>
  <pageSetup orientation="portrait" horizontalDpi="0" verticalDpi="0" copies="0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7"/>
  <sheetViews>
    <sheetView showOutlineSymbols="0" defaultGridColor="0" colorId="9" workbookViewId="0">
      <selection activeCell="B4" sqref="B4"/>
    </sheetView>
  </sheetViews>
  <sheetFormatPr defaultColWidth="8.6640625" defaultRowHeight="15" x14ac:dyDescent="0.2"/>
  <cols>
    <col min="1" max="16384" width="8.6640625" style="2"/>
  </cols>
  <sheetData>
    <row r="1" spans="1:21" ht="15.75" x14ac:dyDescent="0.25">
      <c r="A1" s="6" t="s">
        <v>961</v>
      </c>
      <c r="U1" s="2" t="s">
        <v>1</v>
      </c>
    </row>
    <row r="2" spans="1:21" ht="15.75" x14ac:dyDescent="0.25">
      <c r="A2" s="6" t="s">
        <v>962</v>
      </c>
      <c r="U2" s="2" t="s">
        <v>1</v>
      </c>
    </row>
    <row r="7" spans="1:21" x14ac:dyDescent="0.2">
      <c r="A7" s="2" t="s">
        <v>284</v>
      </c>
      <c r="B7" s="2" t="s">
        <v>963</v>
      </c>
      <c r="C7" s="15" t="s">
        <v>253</v>
      </c>
      <c r="D7" s="2" t="s">
        <v>964</v>
      </c>
      <c r="F7" s="8" t="s">
        <v>448</v>
      </c>
      <c r="G7" s="8" t="s">
        <v>123</v>
      </c>
      <c r="H7" s="8" t="s">
        <v>118</v>
      </c>
      <c r="I7" s="8" t="s">
        <v>134</v>
      </c>
      <c r="J7" s="8" t="s">
        <v>965</v>
      </c>
      <c r="K7" s="8" t="s">
        <v>117</v>
      </c>
      <c r="L7" s="8" t="s">
        <v>115</v>
      </c>
      <c r="M7" s="8" t="s">
        <v>138</v>
      </c>
      <c r="N7" s="8" t="s">
        <v>136</v>
      </c>
      <c r="O7" s="8" t="s">
        <v>130</v>
      </c>
      <c r="P7" s="8" t="s">
        <v>133</v>
      </c>
      <c r="Q7" s="8" t="s">
        <v>127</v>
      </c>
      <c r="R7" s="8" t="s">
        <v>121</v>
      </c>
      <c r="S7" s="8" t="s">
        <v>112</v>
      </c>
      <c r="U7" s="2" t="s">
        <v>1</v>
      </c>
    </row>
    <row r="8" spans="1:21" x14ac:dyDescent="0.2">
      <c r="A8" s="2" t="s">
        <v>289</v>
      </c>
      <c r="C8" s="19"/>
      <c r="F8" s="8" t="s">
        <v>451</v>
      </c>
      <c r="G8" s="8" t="s">
        <v>266</v>
      </c>
      <c r="H8" s="8" t="s">
        <v>266</v>
      </c>
      <c r="I8" s="8" t="s">
        <v>371</v>
      </c>
      <c r="J8" s="8" t="s">
        <v>371</v>
      </c>
      <c r="K8" s="8" t="s">
        <v>266</v>
      </c>
      <c r="L8" s="8" t="s">
        <v>144</v>
      </c>
      <c r="M8" s="8" t="s">
        <v>266</v>
      </c>
      <c r="N8" s="8" t="s">
        <v>144</v>
      </c>
      <c r="O8" s="8" t="s">
        <v>144</v>
      </c>
      <c r="P8" s="8" t="s">
        <v>144</v>
      </c>
      <c r="Q8" s="8" t="s">
        <v>144</v>
      </c>
      <c r="R8" s="8" t="s">
        <v>144</v>
      </c>
      <c r="S8" s="8" t="s">
        <v>144</v>
      </c>
      <c r="U8" s="2" t="s">
        <v>1</v>
      </c>
    </row>
    <row r="9" spans="1:21" x14ac:dyDescent="0.2">
      <c r="C9" s="19"/>
      <c r="U9" s="2" t="s">
        <v>1</v>
      </c>
    </row>
    <row r="10" spans="1:21" x14ac:dyDescent="0.2">
      <c r="A10" s="2">
        <v>1</v>
      </c>
      <c r="B10" s="2" t="s">
        <v>966</v>
      </c>
      <c r="C10" s="19">
        <f>DATE(89,9,1)</f>
        <v>32752</v>
      </c>
      <c r="D10" s="2">
        <v>752</v>
      </c>
      <c r="G10" s="2">
        <v>1701</v>
      </c>
      <c r="H10" s="2">
        <v>144</v>
      </c>
      <c r="I10" s="2">
        <v>497</v>
      </c>
      <c r="J10" s="2">
        <v>484</v>
      </c>
      <c r="K10" s="2">
        <v>508</v>
      </c>
      <c r="L10" s="2">
        <v>737</v>
      </c>
      <c r="M10" s="2">
        <v>337.5</v>
      </c>
      <c r="N10" s="2">
        <v>472</v>
      </c>
      <c r="O10" s="2">
        <v>279</v>
      </c>
      <c r="P10" s="2">
        <v>52</v>
      </c>
      <c r="Q10" s="2">
        <v>31</v>
      </c>
      <c r="R10" s="2">
        <v>827</v>
      </c>
      <c r="S10" s="2">
        <v>159</v>
      </c>
      <c r="U10" s="2" t="s">
        <v>1</v>
      </c>
    </row>
    <row r="11" spans="1:21" x14ac:dyDescent="0.2">
      <c r="A11" s="2">
        <v>2</v>
      </c>
      <c r="B11" s="2" t="s">
        <v>967</v>
      </c>
      <c r="C11" s="19">
        <f t="shared" ref="C11:C16" si="0">DATE(89,9,2)</f>
        <v>32753</v>
      </c>
      <c r="D11" s="2">
        <v>847</v>
      </c>
      <c r="F11" s="2">
        <v>8500</v>
      </c>
      <c r="G11" s="2">
        <v>1740</v>
      </c>
      <c r="H11" s="2">
        <v>1264</v>
      </c>
      <c r="I11" s="2">
        <v>514</v>
      </c>
      <c r="J11" s="2">
        <v>547</v>
      </c>
      <c r="K11" s="2">
        <v>837</v>
      </c>
      <c r="L11" s="2">
        <v>917</v>
      </c>
      <c r="M11" s="2">
        <v>338.7</v>
      </c>
      <c r="N11" s="2">
        <v>588</v>
      </c>
      <c r="O11" s="2">
        <v>523</v>
      </c>
      <c r="P11" s="2">
        <v>144</v>
      </c>
      <c r="Q11" s="2">
        <v>140</v>
      </c>
      <c r="R11" s="2">
        <v>1877</v>
      </c>
      <c r="S11" s="2">
        <v>176</v>
      </c>
      <c r="U11" s="2" t="s">
        <v>1</v>
      </c>
    </row>
    <row r="12" spans="1:21" x14ac:dyDescent="0.2">
      <c r="A12" s="2">
        <v>3</v>
      </c>
      <c r="B12" s="2" t="s">
        <v>968</v>
      </c>
      <c r="C12" s="19">
        <f t="shared" si="0"/>
        <v>32753</v>
      </c>
      <c r="D12" s="2">
        <v>903</v>
      </c>
      <c r="E12" s="2">
        <v>905</v>
      </c>
      <c r="F12" s="2">
        <v>8500</v>
      </c>
      <c r="G12" s="2">
        <v>1699</v>
      </c>
      <c r="H12" s="2">
        <v>348</v>
      </c>
      <c r="I12" s="2">
        <v>389</v>
      </c>
      <c r="J12" s="2">
        <v>396</v>
      </c>
      <c r="K12" s="2">
        <v>630</v>
      </c>
      <c r="L12" s="2">
        <v>805</v>
      </c>
      <c r="M12" s="2">
        <v>337.5</v>
      </c>
      <c r="N12" s="2">
        <v>485</v>
      </c>
      <c r="O12" s="2">
        <v>309</v>
      </c>
      <c r="P12" s="2">
        <v>72</v>
      </c>
      <c r="R12" s="2">
        <v>954</v>
      </c>
      <c r="S12" s="2">
        <v>159</v>
      </c>
      <c r="U12" s="2" t="s">
        <v>1</v>
      </c>
    </row>
    <row r="13" spans="1:21" x14ac:dyDescent="0.2">
      <c r="A13" s="2">
        <v>4</v>
      </c>
      <c r="B13" s="2" t="s">
        <v>969</v>
      </c>
      <c r="C13" s="19">
        <f t="shared" si="0"/>
        <v>32753</v>
      </c>
      <c r="D13" s="2">
        <v>904</v>
      </c>
      <c r="E13" s="2">
        <v>906</v>
      </c>
      <c r="F13" s="2">
        <v>8500</v>
      </c>
      <c r="G13" s="2">
        <v>1715</v>
      </c>
      <c r="H13" s="2">
        <v>172</v>
      </c>
      <c r="I13" s="2">
        <v>358</v>
      </c>
      <c r="J13" s="2">
        <v>355</v>
      </c>
      <c r="K13" s="2">
        <v>511</v>
      </c>
      <c r="L13" s="2">
        <v>665</v>
      </c>
      <c r="M13" s="2">
        <v>338.8</v>
      </c>
      <c r="N13" s="2">
        <v>468</v>
      </c>
      <c r="O13" s="2">
        <v>263</v>
      </c>
      <c r="P13" s="2">
        <v>48</v>
      </c>
      <c r="R13" s="2">
        <v>168</v>
      </c>
      <c r="S13" s="2">
        <v>154</v>
      </c>
      <c r="U13" s="2" t="s">
        <v>1</v>
      </c>
    </row>
    <row r="14" spans="1:21" x14ac:dyDescent="0.2">
      <c r="A14" s="2">
        <v>5</v>
      </c>
      <c r="B14" s="2" t="s">
        <v>970</v>
      </c>
      <c r="C14" s="19">
        <f t="shared" si="0"/>
        <v>32753</v>
      </c>
      <c r="D14" s="2">
        <v>950</v>
      </c>
      <c r="F14" s="2">
        <v>4000</v>
      </c>
      <c r="G14" s="2">
        <v>1716</v>
      </c>
      <c r="H14" s="2">
        <v>306</v>
      </c>
      <c r="I14" s="2">
        <v>417</v>
      </c>
      <c r="J14" s="2">
        <v>416</v>
      </c>
      <c r="K14" s="2">
        <v>568</v>
      </c>
      <c r="L14" s="2">
        <v>789</v>
      </c>
      <c r="M14" s="2">
        <v>337.4</v>
      </c>
      <c r="N14" s="2">
        <v>482</v>
      </c>
      <c r="O14" s="2">
        <v>307</v>
      </c>
      <c r="P14" s="2">
        <v>62</v>
      </c>
      <c r="Q14" s="2">
        <v>41</v>
      </c>
      <c r="R14" s="2">
        <v>1328</v>
      </c>
      <c r="S14" s="2">
        <v>158</v>
      </c>
      <c r="U14" s="2" t="s">
        <v>1</v>
      </c>
    </row>
    <row r="15" spans="1:21" x14ac:dyDescent="0.2">
      <c r="A15" s="2">
        <v>6</v>
      </c>
      <c r="B15" s="2" t="s">
        <v>971</v>
      </c>
      <c r="C15" s="19">
        <f t="shared" si="0"/>
        <v>32753</v>
      </c>
      <c r="D15" s="2">
        <v>958</v>
      </c>
      <c r="F15" s="2">
        <v>2000</v>
      </c>
      <c r="G15" s="2">
        <v>1721</v>
      </c>
      <c r="H15" s="2">
        <v>192</v>
      </c>
      <c r="I15" s="2">
        <v>352</v>
      </c>
      <c r="J15" s="2">
        <v>362</v>
      </c>
      <c r="K15" s="2">
        <v>499</v>
      </c>
      <c r="L15" s="2">
        <v>669</v>
      </c>
      <c r="M15" s="2">
        <v>337.8</v>
      </c>
      <c r="N15" s="2">
        <v>468</v>
      </c>
      <c r="O15" s="2">
        <v>267</v>
      </c>
      <c r="P15" s="2">
        <v>46</v>
      </c>
      <c r="R15" s="2">
        <v>168</v>
      </c>
      <c r="S15" s="2">
        <v>154</v>
      </c>
      <c r="U15" s="2" t="s">
        <v>1</v>
      </c>
    </row>
    <row r="16" spans="1:21" x14ac:dyDescent="0.2">
      <c r="A16" s="2">
        <v>7</v>
      </c>
      <c r="B16" s="2" t="s">
        <v>972</v>
      </c>
      <c r="C16" s="19">
        <f t="shared" si="0"/>
        <v>32753</v>
      </c>
      <c r="D16" s="2">
        <v>1059</v>
      </c>
      <c r="G16" s="2">
        <v>1800</v>
      </c>
      <c r="H16" s="2">
        <v>2155</v>
      </c>
      <c r="I16" s="2">
        <v>458</v>
      </c>
      <c r="J16" s="2">
        <v>453</v>
      </c>
      <c r="K16" s="2">
        <v>815</v>
      </c>
      <c r="L16" s="2">
        <v>1104</v>
      </c>
      <c r="M16" s="2">
        <v>341.9</v>
      </c>
      <c r="N16" s="2">
        <v>473</v>
      </c>
      <c r="O16" s="2">
        <v>271</v>
      </c>
      <c r="P16" s="2">
        <v>49</v>
      </c>
      <c r="Q16" s="2">
        <v>28</v>
      </c>
      <c r="R16" s="2">
        <v>609</v>
      </c>
      <c r="S16" s="2">
        <v>157</v>
      </c>
      <c r="U16" s="2" t="s">
        <v>1</v>
      </c>
    </row>
    <row r="17" spans="1:21" x14ac:dyDescent="0.2">
      <c r="A17" s="2">
        <v>8</v>
      </c>
      <c r="B17" s="2" t="s">
        <v>973</v>
      </c>
      <c r="C17" s="19">
        <f>DATE(89,9,3)</f>
        <v>32754</v>
      </c>
      <c r="D17" s="2">
        <v>1157</v>
      </c>
      <c r="F17" s="2">
        <v>5000</v>
      </c>
      <c r="G17" s="2">
        <v>1708</v>
      </c>
      <c r="H17" s="2">
        <v>268</v>
      </c>
      <c r="I17" s="2">
        <v>347</v>
      </c>
      <c r="J17" s="2">
        <v>354</v>
      </c>
      <c r="K17" s="2">
        <v>519</v>
      </c>
      <c r="L17" s="2">
        <v>747</v>
      </c>
      <c r="M17" s="2">
        <v>336.4</v>
      </c>
      <c r="N17" s="2">
        <v>469</v>
      </c>
      <c r="O17" s="2">
        <v>265</v>
      </c>
      <c r="P17" s="2">
        <v>47</v>
      </c>
      <c r="R17" s="2">
        <v>170</v>
      </c>
      <c r="S17" s="2">
        <v>155</v>
      </c>
      <c r="U17" s="2" t="s">
        <v>1</v>
      </c>
    </row>
    <row r="18" spans="1:21" x14ac:dyDescent="0.2">
      <c r="A18" s="2">
        <v>9</v>
      </c>
      <c r="B18" s="2" t="s">
        <v>974</v>
      </c>
      <c r="C18" s="19">
        <f>DATE(89,9,3)</f>
        <v>32754</v>
      </c>
      <c r="D18" s="2">
        <v>1256</v>
      </c>
      <c r="G18" s="2">
        <v>2751</v>
      </c>
      <c r="H18" s="2">
        <v>12151</v>
      </c>
      <c r="I18" s="2">
        <v>486</v>
      </c>
      <c r="J18" s="2">
        <v>483</v>
      </c>
      <c r="K18" s="2">
        <v>3979</v>
      </c>
      <c r="L18" s="2">
        <v>4829</v>
      </c>
      <c r="M18" s="17">
        <v>370</v>
      </c>
      <c r="N18" s="2">
        <v>494</v>
      </c>
      <c r="O18" s="2">
        <v>262</v>
      </c>
      <c r="P18" s="2">
        <v>50</v>
      </c>
      <c r="R18" s="2">
        <v>261</v>
      </c>
      <c r="S18" s="2">
        <v>151</v>
      </c>
      <c r="U18" s="2" t="s">
        <v>1</v>
      </c>
    </row>
    <row r="19" spans="1:21" x14ac:dyDescent="0.2">
      <c r="A19" s="2">
        <v>10</v>
      </c>
      <c r="B19" s="2" t="s">
        <v>975</v>
      </c>
      <c r="C19" s="19">
        <f>DATE(89,9,3)</f>
        <v>32754</v>
      </c>
      <c r="D19" s="2">
        <v>1301</v>
      </c>
      <c r="E19" s="2">
        <v>1303</v>
      </c>
      <c r="G19" s="2">
        <v>1720</v>
      </c>
      <c r="H19" s="2">
        <v>317</v>
      </c>
      <c r="I19" s="2">
        <v>349</v>
      </c>
      <c r="J19" s="2">
        <v>354</v>
      </c>
      <c r="K19" s="2">
        <v>551</v>
      </c>
      <c r="L19" s="2">
        <v>771</v>
      </c>
      <c r="M19" s="17">
        <v>336.4</v>
      </c>
      <c r="N19" s="2">
        <v>470</v>
      </c>
      <c r="O19" s="2">
        <v>262</v>
      </c>
      <c r="P19" s="2">
        <v>49</v>
      </c>
      <c r="R19" s="2">
        <v>167</v>
      </c>
      <c r="S19" s="2">
        <v>154</v>
      </c>
      <c r="U19" s="2" t="s">
        <v>1</v>
      </c>
    </row>
    <row r="20" spans="1:21" x14ac:dyDescent="0.2">
      <c r="A20" s="2">
        <v>11</v>
      </c>
      <c r="B20" s="2" t="s">
        <v>976</v>
      </c>
      <c r="C20" s="19">
        <f>DATE(89,9,3)</f>
        <v>32754</v>
      </c>
      <c r="D20" s="2">
        <v>1349</v>
      </c>
      <c r="F20" s="2">
        <v>11000</v>
      </c>
      <c r="G20" s="2">
        <v>1705</v>
      </c>
      <c r="H20" s="2">
        <v>131</v>
      </c>
      <c r="I20" s="2">
        <v>351</v>
      </c>
      <c r="J20" s="2">
        <v>352</v>
      </c>
      <c r="K20" s="2">
        <v>539</v>
      </c>
      <c r="L20" s="2">
        <v>661</v>
      </c>
      <c r="M20" s="17">
        <v>330.9</v>
      </c>
      <c r="N20" s="2">
        <v>482</v>
      </c>
      <c r="O20" s="2">
        <v>265</v>
      </c>
      <c r="P20" s="2">
        <v>47</v>
      </c>
      <c r="R20" s="2">
        <v>171</v>
      </c>
      <c r="S20" s="2">
        <v>140</v>
      </c>
      <c r="U20" s="2" t="s">
        <v>1</v>
      </c>
    </row>
    <row r="21" spans="1:21" x14ac:dyDescent="0.2">
      <c r="A21" s="2">
        <v>12</v>
      </c>
      <c r="B21" s="2" t="s">
        <v>977</v>
      </c>
      <c r="C21" s="19">
        <f t="shared" ref="C21:C39" si="1">DATE(89,9,4)</f>
        <v>32755</v>
      </c>
      <c r="D21" s="2">
        <v>1100</v>
      </c>
      <c r="E21" s="2">
        <v>1101</v>
      </c>
      <c r="F21" s="2">
        <v>500</v>
      </c>
      <c r="G21" s="2">
        <v>1773</v>
      </c>
      <c r="H21" s="2">
        <v>429</v>
      </c>
      <c r="I21" s="2">
        <v>355</v>
      </c>
      <c r="J21" s="2">
        <v>362</v>
      </c>
      <c r="K21" s="2">
        <v>554</v>
      </c>
      <c r="L21" s="2">
        <v>856</v>
      </c>
      <c r="M21" s="17">
        <v>337.4</v>
      </c>
      <c r="N21" s="2">
        <v>470</v>
      </c>
      <c r="O21" s="2">
        <v>270</v>
      </c>
      <c r="P21" s="2">
        <v>48</v>
      </c>
      <c r="R21" s="2">
        <v>170</v>
      </c>
      <c r="S21" s="2">
        <v>155</v>
      </c>
      <c r="U21" s="2" t="s">
        <v>1</v>
      </c>
    </row>
    <row r="22" spans="1:21" x14ac:dyDescent="0.2">
      <c r="A22" s="2">
        <v>13</v>
      </c>
      <c r="B22" s="2" t="s">
        <v>978</v>
      </c>
      <c r="C22" s="19">
        <f t="shared" si="1"/>
        <v>32755</v>
      </c>
      <c r="D22" s="2">
        <v>1104</v>
      </c>
      <c r="E22" s="2">
        <v>1106</v>
      </c>
      <c r="F22" s="2">
        <v>2000</v>
      </c>
      <c r="G22" s="2">
        <v>1746</v>
      </c>
      <c r="H22" s="2">
        <v>385</v>
      </c>
      <c r="I22" s="2">
        <v>369</v>
      </c>
      <c r="J22" s="2">
        <v>355</v>
      </c>
      <c r="K22" s="2">
        <v>543</v>
      </c>
      <c r="L22" s="2">
        <v>818</v>
      </c>
      <c r="M22" s="17">
        <v>337.7</v>
      </c>
      <c r="N22" s="2">
        <v>469</v>
      </c>
      <c r="O22" s="2">
        <v>273</v>
      </c>
      <c r="P22" s="2">
        <v>49</v>
      </c>
      <c r="Q22" s="2">
        <v>22</v>
      </c>
      <c r="R22" s="2">
        <v>171</v>
      </c>
      <c r="S22" s="2">
        <v>156</v>
      </c>
      <c r="U22" s="2" t="s">
        <v>1</v>
      </c>
    </row>
    <row r="23" spans="1:21" x14ac:dyDescent="0.2">
      <c r="A23" s="2">
        <v>14</v>
      </c>
      <c r="B23" s="2" t="s">
        <v>979</v>
      </c>
      <c r="C23" s="19">
        <f t="shared" si="1"/>
        <v>32755</v>
      </c>
      <c r="D23" s="2">
        <v>1119</v>
      </c>
      <c r="E23" s="2">
        <v>1122</v>
      </c>
      <c r="F23" s="2">
        <v>4000</v>
      </c>
      <c r="G23" s="2">
        <v>1709</v>
      </c>
      <c r="H23" s="2">
        <v>300</v>
      </c>
      <c r="I23" s="2">
        <v>356</v>
      </c>
      <c r="J23" s="2">
        <v>363</v>
      </c>
      <c r="K23" s="2">
        <v>513</v>
      </c>
      <c r="L23" s="2">
        <v>798</v>
      </c>
      <c r="M23" s="17">
        <v>337.4</v>
      </c>
      <c r="N23" s="2">
        <v>467</v>
      </c>
      <c r="O23" s="2">
        <v>269</v>
      </c>
      <c r="P23" s="2">
        <v>46</v>
      </c>
      <c r="R23" s="2">
        <v>169</v>
      </c>
      <c r="S23" s="2">
        <v>157</v>
      </c>
      <c r="U23" s="2" t="s">
        <v>1</v>
      </c>
    </row>
    <row r="24" spans="1:21" x14ac:dyDescent="0.2">
      <c r="A24" s="2">
        <v>15</v>
      </c>
      <c r="B24" s="2" t="s">
        <v>980</v>
      </c>
      <c r="C24" s="19">
        <f t="shared" si="1"/>
        <v>32755</v>
      </c>
      <c r="D24" s="2">
        <v>1133</v>
      </c>
      <c r="E24" s="2">
        <v>1134</v>
      </c>
      <c r="F24" s="2">
        <v>6000</v>
      </c>
      <c r="G24" s="2">
        <v>1720</v>
      </c>
      <c r="H24" s="2">
        <v>373</v>
      </c>
      <c r="I24" s="2">
        <v>334</v>
      </c>
      <c r="J24" s="2">
        <v>356</v>
      </c>
      <c r="K24" s="2">
        <v>578</v>
      </c>
      <c r="L24" s="2">
        <v>816</v>
      </c>
      <c r="M24" s="17">
        <v>338.2</v>
      </c>
      <c r="N24" s="2">
        <v>466</v>
      </c>
      <c r="O24" s="2">
        <v>277</v>
      </c>
      <c r="P24" s="2">
        <v>47</v>
      </c>
      <c r="R24" s="2">
        <v>170</v>
      </c>
      <c r="S24" s="2">
        <v>157</v>
      </c>
      <c r="U24" s="2" t="s">
        <v>1</v>
      </c>
    </row>
    <row r="25" spans="1:21" x14ac:dyDescent="0.2">
      <c r="A25" s="2">
        <v>16</v>
      </c>
      <c r="B25" s="2" t="s">
        <v>981</v>
      </c>
      <c r="C25" s="19">
        <f t="shared" si="1"/>
        <v>32755</v>
      </c>
      <c r="D25" s="2">
        <v>1142</v>
      </c>
      <c r="E25" s="2">
        <v>1143</v>
      </c>
      <c r="F25" s="2">
        <v>8000</v>
      </c>
      <c r="G25" s="2">
        <v>1702</v>
      </c>
      <c r="H25" s="2">
        <v>115</v>
      </c>
      <c r="I25" s="2">
        <v>351</v>
      </c>
      <c r="J25" s="2">
        <v>352</v>
      </c>
      <c r="K25" s="2">
        <v>534</v>
      </c>
      <c r="L25" s="2">
        <v>647</v>
      </c>
      <c r="M25" s="17">
        <v>340.8</v>
      </c>
      <c r="N25" s="2">
        <v>478</v>
      </c>
      <c r="O25" s="2">
        <v>273</v>
      </c>
      <c r="P25" s="2">
        <v>48</v>
      </c>
      <c r="R25" s="2">
        <v>175</v>
      </c>
      <c r="S25" s="2">
        <v>157</v>
      </c>
      <c r="U25" s="2" t="s">
        <v>1</v>
      </c>
    </row>
    <row r="26" spans="1:21" x14ac:dyDescent="0.2">
      <c r="A26" s="2">
        <v>17</v>
      </c>
      <c r="B26" s="2" t="s">
        <v>982</v>
      </c>
      <c r="C26" s="19">
        <f t="shared" si="1"/>
        <v>32755</v>
      </c>
      <c r="D26" s="2">
        <v>1149</v>
      </c>
      <c r="E26" s="2">
        <v>1151</v>
      </c>
      <c r="F26" s="2">
        <v>10000</v>
      </c>
      <c r="G26" s="2">
        <v>1699</v>
      </c>
      <c r="H26" s="2">
        <v>112</v>
      </c>
      <c r="I26" s="2">
        <v>338</v>
      </c>
      <c r="J26" s="2">
        <v>355</v>
      </c>
      <c r="K26" s="2">
        <v>515</v>
      </c>
      <c r="L26" s="2">
        <v>839</v>
      </c>
      <c r="M26" s="17">
        <v>339.5</v>
      </c>
      <c r="N26" s="2">
        <v>469</v>
      </c>
      <c r="O26" s="2">
        <v>269</v>
      </c>
      <c r="P26" s="2">
        <v>48</v>
      </c>
      <c r="Q26" s="2">
        <v>11</v>
      </c>
      <c r="R26" s="2">
        <v>174</v>
      </c>
      <c r="S26" s="2">
        <v>132</v>
      </c>
      <c r="U26" s="2" t="s">
        <v>1</v>
      </c>
    </row>
    <row r="27" spans="1:21" x14ac:dyDescent="0.2">
      <c r="A27" s="2">
        <v>18</v>
      </c>
      <c r="B27" s="2" t="s">
        <v>983</v>
      </c>
      <c r="C27" s="19">
        <f t="shared" si="1"/>
        <v>32755</v>
      </c>
      <c r="D27" s="2">
        <v>1158</v>
      </c>
      <c r="E27" s="2">
        <v>1159</v>
      </c>
      <c r="F27" s="2">
        <v>12000</v>
      </c>
      <c r="G27" s="2">
        <v>1693</v>
      </c>
      <c r="H27" s="2">
        <v>78</v>
      </c>
      <c r="I27" s="2">
        <v>343</v>
      </c>
      <c r="J27" s="2">
        <v>354</v>
      </c>
      <c r="K27" s="2">
        <v>528</v>
      </c>
      <c r="L27" s="2">
        <v>630</v>
      </c>
      <c r="M27" s="17">
        <v>336.9</v>
      </c>
      <c r="N27" s="2">
        <v>469</v>
      </c>
      <c r="O27" s="2">
        <v>268</v>
      </c>
      <c r="P27" s="2">
        <v>47</v>
      </c>
      <c r="R27" s="2">
        <v>174</v>
      </c>
      <c r="S27" s="2">
        <v>149</v>
      </c>
      <c r="U27" s="2" t="s">
        <v>1</v>
      </c>
    </row>
    <row r="28" spans="1:21" x14ac:dyDescent="0.2">
      <c r="A28" s="2">
        <v>19</v>
      </c>
      <c r="B28" s="2" t="s">
        <v>984</v>
      </c>
      <c r="C28" s="19">
        <f t="shared" si="1"/>
        <v>32755</v>
      </c>
      <c r="D28" s="2">
        <v>1200</v>
      </c>
      <c r="E28" s="2">
        <v>1201</v>
      </c>
      <c r="F28" s="2">
        <v>12000</v>
      </c>
      <c r="G28" s="2">
        <v>1697</v>
      </c>
      <c r="H28" s="2">
        <v>79</v>
      </c>
      <c r="I28" s="2">
        <v>355</v>
      </c>
      <c r="J28" s="2">
        <v>355</v>
      </c>
      <c r="K28" s="2">
        <v>530</v>
      </c>
      <c r="L28" s="2">
        <v>624</v>
      </c>
      <c r="M28" s="17">
        <v>339.4</v>
      </c>
      <c r="N28" s="2">
        <v>469</v>
      </c>
      <c r="O28" s="2">
        <v>269</v>
      </c>
      <c r="P28" s="2">
        <v>48</v>
      </c>
      <c r="R28" s="2">
        <v>175</v>
      </c>
      <c r="S28" s="2">
        <v>56</v>
      </c>
      <c r="U28" s="2" t="s">
        <v>1</v>
      </c>
    </row>
    <row r="29" spans="1:21" x14ac:dyDescent="0.2">
      <c r="A29" s="2">
        <v>20</v>
      </c>
      <c r="B29" s="2" t="s">
        <v>985</v>
      </c>
      <c r="C29" s="19">
        <f t="shared" si="1"/>
        <v>32755</v>
      </c>
      <c r="D29" s="2">
        <v>1206</v>
      </c>
      <c r="E29" s="2">
        <v>1208</v>
      </c>
      <c r="F29" s="2">
        <v>11100</v>
      </c>
      <c r="G29" s="2">
        <v>1693</v>
      </c>
      <c r="H29" s="2">
        <v>85</v>
      </c>
      <c r="I29" s="2">
        <v>354</v>
      </c>
      <c r="J29" s="2">
        <v>349</v>
      </c>
      <c r="K29" s="2">
        <v>529</v>
      </c>
      <c r="L29" s="2">
        <v>647</v>
      </c>
      <c r="M29" s="17">
        <v>339.9</v>
      </c>
      <c r="N29" s="2">
        <v>474</v>
      </c>
      <c r="O29" s="2">
        <v>269</v>
      </c>
      <c r="P29" s="2">
        <v>48</v>
      </c>
      <c r="Q29" s="2">
        <v>7</v>
      </c>
      <c r="R29" s="2">
        <v>175</v>
      </c>
      <c r="S29" s="2">
        <v>82</v>
      </c>
      <c r="U29" s="2" t="s">
        <v>1</v>
      </c>
    </row>
    <row r="30" spans="1:21" x14ac:dyDescent="0.2">
      <c r="A30" s="2">
        <v>21</v>
      </c>
      <c r="B30" s="2" t="s">
        <v>986</v>
      </c>
      <c r="C30" s="19">
        <f t="shared" si="1"/>
        <v>32755</v>
      </c>
      <c r="D30" s="2">
        <v>1211</v>
      </c>
      <c r="E30" s="2">
        <v>1213</v>
      </c>
      <c r="F30" s="2">
        <v>9250</v>
      </c>
      <c r="G30" s="2">
        <v>1699</v>
      </c>
      <c r="H30" s="2">
        <v>124</v>
      </c>
      <c r="I30" s="2">
        <v>343</v>
      </c>
      <c r="J30" s="2">
        <v>351</v>
      </c>
      <c r="K30" s="2">
        <v>542</v>
      </c>
      <c r="L30" s="2">
        <v>834</v>
      </c>
      <c r="M30" s="17">
        <v>338.8</v>
      </c>
      <c r="N30" s="2">
        <v>469</v>
      </c>
      <c r="O30" s="2">
        <v>269</v>
      </c>
      <c r="P30" s="2">
        <v>47</v>
      </c>
      <c r="R30" s="2">
        <v>174</v>
      </c>
      <c r="S30" s="2">
        <v>154</v>
      </c>
      <c r="U30" s="2" t="s">
        <v>1</v>
      </c>
    </row>
    <row r="31" spans="1:21" x14ac:dyDescent="0.2">
      <c r="A31" s="2">
        <v>22</v>
      </c>
      <c r="B31" s="2" t="s">
        <v>987</v>
      </c>
      <c r="C31" s="19">
        <f t="shared" si="1"/>
        <v>32755</v>
      </c>
      <c r="D31" s="2">
        <v>1216</v>
      </c>
      <c r="E31" s="2">
        <v>1217</v>
      </c>
      <c r="F31" s="2">
        <v>7700</v>
      </c>
      <c r="G31" s="2">
        <v>1699</v>
      </c>
      <c r="H31" s="2">
        <v>171</v>
      </c>
      <c r="I31" s="2">
        <v>351</v>
      </c>
      <c r="J31" s="2">
        <v>351</v>
      </c>
      <c r="K31" s="2">
        <v>538</v>
      </c>
      <c r="L31" s="2">
        <v>706</v>
      </c>
      <c r="M31" s="17">
        <v>338</v>
      </c>
      <c r="N31" s="2">
        <v>473</v>
      </c>
      <c r="O31" s="2">
        <v>267</v>
      </c>
      <c r="P31" s="2">
        <v>47</v>
      </c>
      <c r="R31" s="2">
        <v>172</v>
      </c>
      <c r="S31" s="2">
        <v>153</v>
      </c>
      <c r="U31" s="2" t="s">
        <v>1</v>
      </c>
    </row>
    <row r="32" spans="1:21" x14ac:dyDescent="0.2">
      <c r="A32" s="2">
        <v>23</v>
      </c>
      <c r="B32" s="2" t="s">
        <v>988</v>
      </c>
      <c r="C32" s="19">
        <f t="shared" si="1"/>
        <v>32755</v>
      </c>
      <c r="D32" s="2">
        <v>1222</v>
      </c>
      <c r="E32" s="2">
        <v>1223</v>
      </c>
      <c r="F32" s="2">
        <v>4750</v>
      </c>
      <c r="G32" s="2">
        <v>1714</v>
      </c>
      <c r="H32" s="2">
        <v>340</v>
      </c>
      <c r="I32" s="2">
        <v>344</v>
      </c>
      <c r="J32" s="2">
        <v>359</v>
      </c>
      <c r="K32" s="2">
        <v>552</v>
      </c>
      <c r="L32" s="2">
        <v>798</v>
      </c>
      <c r="M32" s="17">
        <v>336.9</v>
      </c>
      <c r="N32" s="2">
        <v>467</v>
      </c>
      <c r="O32" s="2">
        <v>266</v>
      </c>
      <c r="P32" s="2">
        <v>48</v>
      </c>
      <c r="R32" s="2">
        <v>169</v>
      </c>
      <c r="S32" s="2">
        <v>154</v>
      </c>
      <c r="U32" s="2" t="s">
        <v>1</v>
      </c>
    </row>
    <row r="33" spans="1:21" x14ac:dyDescent="0.2">
      <c r="A33" s="2">
        <v>24</v>
      </c>
      <c r="B33" s="2" t="s">
        <v>989</v>
      </c>
      <c r="C33" s="19">
        <f t="shared" si="1"/>
        <v>32755</v>
      </c>
      <c r="D33" s="2">
        <v>1226</v>
      </c>
      <c r="E33" s="2">
        <v>1226</v>
      </c>
      <c r="F33" s="2">
        <v>3150</v>
      </c>
      <c r="G33" s="2">
        <v>1739</v>
      </c>
      <c r="H33" s="2">
        <v>383</v>
      </c>
      <c r="I33" s="2">
        <v>364</v>
      </c>
      <c r="J33" s="2">
        <v>356</v>
      </c>
      <c r="K33" s="2">
        <v>565</v>
      </c>
      <c r="L33" s="2">
        <v>810</v>
      </c>
      <c r="M33" s="17">
        <v>335</v>
      </c>
      <c r="N33" s="2">
        <v>471</v>
      </c>
      <c r="O33" s="2">
        <v>293</v>
      </c>
      <c r="P33" s="2">
        <v>47</v>
      </c>
      <c r="R33" s="2">
        <v>171</v>
      </c>
      <c r="S33" s="2">
        <v>154</v>
      </c>
      <c r="U33" s="2" t="s">
        <v>1</v>
      </c>
    </row>
    <row r="34" spans="1:21" x14ac:dyDescent="0.2">
      <c r="A34" s="2">
        <v>25</v>
      </c>
      <c r="B34" s="2" t="s">
        <v>990</v>
      </c>
      <c r="C34" s="19">
        <f t="shared" si="1"/>
        <v>32755</v>
      </c>
      <c r="D34" s="2">
        <v>1229</v>
      </c>
      <c r="E34" s="2">
        <v>1231</v>
      </c>
      <c r="F34" s="2">
        <v>2250</v>
      </c>
      <c r="G34" s="2">
        <v>1730</v>
      </c>
      <c r="H34" s="2">
        <v>361</v>
      </c>
      <c r="I34" s="2">
        <v>364</v>
      </c>
      <c r="J34" s="2">
        <v>352</v>
      </c>
      <c r="K34" s="2">
        <v>557</v>
      </c>
      <c r="L34" s="2">
        <v>818</v>
      </c>
      <c r="M34" s="17">
        <v>338.1</v>
      </c>
      <c r="N34" s="2">
        <v>467</v>
      </c>
      <c r="O34" s="2">
        <v>267</v>
      </c>
      <c r="P34" s="2">
        <v>48</v>
      </c>
      <c r="Q34" s="2">
        <v>16</v>
      </c>
      <c r="R34" s="2">
        <v>170</v>
      </c>
      <c r="S34" s="2">
        <v>156</v>
      </c>
      <c r="U34" s="2" t="s">
        <v>1</v>
      </c>
    </row>
    <row r="35" spans="1:21" x14ac:dyDescent="0.2">
      <c r="A35" s="2">
        <v>26</v>
      </c>
      <c r="B35" s="2" t="s">
        <v>991</v>
      </c>
      <c r="C35" s="19">
        <f t="shared" si="1"/>
        <v>32755</v>
      </c>
      <c r="D35" s="2">
        <v>1510</v>
      </c>
      <c r="G35" s="2">
        <v>1758</v>
      </c>
      <c r="H35" s="2">
        <v>511</v>
      </c>
      <c r="I35" s="2">
        <v>322</v>
      </c>
      <c r="J35" s="2">
        <v>359</v>
      </c>
      <c r="K35" s="2">
        <v>592</v>
      </c>
      <c r="L35" s="2">
        <v>858</v>
      </c>
      <c r="M35" s="2">
        <v>339.1</v>
      </c>
      <c r="N35" s="2">
        <v>465</v>
      </c>
      <c r="O35" s="2">
        <v>266</v>
      </c>
      <c r="P35" s="2">
        <v>48</v>
      </c>
      <c r="Q35" s="2">
        <v>13</v>
      </c>
      <c r="R35" s="2">
        <v>170</v>
      </c>
      <c r="S35" s="2">
        <v>155</v>
      </c>
      <c r="U35" s="2" t="s">
        <v>1</v>
      </c>
    </row>
    <row r="36" spans="1:21" x14ac:dyDescent="0.2">
      <c r="A36" s="2">
        <v>27</v>
      </c>
      <c r="B36" s="2" t="s">
        <v>992</v>
      </c>
      <c r="C36" s="19">
        <f t="shared" si="1"/>
        <v>32755</v>
      </c>
      <c r="D36" s="2">
        <v>1524</v>
      </c>
      <c r="G36" s="2">
        <v>1901</v>
      </c>
      <c r="H36" s="2">
        <v>1972</v>
      </c>
      <c r="I36" s="2">
        <v>394</v>
      </c>
      <c r="J36" s="2">
        <v>390</v>
      </c>
      <c r="K36" s="2">
        <v>1024</v>
      </c>
      <c r="L36" s="2">
        <v>1301</v>
      </c>
      <c r="M36" s="2">
        <v>340.8</v>
      </c>
      <c r="N36" s="2">
        <v>15806</v>
      </c>
      <c r="O36" s="2">
        <v>268</v>
      </c>
      <c r="P36" s="2">
        <v>53</v>
      </c>
      <c r="Q36" s="2">
        <v>36</v>
      </c>
      <c r="R36" s="2">
        <v>355</v>
      </c>
      <c r="S36" s="2">
        <v>154</v>
      </c>
      <c r="U36" s="2" t="s">
        <v>1</v>
      </c>
    </row>
    <row r="37" spans="1:21" x14ac:dyDescent="0.2">
      <c r="A37" s="2">
        <v>28</v>
      </c>
      <c r="B37" s="2" t="s">
        <v>993</v>
      </c>
      <c r="C37" s="19">
        <f t="shared" si="1"/>
        <v>32755</v>
      </c>
      <c r="D37" s="2">
        <v>1534</v>
      </c>
      <c r="G37" s="2">
        <v>1764</v>
      </c>
      <c r="H37" s="2">
        <v>498</v>
      </c>
      <c r="I37" s="2">
        <v>374</v>
      </c>
      <c r="J37" s="2">
        <v>355</v>
      </c>
      <c r="K37" s="2">
        <v>587</v>
      </c>
      <c r="L37" s="2">
        <v>848</v>
      </c>
      <c r="M37" s="2">
        <v>339.4</v>
      </c>
      <c r="N37" s="2">
        <v>463</v>
      </c>
      <c r="O37" s="2">
        <v>264</v>
      </c>
      <c r="P37" s="2">
        <v>49</v>
      </c>
      <c r="Q37" s="2">
        <v>27</v>
      </c>
      <c r="R37" s="2">
        <v>170</v>
      </c>
      <c r="S37" s="2">
        <v>154</v>
      </c>
      <c r="U37" s="2" t="s">
        <v>1</v>
      </c>
    </row>
    <row r="38" spans="1:21" x14ac:dyDescent="0.2">
      <c r="A38" s="2">
        <v>29</v>
      </c>
      <c r="B38" s="2" t="s">
        <v>994</v>
      </c>
      <c r="C38" s="19">
        <f t="shared" si="1"/>
        <v>32755</v>
      </c>
      <c r="D38" s="2">
        <v>1544</v>
      </c>
      <c r="E38" s="2">
        <v>1546</v>
      </c>
      <c r="G38" s="2">
        <v>1968</v>
      </c>
      <c r="H38" s="2">
        <v>3122</v>
      </c>
      <c r="I38" s="2">
        <v>379</v>
      </c>
      <c r="J38" s="2">
        <v>384</v>
      </c>
      <c r="K38" s="2">
        <v>1369</v>
      </c>
      <c r="L38" s="2">
        <v>2101</v>
      </c>
      <c r="M38" s="2">
        <v>341.3</v>
      </c>
      <c r="N38" s="2">
        <v>578</v>
      </c>
      <c r="O38" s="2">
        <v>268</v>
      </c>
      <c r="P38" s="2">
        <v>50</v>
      </c>
      <c r="R38" s="2">
        <v>223</v>
      </c>
      <c r="S38" s="2">
        <v>155</v>
      </c>
      <c r="U38" s="2" t="s">
        <v>1</v>
      </c>
    </row>
    <row r="39" spans="1:21" x14ac:dyDescent="0.2">
      <c r="A39" s="2">
        <v>30</v>
      </c>
      <c r="B39" s="2" t="s">
        <v>995</v>
      </c>
      <c r="C39" s="19">
        <f t="shared" si="1"/>
        <v>32755</v>
      </c>
      <c r="D39" s="2">
        <v>1604</v>
      </c>
      <c r="F39" s="2">
        <v>10000</v>
      </c>
      <c r="G39" s="2">
        <v>1736</v>
      </c>
      <c r="H39" s="2">
        <v>389</v>
      </c>
      <c r="I39" s="2">
        <v>336</v>
      </c>
      <c r="J39" s="2">
        <v>353</v>
      </c>
      <c r="K39" s="2">
        <v>583</v>
      </c>
      <c r="L39" s="2">
        <v>821</v>
      </c>
      <c r="M39" s="2">
        <v>338.1</v>
      </c>
      <c r="N39" s="2">
        <v>467</v>
      </c>
      <c r="O39" s="2">
        <v>269</v>
      </c>
      <c r="P39" s="2">
        <v>50</v>
      </c>
      <c r="R39" s="2">
        <v>169</v>
      </c>
      <c r="S39" s="2">
        <v>156</v>
      </c>
      <c r="U39" s="2" t="s">
        <v>1</v>
      </c>
    </row>
    <row r="40" spans="1:21" x14ac:dyDescent="0.2">
      <c r="A40" s="2">
        <v>31</v>
      </c>
      <c r="B40" s="2" t="s">
        <v>996</v>
      </c>
      <c r="C40" s="19">
        <f>DATE(89,9,5)</f>
        <v>32756</v>
      </c>
      <c r="D40" s="2">
        <v>1421</v>
      </c>
      <c r="F40" s="2">
        <v>0</v>
      </c>
      <c r="U40" s="2" t="s">
        <v>1</v>
      </c>
    </row>
    <row r="41" spans="1:21" x14ac:dyDescent="0.2">
      <c r="A41" s="2">
        <v>32</v>
      </c>
      <c r="B41" s="2" t="s">
        <v>997</v>
      </c>
      <c r="C41" s="19">
        <f t="shared" ref="C41:C62" si="2">DATE(89,9,6)</f>
        <v>32757</v>
      </c>
      <c r="D41" s="2">
        <v>831</v>
      </c>
      <c r="F41" s="2">
        <v>50</v>
      </c>
      <c r="G41" s="2">
        <v>2003</v>
      </c>
      <c r="H41" s="2">
        <v>1853</v>
      </c>
      <c r="I41" s="2">
        <v>395</v>
      </c>
      <c r="J41" s="2">
        <v>393</v>
      </c>
      <c r="K41" s="2">
        <v>871</v>
      </c>
      <c r="L41" s="2">
        <v>1302</v>
      </c>
      <c r="M41" s="2">
        <v>339.8</v>
      </c>
      <c r="N41" s="2">
        <v>487</v>
      </c>
      <c r="O41" s="2">
        <v>266</v>
      </c>
      <c r="P41" s="2">
        <v>48</v>
      </c>
      <c r="Q41" s="2">
        <v>32</v>
      </c>
      <c r="R41" s="2">
        <v>171</v>
      </c>
      <c r="S41" s="2">
        <v>155</v>
      </c>
      <c r="U41" s="2" t="s">
        <v>1</v>
      </c>
    </row>
    <row r="42" spans="1:21" x14ac:dyDescent="0.2">
      <c r="A42" s="2">
        <v>33</v>
      </c>
      <c r="B42" s="2" t="s">
        <v>998</v>
      </c>
      <c r="C42" s="19">
        <f t="shared" si="2"/>
        <v>32757</v>
      </c>
      <c r="D42" s="2">
        <v>836</v>
      </c>
      <c r="F42" s="2">
        <v>2500</v>
      </c>
      <c r="G42" s="2">
        <v>1720</v>
      </c>
      <c r="H42" s="2">
        <v>286</v>
      </c>
      <c r="I42" s="2">
        <v>341</v>
      </c>
      <c r="J42" s="2">
        <v>346</v>
      </c>
      <c r="K42" s="2">
        <v>526</v>
      </c>
      <c r="L42" s="2">
        <v>842</v>
      </c>
      <c r="M42" s="2">
        <v>340.6</v>
      </c>
      <c r="N42" s="2">
        <v>472</v>
      </c>
      <c r="O42" s="2">
        <v>270</v>
      </c>
      <c r="P42" s="2">
        <v>48</v>
      </c>
      <c r="Q42" s="2">
        <v>28</v>
      </c>
      <c r="R42" s="2">
        <v>170</v>
      </c>
      <c r="S42" s="2">
        <v>156</v>
      </c>
      <c r="U42" s="2" t="s">
        <v>1</v>
      </c>
    </row>
    <row r="43" spans="1:21" x14ac:dyDescent="0.2">
      <c r="A43" s="2">
        <v>34</v>
      </c>
      <c r="B43" s="2" t="s">
        <v>999</v>
      </c>
      <c r="C43" s="19">
        <f t="shared" si="2"/>
        <v>32757</v>
      </c>
      <c r="D43" s="2">
        <v>842</v>
      </c>
      <c r="F43" s="2">
        <v>2500</v>
      </c>
      <c r="G43" s="2">
        <v>1723</v>
      </c>
      <c r="H43" s="2">
        <v>289</v>
      </c>
      <c r="I43" s="2">
        <v>362</v>
      </c>
      <c r="J43" s="2">
        <v>345</v>
      </c>
      <c r="K43" s="2">
        <v>544</v>
      </c>
      <c r="L43" s="2">
        <v>800</v>
      </c>
      <c r="M43" s="17">
        <v>337</v>
      </c>
      <c r="N43" s="2">
        <v>475</v>
      </c>
      <c r="O43" s="2">
        <v>274</v>
      </c>
      <c r="P43" s="2">
        <v>49</v>
      </c>
      <c r="R43" s="2">
        <v>171</v>
      </c>
      <c r="S43" s="2">
        <v>157</v>
      </c>
      <c r="U43" s="2" t="s">
        <v>1</v>
      </c>
    </row>
    <row r="44" spans="1:21" x14ac:dyDescent="0.2">
      <c r="A44" s="2">
        <v>35</v>
      </c>
      <c r="B44" s="2" t="s">
        <v>1000</v>
      </c>
      <c r="C44" s="19">
        <f t="shared" si="2"/>
        <v>32757</v>
      </c>
      <c r="D44" s="2">
        <v>852</v>
      </c>
      <c r="G44" s="2">
        <v>1787</v>
      </c>
      <c r="H44" s="2">
        <v>670</v>
      </c>
      <c r="I44" s="2">
        <v>403</v>
      </c>
      <c r="J44" s="2">
        <v>401</v>
      </c>
      <c r="K44" s="2">
        <v>574</v>
      </c>
      <c r="L44" s="2">
        <v>992</v>
      </c>
      <c r="M44" s="2">
        <v>340.3</v>
      </c>
      <c r="N44" s="2">
        <v>472</v>
      </c>
      <c r="O44" s="2">
        <v>270</v>
      </c>
      <c r="P44" s="2">
        <v>53</v>
      </c>
      <c r="Q44" s="2">
        <v>28</v>
      </c>
      <c r="R44" s="2">
        <v>173</v>
      </c>
      <c r="S44" s="2">
        <v>156</v>
      </c>
      <c r="U44" s="2" t="s">
        <v>1</v>
      </c>
    </row>
    <row r="45" spans="1:21" x14ac:dyDescent="0.2">
      <c r="A45" s="2">
        <v>36</v>
      </c>
      <c r="B45" s="2" t="s">
        <v>1001</v>
      </c>
      <c r="C45" s="19">
        <f t="shared" si="2"/>
        <v>32757</v>
      </c>
      <c r="D45" s="2">
        <v>855</v>
      </c>
      <c r="G45" s="2">
        <v>1762</v>
      </c>
      <c r="H45" s="2">
        <v>549</v>
      </c>
      <c r="I45" s="2">
        <v>366</v>
      </c>
      <c r="J45" s="2">
        <v>367</v>
      </c>
      <c r="K45" s="2">
        <v>587</v>
      </c>
      <c r="L45" s="2">
        <v>930</v>
      </c>
      <c r="M45" s="2">
        <v>339.5</v>
      </c>
      <c r="N45" s="2">
        <v>474</v>
      </c>
      <c r="O45" s="2">
        <v>268</v>
      </c>
      <c r="P45" s="2">
        <v>49</v>
      </c>
      <c r="Q45" s="2">
        <v>27</v>
      </c>
      <c r="R45" s="2">
        <v>171</v>
      </c>
      <c r="S45" s="2">
        <v>158</v>
      </c>
      <c r="U45" s="2" t="s">
        <v>1</v>
      </c>
    </row>
    <row r="46" spans="1:21" x14ac:dyDescent="0.2">
      <c r="A46" s="2">
        <v>37</v>
      </c>
      <c r="B46" s="2" t="s">
        <v>1002</v>
      </c>
      <c r="C46" s="19">
        <f t="shared" si="2"/>
        <v>32757</v>
      </c>
      <c r="D46" s="2">
        <v>858</v>
      </c>
      <c r="F46" s="2">
        <v>2500</v>
      </c>
      <c r="G46" s="2">
        <v>1727</v>
      </c>
      <c r="H46" s="2">
        <v>281</v>
      </c>
      <c r="I46" s="2">
        <v>350</v>
      </c>
      <c r="J46" s="2">
        <v>346</v>
      </c>
      <c r="K46" s="2">
        <v>549</v>
      </c>
      <c r="L46" s="2">
        <v>810</v>
      </c>
      <c r="M46" s="2">
        <v>339.8</v>
      </c>
      <c r="N46" s="2">
        <v>476</v>
      </c>
      <c r="O46" s="2">
        <v>267</v>
      </c>
      <c r="P46" s="2">
        <v>48</v>
      </c>
      <c r="R46" s="2">
        <v>172</v>
      </c>
      <c r="S46" s="2">
        <v>156</v>
      </c>
      <c r="U46" s="2" t="s">
        <v>1</v>
      </c>
    </row>
    <row r="47" spans="1:21" x14ac:dyDescent="0.2">
      <c r="A47" s="2">
        <v>38</v>
      </c>
      <c r="B47" s="2" t="s">
        <v>1003</v>
      </c>
      <c r="C47" s="19">
        <f t="shared" si="2"/>
        <v>32757</v>
      </c>
      <c r="D47" s="2">
        <v>902</v>
      </c>
      <c r="E47" s="2">
        <v>904</v>
      </c>
      <c r="F47" s="2">
        <v>4000</v>
      </c>
      <c r="G47" s="2">
        <v>1729</v>
      </c>
      <c r="H47" s="2">
        <v>321</v>
      </c>
      <c r="I47" s="2">
        <v>354</v>
      </c>
      <c r="J47" s="2">
        <v>353</v>
      </c>
      <c r="K47" s="2">
        <v>572</v>
      </c>
      <c r="L47" s="2">
        <v>823</v>
      </c>
      <c r="M47" s="2">
        <v>335.4</v>
      </c>
      <c r="N47" s="2">
        <v>464</v>
      </c>
      <c r="O47" s="2">
        <v>266</v>
      </c>
      <c r="P47" s="2">
        <v>47</v>
      </c>
      <c r="Q47" s="2">
        <v>14</v>
      </c>
      <c r="R47" s="2">
        <v>169</v>
      </c>
      <c r="S47" s="2">
        <v>156</v>
      </c>
      <c r="U47" s="2" t="s">
        <v>1</v>
      </c>
    </row>
    <row r="48" spans="1:21" x14ac:dyDescent="0.2">
      <c r="A48" s="2">
        <v>39</v>
      </c>
      <c r="B48" s="2" t="s">
        <v>1004</v>
      </c>
      <c r="C48" s="19">
        <f t="shared" si="2"/>
        <v>32757</v>
      </c>
      <c r="D48" s="2">
        <v>911</v>
      </c>
      <c r="E48" s="2">
        <v>913</v>
      </c>
      <c r="F48" s="2">
        <v>6000</v>
      </c>
      <c r="G48" s="2">
        <v>1707</v>
      </c>
      <c r="H48" s="2">
        <v>148</v>
      </c>
      <c r="I48" s="2">
        <v>367</v>
      </c>
      <c r="J48" s="2">
        <v>352</v>
      </c>
      <c r="K48" s="2">
        <v>638</v>
      </c>
      <c r="L48" s="2">
        <v>742</v>
      </c>
      <c r="M48" s="2">
        <v>337.4</v>
      </c>
      <c r="N48" s="2">
        <v>477</v>
      </c>
      <c r="O48" s="2">
        <v>455</v>
      </c>
      <c r="P48" s="2">
        <v>88</v>
      </c>
      <c r="Q48" s="2">
        <v>207</v>
      </c>
      <c r="R48" s="2">
        <v>234</v>
      </c>
      <c r="S48" s="2">
        <v>147</v>
      </c>
      <c r="U48" s="2" t="s">
        <v>1</v>
      </c>
    </row>
    <row r="49" spans="1:21" x14ac:dyDescent="0.2">
      <c r="A49" s="2">
        <v>40</v>
      </c>
      <c r="B49" s="2" t="s">
        <v>1005</v>
      </c>
      <c r="C49" s="19">
        <f t="shared" si="2"/>
        <v>32757</v>
      </c>
      <c r="D49" s="2">
        <v>918</v>
      </c>
      <c r="E49" s="2">
        <v>920</v>
      </c>
      <c r="F49" s="2">
        <v>8000</v>
      </c>
      <c r="G49" s="2">
        <v>1711</v>
      </c>
      <c r="H49" s="2">
        <v>120</v>
      </c>
      <c r="I49" s="2">
        <v>339</v>
      </c>
      <c r="J49" s="2">
        <v>346</v>
      </c>
      <c r="K49" s="2">
        <v>531</v>
      </c>
      <c r="L49" s="2">
        <v>668</v>
      </c>
      <c r="M49" s="2">
        <v>341.6</v>
      </c>
      <c r="N49" s="2">
        <v>479</v>
      </c>
      <c r="O49" s="2">
        <v>275</v>
      </c>
      <c r="P49" s="2">
        <v>49</v>
      </c>
      <c r="Q49" s="2">
        <v>12</v>
      </c>
      <c r="R49" s="2">
        <v>175</v>
      </c>
      <c r="S49" s="2">
        <v>152</v>
      </c>
      <c r="U49" s="2" t="s">
        <v>1</v>
      </c>
    </row>
    <row r="50" spans="1:21" x14ac:dyDescent="0.2">
      <c r="A50" s="2">
        <v>41</v>
      </c>
      <c r="B50" s="2" t="s">
        <v>1006</v>
      </c>
      <c r="C50" s="19">
        <f t="shared" si="2"/>
        <v>32757</v>
      </c>
      <c r="D50" s="2">
        <v>926</v>
      </c>
      <c r="E50" s="2">
        <v>928</v>
      </c>
      <c r="F50" s="2">
        <v>10000</v>
      </c>
      <c r="G50" s="2">
        <v>1696</v>
      </c>
      <c r="H50" s="2">
        <v>67</v>
      </c>
      <c r="I50" s="2">
        <v>353</v>
      </c>
      <c r="J50" s="2">
        <v>350</v>
      </c>
      <c r="K50" s="2">
        <v>532</v>
      </c>
      <c r="L50" s="2">
        <v>631</v>
      </c>
      <c r="M50" s="2">
        <v>339.5</v>
      </c>
      <c r="N50" s="2">
        <v>478</v>
      </c>
      <c r="O50" s="2">
        <v>297</v>
      </c>
      <c r="P50" s="2">
        <v>49</v>
      </c>
      <c r="Q50" s="2">
        <v>9</v>
      </c>
      <c r="R50" s="2">
        <v>178</v>
      </c>
      <c r="S50" s="2">
        <v>153</v>
      </c>
    </row>
    <row r="51" spans="1:21" x14ac:dyDescent="0.2">
      <c r="A51" s="2">
        <v>42</v>
      </c>
      <c r="B51" s="2" t="s">
        <v>1007</v>
      </c>
      <c r="C51" s="19">
        <f t="shared" si="2"/>
        <v>32757</v>
      </c>
      <c r="D51" s="2">
        <v>934</v>
      </c>
      <c r="E51" s="2">
        <v>936</v>
      </c>
      <c r="F51" s="2">
        <v>12000</v>
      </c>
      <c r="G51" s="2">
        <v>1702</v>
      </c>
      <c r="H51" s="2">
        <v>84</v>
      </c>
      <c r="I51" s="2">
        <v>358</v>
      </c>
      <c r="J51" s="2">
        <v>357</v>
      </c>
      <c r="K51" s="2">
        <v>518</v>
      </c>
      <c r="L51" s="2">
        <v>622</v>
      </c>
      <c r="M51" s="2">
        <v>339.8</v>
      </c>
      <c r="N51" s="2">
        <v>476</v>
      </c>
      <c r="O51" s="2">
        <v>271</v>
      </c>
      <c r="P51" s="2">
        <v>48</v>
      </c>
      <c r="Q51" s="2">
        <v>12</v>
      </c>
      <c r="R51" s="2">
        <v>180</v>
      </c>
      <c r="S51" s="2">
        <v>109</v>
      </c>
    </row>
    <row r="52" spans="1:21" x14ac:dyDescent="0.2">
      <c r="A52" s="2">
        <v>43</v>
      </c>
      <c r="B52" s="2" t="s">
        <v>1008</v>
      </c>
      <c r="C52" s="19">
        <f t="shared" si="2"/>
        <v>32757</v>
      </c>
      <c r="D52" s="2">
        <v>940</v>
      </c>
      <c r="E52" s="2">
        <v>941</v>
      </c>
      <c r="F52" s="2">
        <v>12000</v>
      </c>
      <c r="G52" s="2">
        <v>1704</v>
      </c>
      <c r="H52" s="2">
        <v>69</v>
      </c>
      <c r="I52" s="2">
        <v>335</v>
      </c>
      <c r="J52" s="2">
        <v>351</v>
      </c>
      <c r="K52" s="2">
        <v>525</v>
      </c>
      <c r="L52" s="2">
        <v>615</v>
      </c>
      <c r="M52" s="2">
        <v>340.9</v>
      </c>
      <c r="N52" s="2">
        <v>478</v>
      </c>
      <c r="O52" s="2">
        <v>280</v>
      </c>
      <c r="P52" s="2">
        <v>48</v>
      </c>
      <c r="R52" s="2">
        <v>180</v>
      </c>
      <c r="S52" s="2">
        <v>104</v>
      </c>
    </row>
    <row r="53" spans="1:21" x14ac:dyDescent="0.2">
      <c r="A53" s="2">
        <v>44</v>
      </c>
      <c r="B53" s="2" t="s">
        <v>632</v>
      </c>
      <c r="C53" s="19">
        <f t="shared" si="2"/>
        <v>32757</v>
      </c>
      <c r="D53" s="2">
        <v>955</v>
      </c>
      <c r="E53" s="2">
        <v>956</v>
      </c>
      <c r="F53" s="2">
        <v>3500</v>
      </c>
      <c r="G53" s="2">
        <v>1716</v>
      </c>
      <c r="H53" s="2">
        <v>288</v>
      </c>
      <c r="I53" s="2">
        <v>357</v>
      </c>
      <c r="J53" s="2">
        <v>352</v>
      </c>
      <c r="K53" s="2">
        <v>538</v>
      </c>
      <c r="L53" s="2">
        <v>786</v>
      </c>
      <c r="M53" s="2">
        <v>332.9</v>
      </c>
      <c r="N53" s="2">
        <v>462</v>
      </c>
      <c r="O53" s="2">
        <v>658</v>
      </c>
      <c r="P53" s="2">
        <v>46</v>
      </c>
      <c r="R53" s="2">
        <v>181</v>
      </c>
      <c r="S53" s="2">
        <v>158</v>
      </c>
    </row>
    <row r="54" spans="1:21" x14ac:dyDescent="0.2">
      <c r="A54" s="2">
        <v>45</v>
      </c>
      <c r="B54" s="2" t="s">
        <v>1009</v>
      </c>
      <c r="C54" s="19">
        <f t="shared" si="2"/>
        <v>32757</v>
      </c>
      <c r="D54" s="2">
        <v>1050</v>
      </c>
      <c r="E54" s="2">
        <v>1057</v>
      </c>
      <c r="F54" s="2">
        <v>6500</v>
      </c>
      <c r="G54" s="2">
        <v>1721</v>
      </c>
      <c r="H54" s="2">
        <v>312</v>
      </c>
      <c r="I54" s="2">
        <v>358</v>
      </c>
      <c r="J54" s="2">
        <v>362</v>
      </c>
      <c r="K54" s="2">
        <v>569</v>
      </c>
      <c r="L54" s="2">
        <v>820</v>
      </c>
      <c r="M54" s="2">
        <v>337.3</v>
      </c>
      <c r="N54" s="2">
        <v>469</v>
      </c>
      <c r="O54" s="2">
        <v>265</v>
      </c>
      <c r="P54" s="2">
        <v>48</v>
      </c>
      <c r="R54" s="2">
        <v>169</v>
      </c>
      <c r="S54" s="2">
        <v>156</v>
      </c>
    </row>
    <row r="55" spans="1:21" x14ac:dyDescent="0.2">
      <c r="A55" s="2">
        <v>46</v>
      </c>
      <c r="B55" s="2" t="s">
        <v>1010</v>
      </c>
      <c r="C55" s="19">
        <f t="shared" si="2"/>
        <v>32757</v>
      </c>
      <c r="D55" s="2">
        <v>1108</v>
      </c>
      <c r="E55" s="2">
        <v>1110</v>
      </c>
      <c r="F55" s="2">
        <v>6500</v>
      </c>
      <c r="G55" s="2">
        <v>1708</v>
      </c>
      <c r="H55" s="2">
        <v>189</v>
      </c>
      <c r="I55" s="2">
        <v>355</v>
      </c>
      <c r="J55" s="2">
        <v>359</v>
      </c>
      <c r="K55" s="2">
        <v>540</v>
      </c>
      <c r="L55" s="2">
        <v>718</v>
      </c>
      <c r="M55" s="2">
        <v>337.6</v>
      </c>
      <c r="N55" s="2">
        <v>470</v>
      </c>
      <c r="O55" s="2">
        <v>384</v>
      </c>
      <c r="P55" s="2">
        <v>47</v>
      </c>
      <c r="R55" s="2">
        <v>169</v>
      </c>
      <c r="S55" s="2">
        <v>155</v>
      </c>
    </row>
    <row r="56" spans="1:21" x14ac:dyDescent="0.2">
      <c r="A56" s="2">
        <v>47</v>
      </c>
      <c r="B56" s="2" t="s">
        <v>1011</v>
      </c>
      <c r="C56" s="19">
        <f t="shared" si="2"/>
        <v>32757</v>
      </c>
      <c r="D56" s="2">
        <v>1130</v>
      </c>
      <c r="E56" s="2">
        <v>1132</v>
      </c>
      <c r="F56" s="2">
        <v>6500</v>
      </c>
      <c r="G56" s="2">
        <v>1724</v>
      </c>
      <c r="H56" s="2">
        <v>325</v>
      </c>
      <c r="I56" s="2">
        <v>360</v>
      </c>
      <c r="J56" s="2">
        <v>351</v>
      </c>
      <c r="K56" s="2">
        <v>586</v>
      </c>
      <c r="L56" s="2">
        <v>817</v>
      </c>
      <c r="M56" s="2">
        <v>337.6</v>
      </c>
      <c r="N56" s="2">
        <v>467</v>
      </c>
      <c r="O56" s="2">
        <v>265</v>
      </c>
      <c r="P56" s="2">
        <v>46</v>
      </c>
      <c r="Q56" s="2">
        <v>19</v>
      </c>
      <c r="R56" s="2">
        <v>169</v>
      </c>
      <c r="S56" s="2">
        <v>155</v>
      </c>
    </row>
    <row r="57" spans="1:21" x14ac:dyDescent="0.2">
      <c r="A57" s="2">
        <v>48</v>
      </c>
      <c r="B57" s="2" t="s">
        <v>1012</v>
      </c>
      <c r="C57" s="19">
        <f t="shared" si="2"/>
        <v>32757</v>
      </c>
      <c r="D57" s="2">
        <v>1156</v>
      </c>
      <c r="E57" s="2">
        <v>1158</v>
      </c>
      <c r="F57" s="2">
        <v>7600</v>
      </c>
      <c r="G57" s="2">
        <v>1733</v>
      </c>
      <c r="H57" s="2">
        <v>362</v>
      </c>
      <c r="I57" s="2">
        <v>342</v>
      </c>
      <c r="J57" s="2">
        <v>356</v>
      </c>
      <c r="K57" s="2">
        <v>620</v>
      </c>
      <c r="L57" s="2">
        <v>836</v>
      </c>
      <c r="M57" s="2">
        <v>338.6</v>
      </c>
      <c r="N57" s="2">
        <v>469</v>
      </c>
      <c r="O57" s="2">
        <v>263</v>
      </c>
      <c r="P57" s="2">
        <v>46</v>
      </c>
      <c r="Q57" s="2">
        <v>17</v>
      </c>
      <c r="R57" s="2">
        <v>169</v>
      </c>
      <c r="S57" s="2">
        <v>154</v>
      </c>
    </row>
    <row r="58" spans="1:21" x14ac:dyDescent="0.2">
      <c r="A58" s="2">
        <v>49</v>
      </c>
      <c r="B58" s="2" t="s">
        <v>1013</v>
      </c>
      <c r="C58" s="19">
        <f t="shared" si="2"/>
        <v>32757</v>
      </c>
      <c r="D58" s="2">
        <v>1222</v>
      </c>
      <c r="E58" s="2">
        <v>1224</v>
      </c>
      <c r="F58" s="2">
        <v>9400</v>
      </c>
      <c r="G58" s="2">
        <v>1702</v>
      </c>
      <c r="H58" s="2">
        <v>122</v>
      </c>
      <c r="I58" s="2">
        <v>353</v>
      </c>
      <c r="J58" s="2">
        <v>356</v>
      </c>
      <c r="K58" s="2">
        <v>549</v>
      </c>
      <c r="L58" s="2">
        <v>673</v>
      </c>
      <c r="M58" s="2">
        <v>336.5</v>
      </c>
      <c r="N58" s="2">
        <v>475</v>
      </c>
      <c r="O58" s="2">
        <v>271</v>
      </c>
      <c r="P58" s="2">
        <v>48</v>
      </c>
      <c r="Q58" s="2">
        <v>21</v>
      </c>
      <c r="R58" s="2">
        <v>175</v>
      </c>
      <c r="S58" s="2">
        <v>157</v>
      </c>
    </row>
    <row r="59" spans="1:21" x14ac:dyDescent="0.2">
      <c r="A59" s="2">
        <v>50</v>
      </c>
      <c r="B59" s="2" t="s">
        <v>1014</v>
      </c>
      <c r="C59" s="19">
        <f t="shared" si="2"/>
        <v>32757</v>
      </c>
      <c r="D59" s="2">
        <v>1251</v>
      </c>
      <c r="E59" s="2">
        <v>1253</v>
      </c>
      <c r="F59" s="2">
        <v>9500</v>
      </c>
      <c r="G59" s="2">
        <v>1698</v>
      </c>
      <c r="H59" s="2">
        <v>78</v>
      </c>
      <c r="I59" s="2">
        <v>364</v>
      </c>
      <c r="J59" s="2">
        <v>354</v>
      </c>
      <c r="K59" s="2">
        <v>537</v>
      </c>
      <c r="L59" s="2">
        <v>623</v>
      </c>
      <c r="M59" s="2">
        <v>336.7</v>
      </c>
      <c r="N59" s="2">
        <v>473</v>
      </c>
      <c r="O59" s="2">
        <v>272</v>
      </c>
      <c r="P59" s="2">
        <v>49</v>
      </c>
      <c r="Q59" s="2">
        <v>22</v>
      </c>
      <c r="R59" s="2">
        <v>176</v>
      </c>
      <c r="S59" s="2">
        <v>156</v>
      </c>
    </row>
    <row r="60" spans="1:21" x14ac:dyDescent="0.2">
      <c r="A60" s="2">
        <v>51</v>
      </c>
      <c r="B60" s="2" t="s">
        <v>1015</v>
      </c>
      <c r="C60" s="19">
        <f t="shared" si="2"/>
        <v>32757</v>
      </c>
      <c r="D60" s="2">
        <v>1429</v>
      </c>
      <c r="E60" s="2">
        <v>1431</v>
      </c>
      <c r="F60" s="2">
        <v>4300</v>
      </c>
      <c r="G60" s="2">
        <v>1742</v>
      </c>
      <c r="H60" s="2">
        <v>95</v>
      </c>
      <c r="I60" s="2">
        <v>349</v>
      </c>
      <c r="J60" s="2">
        <v>352</v>
      </c>
      <c r="K60" s="2">
        <v>518</v>
      </c>
      <c r="L60" s="2">
        <v>719</v>
      </c>
      <c r="M60" s="2">
        <v>332.9</v>
      </c>
      <c r="N60" s="2">
        <v>474</v>
      </c>
      <c r="O60" s="2">
        <v>280</v>
      </c>
      <c r="P60" s="2">
        <v>52</v>
      </c>
      <c r="R60" s="2">
        <v>172</v>
      </c>
      <c r="S60" s="2">
        <v>157</v>
      </c>
    </row>
    <row r="61" spans="1:21" x14ac:dyDescent="0.2">
      <c r="A61" s="2">
        <v>52</v>
      </c>
      <c r="B61" s="2" t="s">
        <v>1016</v>
      </c>
      <c r="C61" s="19">
        <f t="shared" si="2"/>
        <v>32757</v>
      </c>
      <c r="D61" s="2">
        <v>1455</v>
      </c>
      <c r="E61" s="2">
        <v>1458</v>
      </c>
      <c r="F61" s="2">
        <v>4500</v>
      </c>
      <c r="G61" s="2">
        <v>1751</v>
      </c>
      <c r="H61" s="2">
        <v>98</v>
      </c>
      <c r="I61" s="2">
        <v>344</v>
      </c>
      <c r="J61" s="2">
        <v>352</v>
      </c>
      <c r="K61" s="2">
        <v>507</v>
      </c>
      <c r="L61" s="2">
        <v>729</v>
      </c>
      <c r="M61" s="2">
        <v>332.1</v>
      </c>
      <c r="N61" s="2">
        <v>468</v>
      </c>
      <c r="O61" s="2">
        <v>270</v>
      </c>
      <c r="P61" s="2">
        <v>52</v>
      </c>
      <c r="R61" s="2">
        <v>172</v>
      </c>
      <c r="S61" s="2">
        <v>156</v>
      </c>
    </row>
    <row r="62" spans="1:21" x14ac:dyDescent="0.2">
      <c r="A62" s="2">
        <v>53</v>
      </c>
      <c r="B62" s="2" t="s">
        <v>1017</v>
      </c>
      <c r="C62" s="19">
        <f t="shared" si="2"/>
        <v>32757</v>
      </c>
      <c r="D62" s="2">
        <v>1510</v>
      </c>
      <c r="G62" s="2">
        <v>1769</v>
      </c>
      <c r="H62" s="2">
        <v>103</v>
      </c>
      <c r="I62" s="2">
        <v>342</v>
      </c>
      <c r="J62" s="2">
        <v>352</v>
      </c>
      <c r="K62" s="2">
        <v>515</v>
      </c>
      <c r="L62" s="2">
        <v>704</v>
      </c>
      <c r="M62" s="2">
        <v>335.6</v>
      </c>
      <c r="N62" s="2">
        <v>467</v>
      </c>
      <c r="O62" s="2">
        <v>266</v>
      </c>
      <c r="P62" s="2">
        <v>49</v>
      </c>
      <c r="R62" s="2">
        <v>171</v>
      </c>
      <c r="S62" s="2">
        <v>156</v>
      </c>
    </row>
    <row r="63" spans="1:21" x14ac:dyDescent="0.2">
      <c r="A63" s="2">
        <v>54</v>
      </c>
      <c r="B63" s="2" t="s">
        <v>1018</v>
      </c>
      <c r="C63" s="19">
        <f t="shared" ref="C63:C80" si="3">DATE(89,9,7)</f>
        <v>32758</v>
      </c>
      <c r="D63" s="2">
        <v>1012</v>
      </c>
      <c r="E63" s="2">
        <v>1014</v>
      </c>
      <c r="F63" s="2">
        <v>100</v>
      </c>
      <c r="G63" s="2">
        <v>1790</v>
      </c>
      <c r="H63" s="2">
        <v>164</v>
      </c>
      <c r="I63" s="2">
        <v>354</v>
      </c>
      <c r="J63" s="2">
        <v>358</v>
      </c>
      <c r="K63" s="2">
        <v>706</v>
      </c>
      <c r="L63" s="2">
        <v>769</v>
      </c>
      <c r="M63" s="17">
        <v>331</v>
      </c>
      <c r="N63" s="2">
        <v>470</v>
      </c>
      <c r="O63" s="2">
        <v>268</v>
      </c>
      <c r="P63" s="2">
        <v>52</v>
      </c>
      <c r="Q63" s="2">
        <v>16</v>
      </c>
      <c r="R63" s="2">
        <v>170</v>
      </c>
      <c r="S63" s="2">
        <v>156</v>
      </c>
    </row>
    <row r="64" spans="1:21" x14ac:dyDescent="0.2">
      <c r="A64" s="2">
        <v>55</v>
      </c>
      <c r="B64" s="2" t="s">
        <v>1019</v>
      </c>
      <c r="C64" s="19">
        <f t="shared" si="3"/>
        <v>32758</v>
      </c>
      <c r="D64" s="2">
        <v>1015</v>
      </c>
      <c r="F64" s="2">
        <v>1500</v>
      </c>
      <c r="G64" s="2">
        <v>1776</v>
      </c>
      <c r="H64" s="2">
        <v>140</v>
      </c>
      <c r="I64" s="2">
        <v>351</v>
      </c>
      <c r="J64" s="2">
        <v>353</v>
      </c>
      <c r="K64" s="2">
        <v>519</v>
      </c>
      <c r="L64" s="2">
        <v>752</v>
      </c>
      <c r="M64" s="17">
        <v>335.2</v>
      </c>
      <c r="N64" s="2">
        <v>473</v>
      </c>
      <c r="O64" s="2">
        <v>267</v>
      </c>
      <c r="P64" s="2">
        <v>49</v>
      </c>
      <c r="R64" s="2">
        <v>171</v>
      </c>
      <c r="S64" s="2">
        <v>155</v>
      </c>
    </row>
    <row r="65" spans="1:19" x14ac:dyDescent="0.2">
      <c r="A65" s="2">
        <v>56</v>
      </c>
      <c r="B65" s="2" t="s">
        <v>1020</v>
      </c>
      <c r="C65" s="19">
        <f t="shared" si="3"/>
        <v>32758</v>
      </c>
      <c r="D65" s="2">
        <v>1020</v>
      </c>
      <c r="E65" s="2">
        <v>1021</v>
      </c>
      <c r="F65" s="2">
        <v>5500</v>
      </c>
      <c r="G65" s="2">
        <v>1717</v>
      </c>
      <c r="H65" s="2">
        <v>100</v>
      </c>
      <c r="I65" s="2">
        <v>354</v>
      </c>
      <c r="J65" s="2">
        <v>349</v>
      </c>
      <c r="K65" s="2">
        <v>503</v>
      </c>
      <c r="L65" s="2">
        <v>698</v>
      </c>
      <c r="M65" s="17">
        <v>336.3</v>
      </c>
      <c r="N65" s="2">
        <v>470</v>
      </c>
      <c r="O65" s="2">
        <v>266</v>
      </c>
      <c r="P65" s="2">
        <v>47</v>
      </c>
      <c r="Q65" s="2">
        <v>12</v>
      </c>
      <c r="R65" s="2">
        <v>171</v>
      </c>
      <c r="S65" s="2">
        <v>155</v>
      </c>
    </row>
    <row r="66" spans="1:19" x14ac:dyDescent="0.2">
      <c r="A66" s="2">
        <v>57</v>
      </c>
      <c r="B66" s="2" t="s">
        <v>1021</v>
      </c>
      <c r="C66" s="19">
        <f t="shared" si="3"/>
        <v>32758</v>
      </c>
      <c r="D66" s="2">
        <v>1034</v>
      </c>
      <c r="F66" s="2">
        <v>6000</v>
      </c>
      <c r="G66" s="2">
        <v>1712</v>
      </c>
      <c r="H66" s="2">
        <v>109</v>
      </c>
      <c r="I66" s="2">
        <v>338</v>
      </c>
      <c r="J66" s="2">
        <v>356</v>
      </c>
      <c r="K66" s="2">
        <v>519</v>
      </c>
      <c r="L66" s="2">
        <v>701</v>
      </c>
      <c r="M66" s="17">
        <v>335.9</v>
      </c>
      <c r="N66" s="2">
        <v>470</v>
      </c>
      <c r="O66" s="2">
        <v>266</v>
      </c>
      <c r="P66" s="2">
        <v>47</v>
      </c>
      <c r="R66" s="2">
        <v>71</v>
      </c>
      <c r="S66" s="2">
        <v>156</v>
      </c>
    </row>
    <row r="67" spans="1:19" x14ac:dyDescent="0.2">
      <c r="A67" s="2">
        <v>58</v>
      </c>
      <c r="B67" s="2" t="s">
        <v>1022</v>
      </c>
      <c r="C67" s="19">
        <f t="shared" si="3"/>
        <v>32758</v>
      </c>
      <c r="D67" s="2">
        <v>1055</v>
      </c>
      <c r="F67" s="2">
        <v>6000</v>
      </c>
      <c r="G67" s="2">
        <v>1701</v>
      </c>
      <c r="H67" s="2">
        <v>102</v>
      </c>
      <c r="I67" s="2">
        <v>349</v>
      </c>
      <c r="J67" s="2">
        <v>355</v>
      </c>
      <c r="K67" s="2">
        <v>523</v>
      </c>
      <c r="L67" s="2">
        <v>671</v>
      </c>
      <c r="M67" s="17">
        <v>336</v>
      </c>
      <c r="N67" s="2">
        <v>465</v>
      </c>
      <c r="O67" s="2">
        <v>267</v>
      </c>
      <c r="P67" s="2">
        <v>47</v>
      </c>
      <c r="Q67" s="2">
        <v>22</v>
      </c>
      <c r="R67" s="2">
        <v>172</v>
      </c>
      <c r="S67" s="2">
        <v>158</v>
      </c>
    </row>
    <row r="68" spans="1:19" x14ac:dyDescent="0.2">
      <c r="A68" s="2">
        <v>59</v>
      </c>
      <c r="B68" s="2" t="s">
        <v>1023</v>
      </c>
      <c r="C68" s="19">
        <f t="shared" si="3"/>
        <v>32758</v>
      </c>
      <c r="D68" s="2">
        <v>1210</v>
      </c>
      <c r="F68" s="2">
        <v>6000</v>
      </c>
      <c r="G68" s="2">
        <v>1709</v>
      </c>
      <c r="H68" s="2">
        <v>164</v>
      </c>
      <c r="I68" s="2">
        <v>348</v>
      </c>
      <c r="J68" s="2">
        <v>353</v>
      </c>
      <c r="K68" s="2">
        <v>521</v>
      </c>
      <c r="L68" s="2">
        <v>710</v>
      </c>
      <c r="M68" s="17">
        <v>336.9</v>
      </c>
      <c r="N68" s="2">
        <v>467</v>
      </c>
      <c r="O68" s="2">
        <v>271</v>
      </c>
      <c r="P68" s="2">
        <v>47</v>
      </c>
      <c r="Q68" s="2">
        <v>14</v>
      </c>
      <c r="R68" s="2">
        <v>171</v>
      </c>
      <c r="S68" s="2">
        <v>155</v>
      </c>
    </row>
    <row r="69" spans="1:19" x14ac:dyDescent="0.2">
      <c r="A69" s="2">
        <v>60</v>
      </c>
      <c r="B69" s="2" t="s">
        <v>1024</v>
      </c>
      <c r="C69" s="19">
        <f t="shared" si="3"/>
        <v>32758</v>
      </c>
      <c r="D69" s="2">
        <v>1220</v>
      </c>
      <c r="F69" s="2">
        <v>4000</v>
      </c>
      <c r="G69" s="2">
        <v>1717</v>
      </c>
      <c r="H69" s="2">
        <v>119</v>
      </c>
      <c r="I69" s="2">
        <v>357</v>
      </c>
      <c r="J69" s="2">
        <v>362</v>
      </c>
      <c r="K69" s="2">
        <v>503</v>
      </c>
      <c r="L69" s="2">
        <v>671</v>
      </c>
      <c r="M69" s="17">
        <v>337.3</v>
      </c>
      <c r="N69" s="2">
        <v>471</v>
      </c>
      <c r="O69" s="2">
        <v>324</v>
      </c>
      <c r="P69" s="2">
        <v>48</v>
      </c>
      <c r="Q69" s="2">
        <v>14</v>
      </c>
      <c r="R69" s="2">
        <v>171</v>
      </c>
      <c r="S69" s="2">
        <v>154</v>
      </c>
    </row>
    <row r="70" spans="1:19" x14ac:dyDescent="0.2">
      <c r="A70" s="2">
        <v>61</v>
      </c>
      <c r="B70" s="2" t="s">
        <v>1025</v>
      </c>
      <c r="C70" s="19">
        <f t="shared" si="3"/>
        <v>32758</v>
      </c>
      <c r="D70" s="2">
        <v>1224</v>
      </c>
      <c r="G70" s="2">
        <v>1743</v>
      </c>
      <c r="H70" s="2">
        <v>216</v>
      </c>
      <c r="I70" s="2">
        <v>353</v>
      </c>
      <c r="J70" s="2">
        <v>358</v>
      </c>
      <c r="K70" s="2">
        <v>491</v>
      </c>
      <c r="L70" s="2">
        <v>709</v>
      </c>
      <c r="M70" s="17">
        <v>337.1</v>
      </c>
      <c r="N70" s="2">
        <v>471</v>
      </c>
      <c r="O70" s="2">
        <v>268</v>
      </c>
      <c r="P70" s="2">
        <v>51</v>
      </c>
      <c r="R70" s="2">
        <v>171</v>
      </c>
      <c r="S70" s="2">
        <v>156</v>
      </c>
    </row>
    <row r="71" spans="1:19" x14ac:dyDescent="0.2">
      <c r="A71" s="2">
        <v>62</v>
      </c>
      <c r="B71" s="2" t="s">
        <v>1026</v>
      </c>
      <c r="C71" s="19">
        <f t="shared" si="3"/>
        <v>32758</v>
      </c>
      <c r="D71" s="2">
        <v>1336</v>
      </c>
      <c r="F71" s="2">
        <v>3000</v>
      </c>
      <c r="G71" s="2">
        <v>1755</v>
      </c>
      <c r="H71" s="2">
        <v>155</v>
      </c>
      <c r="I71" s="2">
        <v>343</v>
      </c>
      <c r="J71" s="2">
        <v>356</v>
      </c>
      <c r="K71" s="2">
        <v>495</v>
      </c>
      <c r="L71" s="2">
        <v>685</v>
      </c>
      <c r="M71" s="17">
        <v>336.1</v>
      </c>
      <c r="N71" s="2">
        <v>469</v>
      </c>
      <c r="O71" s="2">
        <v>268</v>
      </c>
      <c r="P71" s="2">
        <v>50</v>
      </c>
      <c r="Q71" s="2">
        <v>16</v>
      </c>
      <c r="R71" s="2">
        <v>171</v>
      </c>
      <c r="S71" s="2">
        <v>157</v>
      </c>
    </row>
    <row r="72" spans="1:19" x14ac:dyDescent="0.2">
      <c r="A72" s="2">
        <v>63</v>
      </c>
      <c r="B72" s="2" t="s">
        <v>1027</v>
      </c>
      <c r="C72" s="19">
        <f t="shared" si="3"/>
        <v>32758</v>
      </c>
      <c r="D72" s="2">
        <v>1340</v>
      </c>
      <c r="F72" s="2">
        <v>6500</v>
      </c>
      <c r="G72" s="2">
        <v>1761</v>
      </c>
      <c r="H72" s="2">
        <v>599</v>
      </c>
      <c r="I72" s="2">
        <v>347</v>
      </c>
      <c r="J72" s="2">
        <v>356</v>
      </c>
      <c r="K72" s="2">
        <v>633</v>
      </c>
      <c r="L72" s="2">
        <v>710</v>
      </c>
      <c r="M72" s="17">
        <v>339.2</v>
      </c>
      <c r="N72" s="2">
        <v>474</v>
      </c>
      <c r="O72" s="2">
        <v>267</v>
      </c>
      <c r="P72" s="2">
        <v>47</v>
      </c>
      <c r="Q72" s="2">
        <v>21</v>
      </c>
      <c r="R72" s="2">
        <v>172</v>
      </c>
      <c r="S72" s="2">
        <v>157</v>
      </c>
    </row>
    <row r="73" spans="1:19" x14ac:dyDescent="0.2">
      <c r="A73" s="2">
        <v>64</v>
      </c>
      <c r="B73" s="2" t="s">
        <v>1028</v>
      </c>
      <c r="C73" s="19">
        <f t="shared" si="3"/>
        <v>32758</v>
      </c>
      <c r="D73" s="2">
        <v>1350</v>
      </c>
      <c r="F73" s="2">
        <v>7000</v>
      </c>
      <c r="G73" s="2">
        <v>1782</v>
      </c>
      <c r="H73" s="2">
        <v>1069</v>
      </c>
      <c r="I73" s="2">
        <v>354</v>
      </c>
      <c r="J73" s="2">
        <v>368</v>
      </c>
      <c r="K73" s="2">
        <v>706</v>
      </c>
      <c r="L73" s="2">
        <v>828</v>
      </c>
      <c r="M73" s="17">
        <v>338.9</v>
      </c>
      <c r="N73" s="2">
        <v>472</v>
      </c>
      <c r="O73" s="2">
        <v>267</v>
      </c>
      <c r="P73" s="2">
        <v>47</v>
      </c>
      <c r="Q73" s="2">
        <v>18</v>
      </c>
      <c r="R73" s="2">
        <v>171</v>
      </c>
      <c r="S73" s="2">
        <v>155</v>
      </c>
    </row>
    <row r="74" spans="1:19" x14ac:dyDescent="0.2">
      <c r="A74" s="2">
        <v>65</v>
      </c>
      <c r="B74" s="2" t="s">
        <v>1029</v>
      </c>
      <c r="C74" s="19">
        <f t="shared" si="3"/>
        <v>32758</v>
      </c>
      <c r="D74" s="2">
        <v>1400</v>
      </c>
      <c r="G74" s="2">
        <v>1887</v>
      </c>
      <c r="H74" s="2">
        <v>1840</v>
      </c>
      <c r="I74" s="2">
        <v>354</v>
      </c>
      <c r="J74" s="2">
        <v>373</v>
      </c>
      <c r="K74" s="2">
        <v>942</v>
      </c>
      <c r="L74" s="2">
        <v>1056</v>
      </c>
      <c r="M74" s="17">
        <v>335.9</v>
      </c>
      <c r="N74" s="2">
        <v>499</v>
      </c>
      <c r="O74" s="2">
        <v>272</v>
      </c>
      <c r="P74" s="2">
        <v>50</v>
      </c>
      <c r="Q74" s="2">
        <v>32</v>
      </c>
      <c r="R74" s="2">
        <v>421</v>
      </c>
      <c r="S74" s="2">
        <v>154</v>
      </c>
    </row>
    <row r="75" spans="1:19" x14ac:dyDescent="0.2">
      <c r="A75" s="2">
        <v>66</v>
      </c>
      <c r="B75" s="2" t="s">
        <v>1030</v>
      </c>
      <c r="C75" s="19">
        <f t="shared" si="3"/>
        <v>32758</v>
      </c>
      <c r="D75" s="2">
        <v>1406</v>
      </c>
      <c r="F75" s="2">
        <v>7000</v>
      </c>
      <c r="G75" s="2">
        <v>1894</v>
      </c>
      <c r="H75" s="2">
        <v>1849</v>
      </c>
      <c r="I75" s="2">
        <v>395</v>
      </c>
      <c r="J75" s="2">
        <v>391</v>
      </c>
      <c r="K75" s="2">
        <v>1042</v>
      </c>
      <c r="L75" s="2">
        <v>1288</v>
      </c>
    </row>
    <row r="76" spans="1:19" x14ac:dyDescent="0.2">
      <c r="A76" s="2">
        <v>67</v>
      </c>
      <c r="B76" s="2" t="s">
        <v>1031</v>
      </c>
      <c r="C76" s="19">
        <f t="shared" si="3"/>
        <v>32758</v>
      </c>
      <c r="D76" s="2">
        <v>1414</v>
      </c>
      <c r="F76" s="2">
        <v>7000</v>
      </c>
      <c r="G76" s="2">
        <v>1942</v>
      </c>
      <c r="H76" s="2">
        <v>2476</v>
      </c>
      <c r="I76" s="2">
        <v>385</v>
      </c>
      <c r="J76" s="2">
        <v>384</v>
      </c>
      <c r="K76" s="2">
        <v>1251</v>
      </c>
      <c r="L76" s="2">
        <v>1376</v>
      </c>
      <c r="M76" s="2">
        <v>342.4</v>
      </c>
      <c r="N76" s="2">
        <v>820</v>
      </c>
      <c r="O76" s="2">
        <v>16125</v>
      </c>
      <c r="P76" s="2">
        <v>125</v>
      </c>
      <c r="Q76" s="2">
        <v>96</v>
      </c>
      <c r="R76" s="2">
        <v>1729</v>
      </c>
      <c r="S76" s="2">
        <v>160</v>
      </c>
    </row>
    <row r="77" spans="1:19" x14ac:dyDescent="0.2">
      <c r="A77" s="2">
        <v>68</v>
      </c>
      <c r="B77" s="2" t="s">
        <v>1032</v>
      </c>
      <c r="C77" s="19">
        <f t="shared" si="3"/>
        <v>32758</v>
      </c>
      <c r="D77" s="2">
        <v>1554</v>
      </c>
      <c r="F77" s="2">
        <v>11000</v>
      </c>
      <c r="G77" s="2">
        <v>1764</v>
      </c>
      <c r="H77" s="2">
        <v>524</v>
      </c>
      <c r="I77" s="2">
        <v>342</v>
      </c>
      <c r="J77" s="2">
        <v>357</v>
      </c>
      <c r="K77" s="2">
        <v>723</v>
      </c>
      <c r="L77" s="2">
        <v>785</v>
      </c>
      <c r="M77" s="2">
        <v>340.5</v>
      </c>
      <c r="N77" s="2">
        <v>477</v>
      </c>
      <c r="O77" s="2">
        <v>269</v>
      </c>
      <c r="P77" s="2">
        <v>48</v>
      </c>
      <c r="Q77" s="2">
        <v>6</v>
      </c>
      <c r="R77" s="2">
        <v>177</v>
      </c>
      <c r="S77" s="2">
        <v>152</v>
      </c>
    </row>
    <row r="78" spans="1:19" x14ac:dyDescent="0.2">
      <c r="A78" s="2">
        <v>69</v>
      </c>
      <c r="B78" s="2" t="s">
        <v>1033</v>
      </c>
      <c r="C78" s="19">
        <f t="shared" si="3"/>
        <v>32758</v>
      </c>
      <c r="D78" s="2">
        <v>1608</v>
      </c>
      <c r="F78" s="2">
        <v>11000</v>
      </c>
      <c r="G78" s="2">
        <v>1714</v>
      </c>
      <c r="H78" s="2">
        <v>183</v>
      </c>
      <c r="I78" s="2">
        <v>345</v>
      </c>
      <c r="J78" s="2">
        <v>353</v>
      </c>
      <c r="K78" s="2">
        <v>545</v>
      </c>
      <c r="L78" s="2">
        <v>670</v>
      </c>
      <c r="M78" s="2">
        <v>338.1</v>
      </c>
      <c r="N78" s="2">
        <v>468</v>
      </c>
      <c r="O78" s="2">
        <v>270</v>
      </c>
      <c r="P78" s="2">
        <v>48</v>
      </c>
      <c r="R78" s="2">
        <v>174</v>
      </c>
      <c r="S78" s="2">
        <v>158</v>
      </c>
    </row>
    <row r="79" spans="1:19" x14ac:dyDescent="0.2">
      <c r="A79" s="2">
        <v>70</v>
      </c>
      <c r="B79" s="2" t="s">
        <v>1034</v>
      </c>
      <c r="C79" s="19">
        <f t="shared" si="3"/>
        <v>32758</v>
      </c>
      <c r="D79" s="2">
        <v>1630</v>
      </c>
      <c r="F79" s="2">
        <v>11000</v>
      </c>
      <c r="G79" s="2">
        <v>1703</v>
      </c>
      <c r="H79" s="2">
        <v>95</v>
      </c>
      <c r="I79" s="2">
        <v>344</v>
      </c>
      <c r="J79" s="2">
        <v>356</v>
      </c>
      <c r="K79" s="2">
        <v>533</v>
      </c>
      <c r="L79" s="2">
        <v>626</v>
      </c>
      <c r="M79" s="2">
        <v>337.5</v>
      </c>
      <c r="N79" s="2">
        <v>468</v>
      </c>
      <c r="O79" s="2">
        <v>270</v>
      </c>
      <c r="P79" s="2">
        <v>48</v>
      </c>
      <c r="R79" s="2">
        <v>174</v>
      </c>
      <c r="S79" s="2">
        <v>148</v>
      </c>
    </row>
    <row r="80" spans="1:19" x14ac:dyDescent="0.2">
      <c r="A80" s="2">
        <v>71</v>
      </c>
      <c r="B80" s="2" t="s">
        <v>1035</v>
      </c>
      <c r="C80" s="19">
        <f t="shared" si="3"/>
        <v>32758</v>
      </c>
      <c r="D80" s="2">
        <v>1635</v>
      </c>
      <c r="F80" s="2">
        <v>9000</v>
      </c>
      <c r="G80" s="2">
        <v>1723</v>
      </c>
      <c r="H80" s="2">
        <v>251</v>
      </c>
      <c r="I80" s="2">
        <v>348</v>
      </c>
      <c r="J80" s="2">
        <v>354</v>
      </c>
      <c r="K80" s="2">
        <v>548</v>
      </c>
      <c r="L80" s="2">
        <v>730</v>
      </c>
    </row>
    <row r="82" spans="3:19" x14ac:dyDescent="0.2">
      <c r="G82" s="8" t="s">
        <v>123</v>
      </c>
      <c r="H82" s="8" t="s">
        <v>118</v>
      </c>
      <c r="I82" s="8" t="s">
        <v>134</v>
      </c>
      <c r="J82" s="8" t="s">
        <v>965</v>
      </c>
      <c r="K82" s="8" t="s">
        <v>117</v>
      </c>
      <c r="L82" s="8" t="s">
        <v>115</v>
      </c>
      <c r="M82" s="8" t="s">
        <v>138</v>
      </c>
      <c r="N82" s="8" t="s">
        <v>136</v>
      </c>
      <c r="O82" s="8" t="s">
        <v>130</v>
      </c>
      <c r="P82" s="8" t="s">
        <v>133</v>
      </c>
      <c r="Q82" s="8" t="s">
        <v>127</v>
      </c>
      <c r="R82" s="8" t="s">
        <v>121</v>
      </c>
      <c r="S82" s="8" t="s">
        <v>112</v>
      </c>
    </row>
    <row r="83" spans="3:19" x14ac:dyDescent="0.2">
      <c r="G83" s="8" t="s">
        <v>266</v>
      </c>
      <c r="H83" s="8" t="s">
        <v>266</v>
      </c>
      <c r="I83" s="8" t="s">
        <v>371</v>
      </c>
      <c r="J83" s="8" t="s">
        <v>371</v>
      </c>
      <c r="K83" s="8" t="s">
        <v>266</v>
      </c>
      <c r="L83" s="8" t="s">
        <v>144</v>
      </c>
      <c r="M83" s="8" t="s">
        <v>266</v>
      </c>
      <c r="N83" s="8" t="s">
        <v>144</v>
      </c>
      <c r="O83" s="8" t="s">
        <v>144</v>
      </c>
      <c r="P83" s="8" t="s">
        <v>144</v>
      </c>
      <c r="Q83" s="8" t="s">
        <v>144</v>
      </c>
      <c r="R83" s="8" t="s">
        <v>144</v>
      </c>
      <c r="S83" s="8" t="s">
        <v>144</v>
      </c>
    </row>
    <row r="85" spans="3:19" x14ac:dyDescent="0.2">
      <c r="C85" s="7">
        <f>AVERAGE(C10:C80)</f>
        <v>32756.12676056338</v>
      </c>
      <c r="F85" s="4">
        <f t="shared" ref="F85:S85" si="4">AVERAGE(F10:F80)</f>
        <v>6373.2758620689656</v>
      </c>
      <c r="G85" s="4">
        <f t="shared" si="4"/>
        <v>1759.1571428571428</v>
      </c>
      <c r="H85" s="4">
        <f t="shared" si="4"/>
        <v>630.55714285714282</v>
      </c>
      <c r="I85" s="4">
        <f t="shared" si="4"/>
        <v>363.6</v>
      </c>
      <c r="J85" s="4">
        <f t="shared" si="4"/>
        <v>367.31428571428569</v>
      </c>
      <c r="K85" s="4">
        <f t="shared" si="4"/>
        <v>654.82857142857142</v>
      </c>
      <c r="L85" s="4">
        <f t="shared" si="4"/>
        <v>870.01428571428573</v>
      </c>
      <c r="M85" s="4">
        <f t="shared" si="4"/>
        <v>338.23088235294114</v>
      </c>
      <c r="N85" s="4">
        <f t="shared" si="4"/>
        <v>706.08823529411768</v>
      </c>
      <c r="O85" s="4">
        <f t="shared" si="4"/>
        <v>518.60294117647061</v>
      </c>
      <c r="P85" s="4">
        <f t="shared" si="4"/>
        <v>52.058823529411768</v>
      </c>
      <c r="Q85" s="4">
        <f t="shared" si="4"/>
        <v>31.057142857142857</v>
      </c>
      <c r="R85" s="4">
        <f t="shared" si="4"/>
        <v>272.35294117647061</v>
      </c>
      <c r="S85" s="4">
        <f t="shared" si="4"/>
        <v>151</v>
      </c>
    </row>
    <row r="86" spans="3:19" x14ac:dyDescent="0.2">
      <c r="F86" s="4">
        <f t="shared" ref="F86:S86" si="5">STDEV(F10:F80)</f>
        <v>3444.6782692590295</v>
      </c>
      <c r="G86" s="4">
        <f t="shared" si="5"/>
        <v>136.61366618614653</v>
      </c>
      <c r="H86" s="4">
        <f t="shared" si="5"/>
        <v>1532.1751388492312</v>
      </c>
      <c r="I86" s="4">
        <f t="shared" si="5"/>
        <v>35.689238421832918</v>
      </c>
      <c r="J86" s="4">
        <f t="shared" si="5"/>
        <v>34.812767463502659</v>
      </c>
      <c r="K86" s="4">
        <f t="shared" si="5"/>
        <v>436.96661801423591</v>
      </c>
      <c r="L86" s="4">
        <f t="shared" si="5"/>
        <v>530.43519165547821</v>
      </c>
      <c r="M86" s="4">
        <f t="shared" si="5"/>
        <v>4.577500372211281</v>
      </c>
      <c r="N86" s="4">
        <f t="shared" si="5"/>
        <v>1859.0398800672408</v>
      </c>
      <c r="O86" s="4">
        <f t="shared" si="5"/>
        <v>1921.7848213816012</v>
      </c>
      <c r="P86" s="4">
        <f t="shared" si="5"/>
        <v>15.733681290577483</v>
      </c>
      <c r="Q86" s="4">
        <f t="shared" si="5"/>
        <v>39.576391400714151</v>
      </c>
      <c r="R86" s="4">
        <f t="shared" si="5"/>
        <v>330.87183633662841</v>
      </c>
      <c r="S86" s="4">
        <f t="shared" si="5"/>
        <v>17.409895967866674</v>
      </c>
    </row>
    <row r="87" spans="3:19" x14ac:dyDescent="0.2">
      <c r="F87" s="2">
        <f t="shared" ref="F87:S87" si="6">COUNTA(F10:F80)</f>
        <v>58</v>
      </c>
      <c r="G87" s="2">
        <f t="shared" si="6"/>
        <v>70</v>
      </c>
      <c r="H87" s="2">
        <f t="shared" si="6"/>
        <v>70</v>
      </c>
      <c r="I87" s="2">
        <f t="shared" si="6"/>
        <v>70</v>
      </c>
      <c r="J87" s="2">
        <f t="shared" si="6"/>
        <v>70</v>
      </c>
      <c r="K87" s="2">
        <f t="shared" si="6"/>
        <v>70</v>
      </c>
      <c r="L87" s="2">
        <f t="shared" si="6"/>
        <v>70</v>
      </c>
      <c r="M87" s="2">
        <f t="shared" si="6"/>
        <v>68</v>
      </c>
      <c r="N87" s="2">
        <f t="shared" si="6"/>
        <v>68</v>
      </c>
      <c r="O87" s="2">
        <f t="shared" si="6"/>
        <v>68</v>
      </c>
      <c r="P87" s="2">
        <f t="shared" si="6"/>
        <v>68</v>
      </c>
      <c r="Q87" s="2">
        <f t="shared" si="6"/>
        <v>35</v>
      </c>
      <c r="R87" s="2">
        <f t="shared" si="6"/>
        <v>68</v>
      </c>
      <c r="S87" s="2">
        <f t="shared" si="6"/>
        <v>68</v>
      </c>
    </row>
  </sheetData>
  <pageMargins left="0.5" right="0.5" top="0.75" bottom="0.75" header="0.5" footer="0.5"/>
  <pageSetup orientation="portrait" horizontalDpi="0" verticalDpi="0" copies="0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2"/>
  <sheetViews>
    <sheetView showOutlineSymbols="0" defaultGridColor="0" colorId="9" workbookViewId="0">
      <selection activeCell="A2" sqref="A2"/>
    </sheetView>
  </sheetViews>
  <sheetFormatPr defaultColWidth="8.6640625" defaultRowHeight="15" x14ac:dyDescent="0.2"/>
  <cols>
    <col min="1" max="16384" width="8.6640625" style="2"/>
  </cols>
  <sheetData>
    <row r="1" spans="1:27" ht="18" x14ac:dyDescent="0.25">
      <c r="A1" s="18" t="s">
        <v>1036</v>
      </c>
      <c r="L1" s="15" t="s">
        <v>1037</v>
      </c>
      <c r="AA1" s="2" t="s">
        <v>1</v>
      </c>
    </row>
    <row r="2" spans="1:27" x14ac:dyDescent="0.2">
      <c r="A2" s="2" t="s">
        <v>1038</v>
      </c>
      <c r="AA2" s="2" t="s">
        <v>1</v>
      </c>
    </row>
    <row r="3" spans="1:27" x14ac:dyDescent="0.2">
      <c r="A3" s="8" t="s">
        <v>284</v>
      </c>
      <c r="B3" s="15" t="s">
        <v>285</v>
      </c>
      <c r="C3" s="15" t="s">
        <v>253</v>
      </c>
      <c r="D3" s="8" t="s">
        <v>286</v>
      </c>
      <c r="E3" s="15" t="s">
        <v>203</v>
      </c>
      <c r="F3" s="8" t="s">
        <v>117</v>
      </c>
      <c r="G3" s="8" t="s">
        <v>118</v>
      </c>
      <c r="H3" s="8" t="s">
        <v>123</v>
      </c>
      <c r="I3" s="8" t="s">
        <v>134</v>
      </c>
      <c r="J3" s="8" t="s">
        <v>138</v>
      </c>
      <c r="K3" s="8" t="s">
        <v>136</v>
      </c>
      <c r="L3" s="8" t="s">
        <v>130</v>
      </c>
      <c r="M3" s="8" t="s">
        <v>133</v>
      </c>
      <c r="N3" s="8" t="s">
        <v>127</v>
      </c>
      <c r="O3" s="8" t="s">
        <v>121</v>
      </c>
      <c r="P3" s="8" t="s">
        <v>112</v>
      </c>
      <c r="Q3" s="8" t="s">
        <v>124</v>
      </c>
      <c r="R3" s="8" t="s">
        <v>114</v>
      </c>
      <c r="S3" s="8" t="s">
        <v>126</v>
      </c>
      <c r="T3" s="8" t="s">
        <v>122</v>
      </c>
      <c r="U3" s="8" t="s">
        <v>113</v>
      </c>
      <c r="V3" s="8" t="s">
        <v>131</v>
      </c>
      <c r="W3" s="8" t="s">
        <v>129</v>
      </c>
      <c r="X3" s="8" t="s">
        <v>149</v>
      </c>
      <c r="Y3" s="8" t="s">
        <v>151</v>
      </c>
      <c r="AA3" s="2" t="s">
        <v>1</v>
      </c>
    </row>
    <row r="4" spans="1:27" x14ac:dyDescent="0.2">
      <c r="A4" s="8" t="s">
        <v>289</v>
      </c>
      <c r="B4" s="15" t="s">
        <v>367</v>
      </c>
      <c r="F4" s="8" t="s">
        <v>266</v>
      </c>
      <c r="G4" s="8" t="s">
        <v>266</v>
      </c>
      <c r="H4" s="8" t="s">
        <v>266</v>
      </c>
      <c r="I4" s="8" t="s">
        <v>371</v>
      </c>
      <c r="J4" s="8" t="s">
        <v>266</v>
      </c>
      <c r="K4" s="8" t="s">
        <v>144</v>
      </c>
      <c r="L4" s="8" t="s">
        <v>144</v>
      </c>
      <c r="M4" s="8" t="s">
        <v>144</v>
      </c>
      <c r="N4" s="8" t="s">
        <v>144</v>
      </c>
      <c r="O4" s="8" t="s">
        <v>144</v>
      </c>
      <c r="P4" s="8" t="s">
        <v>144</v>
      </c>
      <c r="Q4" s="8" t="s">
        <v>144</v>
      </c>
      <c r="R4" s="8" t="s">
        <v>144</v>
      </c>
      <c r="S4" s="8" t="s">
        <v>144</v>
      </c>
      <c r="T4" s="8" t="s">
        <v>144</v>
      </c>
      <c r="U4" s="8" t="s">
        <v>144</v>
      </c>
      <c r="V4" s="8" t="s">
        <v>144</v>
      </c>
      <c r="W4" s="8" t="s">
        <v>144</v>
      </c>
      <c r="X4" s="8" t="s">
        <v>144</v>
      </c>
      <c r="Y4" s="8" t="s">
        <v>144</v>
      </c>
      <c r="AA4" s="2" t="s">
        <v>1</v>
      </c>
    </row>
    <row r="5" spans="1:27" x14ac:dyDescent="0.2">
      <c r="AA5" s="2" t="s">
        <v>1</v>
      </c>
    </row>
    <row r="6" spans="1:27" x14ac:dyDescent="0.2">
      <c r="A6" s="2">
        <v>1</v>
      </c>
      <c r="B6" s="2" t="s">
        <v>305</v>
      </c>
      <c r="C6" s="7">
        <f>DATE(87,6,25)</f>
        <v>31953</v>
      </c>
      <c r="D6" s="8" t="s">
        <v>1039</v>
      </c>
      <c r="G6" s="2">
        <v>383</v>
      </c>
      <c r="H6" s="2">
        <v>1754</v>
      </c>
      <c r="I6" s="2">
        <v>368</v>
      </c>
      <c r="J6" s="2">
        <v>312</v>
      </c>
      <c r="K6" s="2">
        <v>973</v>
      </c>
      <c r="L6" s="2">
        <v>3531</v>
      </c>
      <c r="M6" s="2">
        <v>8004</v>
      </c>
      <c r="N6" s="2">
        <v>24</v>
      </c>
      <c r="O6" s="2">
        <v>711</v>
      </c>
      <c r="P6" s="2">
        <v>105</v>
      </c>
      <c r="Q6" s="2">
        <v>163</v>
      </c>
      <c r="R6" s="2">
        <v>250</v>
      </c>
      <c r="S6" s="2">
        <v>2750</v>
      </c>
      <c r="T6" s="2">
        <v>1380</v>
      </c>
      <c r="U6" s="2">
        <v>46800</v>
      </c>
      <c r="V6" s="2">
        <v>3030</v>
      </c>
      <c r="W6" s="2">
        <v>337</v>
      </c>
      <c r="X6" s="2">
        <v>867</v>
      </c>
      <c r="Y6" s="2">
        <v>1420</v>
      </c>
      <c r="AA6" s="2" t="s">
        <v>1</v>
      </c>
    </row>
    <row r="7" spans="1:27" x14ac:dyDescent="0.2">
      <c r="A7" s="2">
        <v>2</v>
      </c>
      <c r="B7" s="2" t="s">
        <v>307</v>
      </c>
      <c r="C7" s="7">
        <f>DATE(87,6,25)</f>
        <v>31953</v>
      </c>
      <c r="D7" s="2">
        <v>1100</v>
      </c>
      <c r="F7" s="2">
        <v>918</v>
      </c>
      <c r="G7" s="2">
        <v>545</v>
      </c>
      <c r="H7" s="2">
        <v>1808</v>
      </c>
      <c r="I7" s="2">
        <v>371</v>
      </c>
      <c r="J7" s="2">
        <v>318</v>
      </c>
      <c r="K7" s="2">
        <v>1281</v>
      </c>
      <c r="L7" s="2">
        <v>7193</v>
      </c>
      <c r="M7" s="2">
        <v>3297</v>
      </c>
      <c r="N7" s="2">
        <v>46</v>
      </c>
      <c r="O7" s="2">
        <v>1156</v>
      </c>
      <c r="P7" s="2">
        <v>102</v>
      </c>
      <c r="Q7" s="2">
        <v>107</v>
      </c>
      <c r="R7" s="2">
        <v>1033</v>
      </c>
      <c r="AA7" s="2" t="s">
        <v>1</v>
      </c>
    </row>
    <row r="8" spans="1:27" x14ac:dyDescent="0.2">
      <c r="A8" s="2">
        <v>3</v>
      </c>
      <c r="B8" s="2" t="s">
        <v>345</v>
      </c>
      <c r="C8" s="7">
        <f>DATE(87,6,25)</f>
        <v>31953</v>
      </c>
      <c r="D8" s="2">
        <v>1900</v>
      </c>
      <c r="F8" s="2">
        <v>779</v>
      </c>
      <c r="G8" s="2">
        <v>571</v>
      </c>
      <c r="H8" s="2">
        <v>1817</v>
      </c>
      <c r="I8" s="2">
        <v>372</v>
      </c>
      <c r="J8" s="2">
        <v>311</v>
      </c>
      <c r="K8" s="2">
        <v>798</v>
      </c>
      <c r="L8" s="2">
        <v>690</v>
      </c>
      <c r="M8" s="2">
        <v>6328</v>
      </c>
      <c r="N8" s="2">
        <v>27</v>
      </c>
      <c r="O8" s="2">
        <v>1210</v>
      </c>
      <c r="P8" s="2">
        <v>105</v>
      </c>
      <c r="Q8" s="2">
        <v>232</v>
      </c>
      <c r="R8" s="2">
        <v>477</v>
      </c>
      <c r="S8" s="2">
        <v>4120</v>
      </c>
      <c r="T8" s="2">
        <v>2610</v>
      </c>
      <c r="U8" s="2">
        <v>3690</v>
      </c>
      <c r="V8" s="2">
        <v>5540</v>
      </c>
      <c r="W8" s="2">
        <v>1100</v>
      </c>
      <c r="X8" s="2">
        <v>1830</v>
      </c>
      <c r="Y8" s="2">
        <v>3210</v>
      </c>
      <c r="AA8" s="2" t="s">
        <v>1</v>
      </c>
    </row>
    <row r="9" spans="1:27" x14ac:dyDescent="0.2">
      <c r="A9" s="2">
        <v>4</v>
      </c>
      <c r="B9" s="2" t="s">
        <v>325</v>
      </c>
      <c r="C9" s="7">
        <f>DATE(87,6,26)</f>
        <v>31954</v>
      </c>
      <c r="D9" s="8" t="s">
        <v>1039</v>
      </c>
      <c r="F9" s="2">
        <v>666</v>
      </c>
      <c r="G9" s="2">
        <v>432</v>
      </c>
      <c r="H9" s="2">
        <v>1742</v>
      </c>
      <c r="I9" s="2">
        <v>365</v>
      </c>
      <c r="J9" s="2">
        <v>311</v>
      </c>
      <c r="K9" s="2">
        <v>575</v>
      </c>
      <c r="L9" s="2">
        <v>386</v>
      </c>
      <c r="M9" s="2">
        <v>7101</v>
      </c>
      <c r="N9" s="2">
        <v>22</v>
      </c>
      <c r="O9" s="2">
        <v>514</v>
      </c>
      <c r="P9" s="2">
        <v>104</v>
      </c>
      <c r="Q9" s="2">
        <v>55</v>
      </c>
      <c r="R9" s="2">
        <v>178</v>
      </c>
      <c r="S9" s="2">
        <v>2070</v>
      </c>
      <c r="T9" s="2">
        <v>1510</v>
      </c>
      <c r="U9" s="2">
        <v>3720</v>
      </c>
      <c r="V9" s="2">
        <v>1950</v>
      </c>
      <c r="W9" s="2">
        <v>389</v>
      </c>
      <c r="X9" s="2">
        <v>612</v>
      </c>
      <c r="Y9" s="2">
        <v>1260</v>
      </c>
      <c r="AA9" s="2" t="s">
        <v>1</v>
      </c>
    </row>
    <row r="10" spans="1:27" x14ac:dyDescent="0.2">
      <c r="A10" s="2">
        <v>5</v>
      </c>
      <c r="B10" s="2" t="s">
        <v>293</v>
      </c>
      <c r="C10" s="7">
        <f>DATE(87,6,26)</f>
        <v>31954</v>
      </c>
      <c r="D10" s="2">
        <v>1100</v>
      </c>
      <c r="F10" s="2">
        <v>983</v>
      </c>
      <c r="G10" s="2">
        <v>981</v>
      </c>
      <c r="H10" s="2">
        <v>1923</v>
      </c>
      <c r="I10" s="2">
        <v>376</v>
      </c>
      <c r="J10" s="2">
        <v>313</v>
      </c>
      <c r="K10" s="2">
        <v>978</v>
      </c>
      <c r="L10" s="2">
        <v>626</v>
      </c>
      <c r="M10" s="2">
        <v>2718</v>
      </c>
      <c r="N10" s="2">
        <v>48</v>
      </c>
      <c r="O10" s="2">
        <v>1408</v>
      </c>
      <c r="P10" s="2">
        <v>100</v>
      </c>
      <c r="Q10" s="2">
        <v>39</v>
      </c>
      <c r="R10" s="2">
        <v>638</v>
      </c>
      <c r="S10" s="2">
        <v>6130</v>
      </c>
      <c r="T10" s="2">
        <v>3850</v>
      </c>
      <c r="U10" s="2">
        <v>8180</v>
      </c>
      <c r="V10" s="2">
        <v>6870</v>
      </c>
      <c r="W10" s="2">
        <v>553</v>
      </c>
      <c r="X10" s="2">
        <v>2270</v>
      </c>
      <c r="Y10" s="2">
        <v>4060</v>
      </c>
      <c r="AA10" s="2" t="s">
        <v>1</v>
      </c>
    </row>
    <row r="11" spans="1:27" x14ac:dyDescent="0.2">
      <c r="A11" s="2">
        <v>6</v>
      </c>
      <c r="B11" s="2" t="s">
        <v>1040</v>
      </c>
      <c r="C11" s="7">
        <f>DATE(87,6,26)</f>
        <v>31954</v>
      </c>
      <c r="D11" s="2">
        <v>1900</v>
      </c>
      <c r="F11" s="2">
        <v>933</v>
      </c>
      <c r="G11" s="2">
        <v>946</v>
      </c>
      <c r="H11" s="2">
        <v>1861</v>
      </c>
      <c r="I11" s="2">
        <v>376</v>
      </c>
      <c r="J11" s="2">
        <v>309</v>
      </c>
      <c r="K11" s="2">
        <v>960</v>
      </c>
      <c r="L11" s="2">
        <v>470</v>
      </c>
      <c r="M11" s="2">
        <v>2906</v>
      </c>
      <c r="N11" s="2">
        <v>63</v>
      </c>
      <c r="O11" s="2">
        <v>1619</v>
      </c>
      <c r="P11" s="2">
        <v>105</v>
      </c>
      <c r="Q11" s="2">
        <v>87</v>
      </c>
      <c r="R11" s="2">
        <v>900</v>
      </c>
      <c r="S11" s="2">
        <v>5400</v>
      </c>
      <c r="T11" s="2">
        <v>4150</v>
      </c>
      <c r="U11" s="2">
        <v>4480</v>
      </c>
      <c r="V11" s="2">
        <v>6630</v>
      </c>
      <c r="W11" s="2">
        <v>575</v>
      </c>
      <c r="X11" s="2">
        <v>2270</v>
      </c>
      <c r="Y11" s="2">
        <v>4070</v>
      </c>
      <c r="AA11" s="2" t="s">
        <v>1</v>
      </c>
    </row>
    <row r="12" spans="1:27" x14ac:dyDescent="0.2">
      <c r="A12" s="2">
        <v>7</v>
      </c>
      <c r="B12" s="2" t="s">
        <v>1041</v>
      </c>
      <c r="C12" s="7">
        <f>DATE(87,6,27)</f>
        <v>31955</v>
      </c>
      <c r="D12" s="8" t="s">
        <v>1039</v>
      </c>
      <c r="F12" s="2">
        <v>767</v>
      </c>
      <c r="G12" s="2">
        <v>585</v>
      </c>
      <c r="H12" s="2">
        <v>1784</v>
      </c>
      <c r="I12" s="2">
        <v>369</v>
      </c>
      <c r="J12" s="2">
        <v>312</v>
      </c>
      <c r="K12" s="2">
        <v>712</v>
      </c>
      <c r="L12" s="2">
        <v>449</v>
      </c>
      <c r="M12" s="2">
        <v>5275</v>
      </c>
      <c r="N12" s="2">
        <v>28</v>
      </c>
      <c r="O12" s="2">
        <v>788</v>
      </c>
      <c r="P12" s="2">
        <v>106</v>
      </c>
      <c r="Q12" s="2">
        <v>43</v>
      </c>
      <c r="R12" s="2">
        <v>353</v>
      </c>
      <c r="S12" s="2">
        <v>3240</v>
      </c>
      <c r="T12" s="2">
        <v>2310</v>
      </c>
      <c r="U12" s="2">
        <v>5010</v>
      </c>
      <c r="V12" s="2">
        <v>3250</v>
      </c>
      <c r="W12" s="2">
        <v>349</v>
      </c>
      <c r="X12" s="2">
        <v>996</v>
      </c>
      <c r="Y12" s="2">
        <v>1830</v>
      </c>
      <c r="AA12" s="2" t="s">
        <v>1</v>
      </c>
    </row>
    <row r="13" spans="1:27" x14ac:dyDescent="0.2">
      <c r="A13" s="2">
        <v>8</v>
      </c>
      <c r="B13" s="2" t="s">
        <v>1042</v>
      </c>
      <c r="C13" s="7">
        <f>DATE(87,6,27)</f>
        <v>31955</v>
      </c>
      <c r="D13" s="2">
        <v>1100</v>
      </c>
      <c r="F13" s="2">
        <v>925</v>
      </c>
      <c r="G13" s="2">
        <v>650</v>
      </c>
      <c r="H13" s="2">
        <v>1827</v>
      </c>
      <c r="I13" s="2">
        <v>370</v>
      </c>
      <c r="J13" s="2">
        <v>314</v>
      </c>
      <c r="K13" s="2">
        <v>724</v>
      </c>
      <c r="L13" s="2">
        <v>372</v>
      </c>
      <c r="M13" s="2">
        <v>1730</v>
      </c>
      <c r="N13" s="2">
        <v>37</v>
      </c>
      <c r="O13" s="2">
        <v>865</v>
      </c>
      <c r="P13" s="2">
        <v>101</v>
      </c>
      <c r="R13" s="2">
        <v>348</v>
      </c>
      <c r="S13" s="2">
        <v>3920</v>
      </c>
      <c r="T13" s="2">
        <v>2810</v>
      </c>
      <c r="U13" s="2">
        <v>4110</v>
      </c>
      <c r="V13" s="2">
        <v>3740</v>
      </c>
      <c r="W13" s="2">
        <v>803</v>
      </c>
      <c r="X13" s="2">
        <v>1210</v>
      </c>
      <c r="Y13" s="2">
        <v>2430</v>
      </c>
      <c r="AA13" s="2" t="s">
        <v>1</v>
      </c>
    </row>
    <row r="14" spans="1:27" x14ac:dyDescent="0.2">
      <c r="A14" s="2">
        <v>9</v>
      </c>
      <c r="B14" s="2" t="s">
        <v>1043</v>
      </c>
      <c r="C14" s="7">
        <f>DATE(87,6,27)</f>
        <v>31955</v>
      </c>
      <c r="D14" s="2">
        <v>1900</v>
      </c>
      <c r="F14" s="2">
        <v>697</v>
      </c>
      <c r="G14" s="2">
        <v>328</v>
      </c>
      <c r="H14" s="2">
        <v>1743</v>
      </c>
      <c r="I14" s="2">
        <v>364</v>
      </c>
      <c r="J14" s="2">
        <v>312</v>
      </c>
      <c r="K14" s="2">
        <v>541</v>
      </c>
      <c r="L14" s="2">
        <v>331</v>
      </c>
      <c r="M14" s="2">
        <v>3047</v>
      </c>
      <c r="N14" s="2">
        <v>36</v>
      </c>
      <c r="O14" s="2">
        <v>500</v>
      </c>
      <c r="P14" s="2">
        <v>109</v>
      </c>
      <c r="Q14" s="2">
        <v>62</v>
      </c>
      <c r="R14" s="2">
        <v>202</v>
      </c>
      <c r="S14" s="2">
        <v>2130</v>
      </c>
      <c r="T14" s="2">
        <v>1610</v>
      </c>
      <c r="U14" s="2">
        <v>1722</v>
      </c>
      <c r="V14" s="2">
        <v>1740</v>
      </c>
      <c r="W14" s="2">
        <v>397</v>
      </c>
      <c r="X14" s="2">
        <v>634</v>
      </c>
      <c r="Y14" s="2">
        <v>1250</v>
      </c>
      <c r="AA14" s="2" t="s">
        <v>1</v>
      </c>
    </row>
    <row r="15" spans="1:27" x14ac:dyDescent="0.2">
      <c r="A15" s="2">
        <v>10</v>
      </c>
      <c r="B15" s="2" t="s">
        <v>1044</v>
      </c>
      <c r="C15" s="7">
        <f>DATE(87,6,28)</f>
        <v>31956</v>
      </c>
      <c r="D15" s="8" t="s">
        <v>1039</v>
      </c>
      <c r="F15" s="2">
        <v>673</v>
      </c>
      <c r="G15" s="2">
        <v>365</v>
      </c>
      <c r="H15" s="2">
        <v>1745</v>
      </c>
      <c r="I15" s="2">
        <v>365</v>
      </c>
      <c r="J15" s="2">
        <v>311</v>
      </c>
      <c r="K15" s="2">
        <v>568</v>
      </c>
      <c r="L15" s="2">
        <v>318</v>
      </c>
      <c r="M15" s="2">
        <v>6333</v>
      </c>
      <c r="N15" s="2">
        <v>23</v>
      </c>
      <c r="O15" s="2">
        <v>397</v>
      </c>
      <c r="P15" s="2">
        <v>108</v>
      </c>
      <c r="Q15" s="2">
        <v>33</v>
      </c>
      <c r="R15" s="2">
        <v>128</v>
      </c>
      <c r="S15" s="2">
        <v>2360</v>
      </c>
      <c r="T15" s="2">
        <v>2460</v>
      </c>
      <c r="U15" s="2">
        <v>26300</v>
      </c>
      <c r="V15" s="2">
        <v>3270</v>
      </c>
      <c r="W15" s="2">
        <v>6900</v>
      </c>
      <c r="X15" s="2">
        <v>736</v>
      </c>
      <c r="Y15" s="2">
        <v>1350</v>
      </c>
      <c r="AA15" s="2" t="s">
        <v>1</v>
      </c>
    </row>
    <row r="16" spans="1:27" x14ac:dyDescent="0.2">
      <c r="A16" s="2">
        <v>11</v>
      </c>
      <c r="B16" s="2" t="s">
        <v>347</v>
      </c>
      <c r="C16" s="7">
        <f>DATE(87,6,28)</f>
        <v>31956</v>
      </c>
      <c r="D16" s="2">
        <v>1100</v>
      </c>
      <c r="F16" s="2">
        <v>745</v>
      </c>
      <c r="G16" s="2">
        <v>476</v>
      </c>
      <c r="H16" s="2">
        <v>1801</v>
      </c>
      <c r="I16" s="2">
        <v>367</v>
      </c>
      <c r="J16" s="2">
        <v>312</v>
      </c>
      <c r="K16" s="2">
        <v>570</v>
      </c>
      <c r="L16" s="2">
        <v>356</v>
      </c>
      <c r="M16" s="2">
        <v>1420</v>
      </c>
      <c r="N16" s="2">
        <v>34</v>
      </c>
      <c r="O16" s="2">
        <v>445</v>
      </c>
      <c r="P16" s="2">
        <v>107</v>
      </c>
      <c r="Q16" s="2">
        <v>12</v>
      </c>
      <c r="R16" s="2">
        <v>130</v>
      </c>
      <c r="S16" s="2">
        <v>2300</v>
      </c>
      <c r="T16" s="2">
        <v>1870</v>
      </c>
      <c r="U16" s="2">
        <v>1870</v>
      </c>
      <c r="V16" s="2">
        <v>2500</v>
      </c>
      <c r="W16" s="2">
        <v>554</v>
      </c>
      <c r="X16" s="2">
        <v>652</v>
      </c>
      <c r="Y16" s="2">
        <v>1450</v>
      </c>
      <c r="AA16" s="2" t="s">
        <v>1</v>
      </c>
    </row>
    <row r="17" spans="1:27" x14ac:dyDescent="0.2">
      <c r="A17" s="2">
        <v>12</v>
      </c>
      <c r="B17" s="2" t="s">
        <v>1045</v>
      </c>
      <c r="C17" s="7">
        <f>DATE(87,6,28)</f>
        <v>31956</v>
      </c>
      <c r="D17" s="2">
        <v>1900</v>
      </c>
      <c r="F17" s="2">
        <v>690</v>
      </c>
      <c r="G17" s="2">
        <v>375</v>
      </c>
      <c r="H17" s="2">
        <v>1775</v>
      </c>
      <c r="I17" s="2">
        <v>366</v>
      </c>
      <c r="J17" s="2">
        <v>311</v>
      </c>
      <c r="K17" s="2">
        <v>553</v>
      </c>
      <c r="L17" s="2">
        <v>324</v>
      </c>
      <c r="M17" s="2">
        <v>2597</v>
      </c>
      <c r="N17" s="2">
        <v>37</v>
      </c>
      <c r="O17" s="2">
        <v>391</v>
      </c>
      <c r="P17" s="2">
        <v>113</v>
      </c>
      <c r="Q17" s="2">
        <v>55</v>
      </c>
      <c r="R17" s="2">
        <v>79</v>
      </c>
      <c r="S17" s="2">
        <v>3360</v>
      </c>
      <c r="T17" s="2">
        <v>2120</v>
      </c>
      <c r="U17" s="2">
        <v>1910</v>
      </c>
      <c r="V17" s="2">
        <v>3520</v>
      </c>
      <c r="W17" s="2">
        <v>500</v>
      </c>
      <c r="X17" s="2">
        <v>1460</v>
      </c>
      <c r="Y17" s="2">
        <v>2380</v>
      </c>
      <c r="AA17" s="2" t="s">
        <v>1</v>
      </c>
    </row>
    <row r="18" spans="1:27" x14ac:dyDescent="0.2">
      <c r="A18" s="2">
        <v>13</v>
      </c>
      <c r="B18" s="2" t="s">
        <v>1046</v>
      </c>
      <c r="C18" s="7">
        <f>DATE(87,6,29)</f>
        <v>31957</v>
      </c>
      <c r="D18" s="8" t="s">
        <v>1039</v>
      </c>
      <c r="F18" s="2">
        <v>644</v>
      </c>
      <c r="G18" s="2">
        <v>300</v>
      </c>
      <c r="H18" s="2">
        <v>1759</v>
      </c>
      <c r="I18" s="2">
        <v>363</v>
      </c>
      <c r="J18" s="2">
        <v>313</v>
      </c>
      <c r="K18" s="2">
        <v>592</v>
      </c>
      <c r="L18" s="2">
        <v>540</v>
      </c>
      <c r="M18" s="2">
        <v>5481</v>
      </c>
      <c r="N18" s="2">
        <v>22</v>
      </c>
      <c r="O18" s="2">
        <v>408</v>
      </c>
      <c r="P18" s="2">
        <v>110</v>
      </c>
      <c r="Q18" s="2">
        <v>32</v>
      </c>
      <c r="R18" s="2">
        <v>56</v>
      </c>
      <c r="S18" s="2">
        <v>2100</v>
      </c>
      <c r="T18" s="2">
        <v>1880</v>
      </c>
      <c r="U18" s="2">
        <v>3340</v>
      </c>
      <c r="V18" s="2">
        <v>1760</v>
      </c>
      <c r="W18" s="2">
        <v>422</v>
      </c>
      <c r="X18" s="2">
        <v>588</v>
      </c>
      <c r="Y18" s="2">
        <v>983</v>
      </c>
      <c r="AA18" s="2" t="s">
        <v>1</v>
      </c>
    </row>
    <row r="19" spans="1:27" x14ac:dyDescent="0.2">
      <c r="A19" s="2">
        <v>14</v>
      </c>
      <c r="B19" s="2" t="s">
        <v>1047</v>
      </c>
      <c r="C19" s="7">
        <f>DATE(87,6,29)</f>
        <v>31957</v>
      </c>
      <c r="D19" s="2">
        <v>1100</v>
      </c>
      <c r="F19" s="2">
        <v>783</v>
      </c>
      <c r="G19" s="2">
        <v>558</v>
      </c>
      <c r="H19" s="2">
        <v>1814</v>
      </c>
      <c r="I19" s="2">
        <v>370</v>
      </c>
      <c r="J19" s="2">
        <v>312</v>
      </c>
      <c r="K19" s="2">
        <v>690</v>
      </c>
      <c r="L19" s="2">
        <v>382</v>
      </c>
      <c r="M19" s="2">
        <v>1425</v>
      </c>
      <c r="N19" s="2">
        <v>29</v>
      </c>
      <c r="O19" s="2">
        <v>813</v>
      </c>
      <c r="P19" s="2">
        <v>111</v>
      </c>
      <c r="Q19" s="2">
        <v>31</v>
      </c>
      <c r="R19" s="2">
        <v>307</v>
      </c>
      <c r="S19" s="2">
        <v>3570</v>
      </c>
      <c r="T19" s="2">
        <v>2500</v>
      </c>
      <c r="U19" s="2">
        <v>2690</v>
      </c>
      <c r="V19" s="2">
        <v>4180</v>
      </c>
      <c r="W19" s="2">
        <v>422</v>
      </c>
      <c r="X19" s="2">
        <v>1360</v>
      </c>
      <c r="Y19" s="2">
        <v>2270</v>
      </c>
      <c r="AA19" s="2" t="s">
        <v>1</v>
      </c>
    </row>
    <row r="20" spans="1:27" x14ac:dyDescent="0.2">
      <c r="A20" s="2">
        <v>15</v>
      </c>
      <c r="B20" s="2" t="s">
        <v>1048</v>
      </c>
      <c r="C20" s="7">
        <f>DATE(87,6,29)</f>
        <v>31957</v>
      </c>
      <c r="D20" s="2">
        <v>1900</v>
      </c>
      <c r="F20" s="2">
        <v>805</v>
      </c>
      <c r="G20" s="2">
        <v>592</v>
      </c>
      <c r="H20" s="2">
        <v>1824</v>
      </c>
      <c r="I20" s="2">
        <v>371</v>
      </c>
      <c r="J20" s="2">
        <v>313</v>
      </c>
      <c r="K20" s="2">
        <v>756</v>
      </c>
      <c r="L20" s="2">
        <v>470</v>
      </c>
      <c r="M20" s="2">
        <v>2753</v>
      </c>
      <c r="N20" s="2">
        <v>47</v>
      </c>
      <c r="O20" s="2">
        <v>1244</v>
      </c>
      <c r="P20" s="2">
        <v>108</v>
      </c>
      <c r="Q20" s="2">
        <v>62</v>
      </c>
      <c r="R20" s="2">
        <v>615</v>
      </c>
      <c r="S20" s="2">
        <v>4030</v>
      </c>
      <c r="T20" s="2">
        <v>3210</v>
      </c>
      <c r="U20" s="2">
        <v>2780</v>
      </c>
      <c r="V20" s="2">
        <v>5260</v>
      </c>
      <c r="W20" s="2">
        <v>612</v>
      </c>
      <c r="X20" s="2">
        <v>1700</v>
      </c>
      <c r="Y20" s="2">
        <v>2760</v>
      </c>
      <c r="AA20" s="2" t="s">
        <v>1</v>
      </c>
    </row>
    <row r="21" spans="1:27" x14ac:dyDescent="0.2">
      <c r="A21" s="2">
        <v>16</v>
      </c>
      <c r="B21" s="2" t="s">
        <v>1049</v>
      </c>
      <c r="C21" s="7">
        <f>DATE(87,6,30)</f>
        <v>31958</v>
      </c>
      <c r="D21" s="8" t="s">
        <v>1039</v>
      </c>
      <c r="F21" s="2">
        <v>728</v>
      </c>
      <c r="G21" s="2">
        <v>489</v>
      </c>
      <c r="H21" s="2">
        <v>1820</v>
      </c>
      <c r="I21" s="2">
        <v>371</v>
      </c>
      <c r="J21" s="2">
        <v>313</v>
      </c>
      <c r="K21" s="2">
        <v>836</v>
      </c>
      <c r="L21" s="2">
        <v>4089</v>
      </c>
      <c r="M21" s="2">
        <v>5241</v>
      </c>
      <c r="N21" s="2">
        <v>97</v>
      </c>
      <c r="O21" s="2">
        <v>1069</v>
      </c>
      <c r="P21" s="2">
        <v>100</v>
      </c>
      <c r="Q21" s="2">
        <v>75</v>
      </c>
      <c r="R21" s="2">
        <v>392</v>
      </c>
      <c r="S21" s="2">
        <v>3840</v>
      </c>
      <c r="T21" s="2">
        <v>2700</v>
      </c>
      <c r="U21" s="2">
        <v>3510</v>
      </c>
      <c r="V21" s="2">
        <v>4010</v>
      </c>
      <c r="W21" s="2">
        <v>463</v>
      </c>
      <c r="X21" s="2">
        <v>1650</v>
      </c>
      <c r="Y21" s="2">
        <v>2690</v>
      </c>
      <c r="AA21" s="2" t="s">
        <v>1</v>
      </c>
    </row>
    <row r="22" spans="1:27" x14ac:dyDescent="0.2">
      <c r="A22" s="2">
        <v>17</v>
      </c>
      <c r="B22" s="2" t="s">
        <v>1050</v>
      </c>
      <c r="C22" s="7">
        <f>DATE(87,6,30)</f>
        <v>31958</v>
      </c>
      <c r="D22" s="2">
        <v>1100</v>
      </c>
      <c r="F22" s="2">
        <v>788</v>
      </c>
      <c r="G22" s="2">
        <v>578</v>
      </c>
      <c r="H22" s="2">
        <v>1825</v>
      </c>
      <c r="I22" s="2">
        <v>371</v>
      </c>
      <c r="J22" s="2">
        <v>311</v>
      </c>
      <c r="K22" s="2">
        <v>745</v>
      </c>
      <c r="L22" s="2">
        <v>1329</v>
      </c>
      <c r="M22" s="2">
        <v>1404</v>
      </c>
      <c r="N22" s="2">
        <v>43</v>
      </c>
      <c r="O22" s="2">
        <v>943</v>
      </c>
      <c r="P22" s="2">
        <v>101</v>
      </c>
      <c r="R22" s="2">
        <v>461</v>
      </c>
      <c r="S22" s="2">
        <v>3910</v>
      </c>
      <c r="T22" s="2">
        <v>2860</v>
      </c>
      <c r="U22" s="2">
        <v>3110</v>
      </c>
      <c r="V22" s="2">
        <v>4850</v>
      </c>
      <c r="W22" s="2">
        <v>509</v>
      </c>
      <c r="X22" s="2">
        <v>1630</v>
      </c>
      <c r="Y22" s="2">
        <v>2620</v>
      </c>
      <c r="AA22" s="2" t="s">
        <v>1</v>
      </c>
    </row>
    <row r="23" spans="1:27" x14ac:dyDescent="0.2">
      <c r="A23" s="2">
        <v>18</v>
      </c>
      <c r="B23" s="2" t="s">
        <v>308</v>
      </c>
      <c r="C23" s="7">
        <f>DATE(87,6,30)</f>
        <v>31958</v>
      </c>
      <c r="D23" s="2">
        <v>1900</v>
      </c>
      <c r="F23" s="2">
        <v>855</v>
      </c>
      <c r="G23" s="2">
        <v>718</v>
      </c>
      <c r="H23" s="2">
        <v>1856</v>
      </c>
      <c r="I23" s="2">
        <v>374</v>
      </c>
      <c r="J23" s="2">
        <v>311</v>
      </c>
      <c r="K23" s="2">
        <v>905</v>
      </c>
      <c r="L23" s="2">
        <v>515</v>
      </c>
      <c r="M23" s="2">
        <v>2578</v>
      </c>
      <c r="N23" s="2">
        <v>52</v>
      </c>
      <c r="O23" s="2">
        <v>1621</v>
      </c>
      <c r="P23" s="2">
        <v>109</v>
      </c>
      <c r="Q23" s="2">
        <v>70</v>
      </c>
      <c r="R23" s="2">
        <v>801</v>
      </c>
      <c r="S23" s="2">
        <v>4870</v>
      </c>
      <c r="T23" s="2">
        <v>3790</v>
      </c>
      <c r="U23" s="2">
        <v>3730</v>
      </c>
      <c r="V23" s="2">
        <v>6790</v>
      </c>
      <c r="W23" s="2">
        <v>627</v>
      </c>
      <c r="X23" s="2">
        <v>2030</v>
      </c>
      <c r="Y23" s="2">
        <v>3520</v>
      </c>
      <c r="AA23" s="2" t="s">
        <v>1</v>
      </c>
    </row>
    <row r="24" spans="1:27" x14ac:dyDescent="0.2">
      <c r="A24" s="2">
        <v>19</v>
      </c>
      <c r="B24" s="2" t="s">
        <v>344</v>
      </c>
      <c r="C24" s="7">
        <f>DATE(87,7,1)</f>
        <v>31959</v>
      </c>
      <c r="D24" s="8" t="s">
        <v>1039</v>
      </c>
      <c r="F24" s="2">
        <v>753</v>
      </c>
      <c r="G24" s="2">
        <v>534</v>
      </c>
      <c r="H24" s="2">
        <v>1786</v>
      </c>
      <c r="I24" s="2">
        <v>369</v>
      </c>
      <c r="J24" s="2">
        <v>312</v>
      </c>
      <c r="K24" s="2">
        <v>707</v>
      </c>
      <c r="L24" s="2">
        <v>369</v>
      </c>
      <c r="M24" s="2">
        <v>5029</v>
      </c>
      <c r="N24" s="2">
        <v>28</v>
      </c>
      <c r="O24" s="2">
        <v>954</v>
      </c>
      <c r="P24" s="2">
        <v>105</v>
      </c>
      <c r="Q24" s="2">
        <v>31</v>
      </c>
      <c r="R24" s="2">
        <v>422</v>
      </c>
      <c r="S24" s="2">
        <v>4720</v>
      </c>
      <c r="T24" s="2">
        <v>3340</v>
      </c>
      <c r="U24" s="2">
        <v>4200</v>
      </c>
      <c r="V24" s="2">
        <v>6580</v>
      </c>
      <c r="W24" s="2">
        <v>405</v>
      </c>
      <c r="X24" s="2">
        <v>1890</v>
      </c>
      <c r="Y24" s="2">
        <v>3390</v>
      </c>
      <c r="AA24" s="2" t="s">
        <v>1</v>
      </c>
    </row>
    <row r="25" spans="1:27" x14ac:dyDescent="0.2">
      <c r="A25" s="2">
        <v>20</v>
      </c>
      <c r="B25" s="2" t="s">
        <v>1051</v>
      </c>
      <c r="C25" s="7">
        <f>DATE(87,7,6)</f>
        <v>31964</v>
      </c>
      <c r="D25" s="2">
        <v>1900</v>
      </c>
      <c r="E25" s="2" t="s">
        <v>1052</v>
      </c>
      <c r="F25" s="2">
        <v>768</v>
      </c>
      <c r="G25" s="2">
        <v>998</v>
      </c>
      <c r="H25" s="2">
        <v>1819</v>
      </c>
      <c r="I25" s="2">
        <v>366</v>
      </c>
      <c r="J25" s="2">
        <v>310</v>
      </c>
      <c r="K25" s="2">
        <v>706</v>
      </c>
      <c r="L25" s="2">
        <v>451</v>
      </c>
      <c r="M25" s="2">
        <v>2714</v>
      </c>
      <c r="N25" s="2">
        <v>52</v>
      </c>
      <c r="O25" s="2">
        <v>1118</v>
      </c>
      <c r="P25" s="2">
        <v>108</v>
      </c>
      <c r="Q25" s="2">
        <v>83</v>
      </c>
      <c r="R25" s="2">
        <v>481</v>
      </c>
      <c r="AA25" s="2" t="s">
        <v>1</v>
      </c>
    </row>
    <row r="26" spans="1:27" x14ac:dyDescent="0.2">
      <c r="A26" s="2">
        <v>21</v>
      </c>
      <c r="B26" s="2" t="s">
        <v>1053</v>
      </c>
      <c r="C26" s="7">
        <f>DATE(87,7,6)</f>
        <v>31964</v>
      </c>
      <c r="D26" s="2">
        <v>1900</v>
      </c>
      <c r="E26" s="2" t="s">
        <v>1052</v>
      </c>
      <c r="F26" s="2">
        <v>786</v>
      </c>
      <c r="G26" s="2">
        <v>1072</v>
      </c>
      <c r="H26" s="2">
        <v>1815</v>
      </c>
      <c r="I26" s="2">
        <v>366</v>
      </c>
      <c r="J26" s="2">
        <v>309</v>
      </c>
      <c r="K26" s="2">
        <v>900</v>
      </c>
      <c r="L26" s="2">
        <v>570</v>
      </c>
      <c r="M26" s="2">
        <v>5584</v>
      </c>
      <c r="N26" s="2">
        <v>39</v>
      </c>
      <c r="O26" s="2">
        <v>1065</v>
      </c>
      <c r="P26" s="2">
        <v>103</v>
      </c>
      <c r="Q26" s="2">
        <v>4</v>
      </c>
      <c r="R26" s="2">
        <v>452</v>
      </c>
      <c r="S26" s="2">
        <v>3910</v>
      </c>
      <c r="T26" s="2">
        <v>2900</v>
      </c>
      <c r="U26" s="2">
        <v>6540</v>
      </c>
      <c r="V26" s="2">
        <v>5130</v>
      </c>
      <c r="W26" s="2">
        <v>608</v>
      </c>
      <c r="X26" s="2">
        <v>1580</v>
      </c>
      <c r="Y26" s="2">
        <v>2780</v>
      </c>
      <c r="AA26" s="2" t="s">
        <v>1</v>
      </c>
    </row>
    <row r="27" spans="1:27" x14ac:dyDescent="0.2">
      <c r="A27" s="2">
        <v>22</v>
      </c>
      <c r="B27" s="2" t="s">
        <v>1054</v>
      </c>
      <c r="C27" s="7">
        <f>DATE(87,7,6)</f>
        <v>31964</v>
      </c>
      <c r="D27" s="2">
        <v>1400</v>
      </c>
      <c r="E27" s="2" t="s">
        <v>1055</v>
      </c>
      <c r="F27" s="2">
        <v>787</v>
      </c>
      <c r="G27" s="2">
        <v>593</v>
      </c>
      <c r="H27" s="2">
        <v>1859</v>
      </c>
      <c r="I27" s="2">
        <v>369</v>
      </c>
      <c r="J27" s="2">
        <v>310</v>
      </c>
      <c r="K27" s="2">
        <v>576</v>
      </c>
      <c r="L27" s="2">
        <v>499</v>
      </c>
      <c r="M27" s="2">
        <v>65</v>
      </c>
      <c r="N27" s="2">
        <v>45</v>
      </c>
      <c r="O27" s="2">
        <v>450</v>
      </c>
      <c r="P27" s="2">
        <v>109</v>
      </c>
      <c r="Q27" s="2">
        <v>17</v>
      </c>
      <c r="R27" s="2">
        <v>123</v>
      </c>
      <c r="AA27" s="2" t="s">
        <v>1</v>
      </c>
    </row>
    <row r="28" spans="1:27" x14ac:dyDescent="0.2">
      <c r="A28" s="2">
        <v>23</v>
      </c>
      <c r="B28" s="2" t="s">
        <v>1056</v>
      </c>
      <c r="C28" s="7">
        <f>DATE(87,7,6)</f>
        <v>31964</v>
      </c>
      <c r="D28" s="2">
        <v>1357</v>
      </c>
      <c r="E28" s="2" t="s">
        <v>1057</v>
      </c>
      <c r="F28" s="2">
        <v>869</v>
      </c>
      <c r="G28" s="2">
        <v>530</v>
      </c>
      <c r="H28" s="2">
        <v>1877</v>
      </c>
      <c r="I28" s="2">
        <v>632</v>
      </c>
      <c r="J28" s="2">
        <v>313</v>
      </c>
      <c r="K28" s="2">
        <v>558</v>
      </c>
      <c r="L28" s="2">
        <v>3208</v>
      </c>
      <c r="M28" s="2">
        <v>128</v>
      </c>
      <c r="O28" s="2">
        <v>1171</v>
      </c>
      <c r="P28" s="2">
        <v>101</v>
      </c>
      <c r="Q28" s="2">
        <v>63</v>
      </c>
      <c r="R28" s="2">
        <v>178</v>
      </c>
      <c r="AA28" s="2" t="s">
        <v>1</v>
      </c>
    </row>
    <row r="29" spans="1:27" x14ac:dyDescent="0.2">
      <c r="A29" s="2">
        <v>24</v>
      </c>
      <c r="B29" s="2" t="s">
        <v>1058</v>
      </c>
      <c r="C29" s="7">
        <f>DATE(87,7,12)</f>
        <v>31970</v>
      </c>
      <c r="D29" s="2">
        <v>1328</v>
      </c>
      <c r="E29" s="2" t="s">
        <v>1057</v>
      </c>
      <c r="F29" s="2">
        <v>812</v>
      </c>
      <c r="G29" s="2">
        <v>1303</v>
      </c>
      <c r="H29" s="2">
        <v>1834</v>
      </c>
      <c r="I29" s="2">
        <v>378</v>
      </c>
      <c r="J29" s="2">
        <v>313</v>
      </c>
      <c r="K29" s="2">
        <v>609</v>
      </c>
      <c r="L29" s="2">
        <v>1051</v>
      </c>
      <c r="M29" s="2">
        <v>80</v>
      </c>
      <c r="N29" s="2">
        <v>28</v>
      </c>
      <c r="O29" s="2">
        <v>320</v>
      </c>
      <c r="P29" s="2">
        <v>100</v>
      </c>
      <c r="Q29" s="2">
        <v>19</v>
      </c>
      <c r="R29" s="2">
        <v>71</v>
      </c>
      <c r="AA29" s="2" t="s">
        <v>1</v>
      </c>
    </row>
    <row r="30" spans="1:27" x14ac:dyDescent="0.2">
      <c r="A30" s="2">
        <v>25</v>
      </c>
      <c r="B30" s="2" t="s">
        <v>1059</v>
      </c>
      <c r="C30" s="7">
        <f>DATE(87,7,12)</f>
        <v>31970</v>
      </c>
      <c r="D30" s="2">
        <v>1330</v>
      </c>
      <c r="E30" s="2" t="s">
        <v>1060</v>
      </c>
      <c r="F30" s="2">
        <v>773</v>
      </c>
      <c r="G30" s="2">
        <v>404</v>
      </c>
      <c r="H30" s="2">
        <v>1813</v>
      </c>
      <c r="I30" s="2">
        <v>633</v>
      </c>
      <c r="J30" s="2">
        <v>313</v>
      </c>
      <c r="K30" s="2">
        <v>534</v>
      </c>
      <c r="L30" s="2">
        <v>2198</v>
      </c>
      <c r="M30" s="2">
        <v>91</v>
      </c>
      <c r="N30" s="2">
        <v>27</v>
      </c>
      <c r="O30" s="2">
        <v>359</v>
      </c>
      <c r="P30" s="2">
        <v>110</v>
      </c>
      <c r="R30" s="2">
        <v>50</v>
      </c>
      <c r="AA30" s="2" t="s">
        <v>1</v>
      </c>
    </row>
    <row r="31" spans="1:27" x14ac:dyDescent="0.2">
      <c r="A31" s="2">
        <v>26</v>
      </c>
      <c r="B31" s="2" t="s">
        <v>1061</v>
      </c>
      <c r="C31" s="7">
        <f>DATE(87,7,17)</f>
        <v>31975</v>
      </c>
      <c r="D31" s="2">
        <v>1600</v>
      </c>
      <c r="E31" s="2" t="s">
        <v>1062</v>
      </c>
      <c r="F31" s="2">
        <v>700</v>
      </c>
      <c r="G31" s="2">
        <v>486</v>
      </c>
      <c r="H31" s="2">
        <v>1745</v>
      </c>
      <c r="I31" s="2">
        <v>364</v>
      </c>
      <c r="J31" s="2">
        <v>314</v>
      </c>
      <c r="K31" s="2">
        <v>439</v>
      </c>
      <c r="L31" s="2">
        <v>431</v>
      </c>
      <c r="M31" s="2">
        <v>722</v>
      </c>
      <c r="N31" s="2">
        <v>23</v>
      </c>
      <c r="O31" s="2">
        <v>522</v>
      </c>
      <c r="P31" s="2">
        <v>104</v>
      </c>
      <c r="R31" s="2">
        <v>175</v>
      </c>
      <c r="AA31" s="2" t="s">
        <v>1</v>
      </c>
    </row>
    <row r="32" spans="1:27" x14ac:dyDescent="0.2">
      <c r="A32" s="2">
        <v>27</v>
      </c>
      <c r="B32" s="2" t="s">
        <v>1051</v>
      </c>
      <c r="C32" s="7">
        <f>DATE(87,7,17)</f>
        <v>31975</v>
      </c>
      <c r="D32" s="2">
        <v>1900</v>
      </c>
      <c r="E32" s="2" t="s">
        <v>1062</v>
      </c>
      <c r="F32" s="2">
        <v>668</v>
      </c>
      <c r="G32" s="2">
        <v>450</v>
      </c>
      <c r="H32" s="2">
        <v>1747</v>
      </c>
      <c r="I32" s="2">
        <v>364</v>
      </c>
      <c r="J32" s="2">
        <v>311</v>
      </c>
      <c r="K32" s="2">
        <v>580</v>
      </c>
      <c r="L32" s="2">
        <v>464</v>
      </c>
      <c r="M32" s="2">
        <v>1807</v>
      </c>
      <c r="O32" s="2">
        <v>471</v>
      </c>
      <c r="P32" s="2">
        <v>103</v>
      </c>
      <c r="Q32" s="2">
        <v>42</v>
      </c>
      <c r="R32" s="2">
        <v>162</v>
      </c>
      <c r="AA32" s="2" t="s">
        <v>1</v>
      </c>
    </row>
    <row r="33" spans="1:27" x14ac:dyDescent="0.2">
      <c r="A33" s="2">
        <v>28</v>
      </c>
      <c r="B33" s="2" t="s">
        <v>1063</v>
      </c>
      <c r="C33" s="7">
        <f>DATE(87,7,18)</f>
        <v>31976</v>
      </c>
      <c r="D33" s="8" t="s">
        <v>1039</v>
      </c>
      <c r="E33" s="2" t="s">
        <v>1064</v>
      </c>
      <c r="F33" s="2">
        <v>625</v>
      </c>
      <c r="G33" s="2">
        <v>325</v>
      </c>
      <c r="H33" s="2">
        <v>1753</v>
      </c>
      <c r="I33" s="2">
        <v>363</v>
      </c>
      <c r="J33" s="2">
        <v>315</v>
      </c>
      <c r="K33" s="2">
        <v>510</v>
      </c>
      <c r="L33" s="2">
        <v>294</v>
      </c>
      <c r="M33" s="2">
        <v>3557</v>
      </c>
      <c r="N33" s="2">
        <v>26</v>
      </c>
      <c r="O33" s="2">
        <v>310</v>
      </c>
      <c r="P33" s="2">
        <v>110</v>
      </c>
      <c r="R33" s="2">
        <v>75</v>
      </c>
      <c r="AA33" s="2" t="s">
        <v>1</v>
      </c>
    </row>
    <row r="34" spans="1:27" x14ac:dyDescent="0.2">
      <c r="A34" s="2">
        <v>29</v>
      </c>
      <c r="B34" s="2" t="s">
        <v>1065</v>
      </c>
      <c r="C34" s="7">
        <f>DATE(87,7,18)</f>
        <v>31976</v>
      </c>
      <c r="D34" s="2">
        <v>1100</v>
      </c>
      <c r="F34" s="2">
        <v>640</v>
      </c>
      <c r="G34" s="2">
        <v>382</v>
      </c>
      <c r="H34" s="2">
        <v>1755</v>
      </c>
      <c r="I34" s="2">
        <v>358</v>
      </c>
      <c r="J34" s="2">
        <v>311</v>
      </c>
      <c r="K34" s="2">
        <v>552</v>
      </c>
      <c r="L34" s="2">
        <v>318</v>
      </c>
      <c r="M34" s="2">
        <v>1054</v>
      </c>
      <c r="N34" s="2">
        <v>37</v>
      </c>
      <c r="O34" s="2">
        <v>398</v>
      </c>
      <c r="P34" s="2">
        <v>115</v>
      </c>
      <c r="Q34" s="2">
        <v>19</v>
      </c>
      <c r="R34" s="2">
        <v>144</v>
      </c>
      <c r="AA34" s="2" t="s">
        <v>1</v>
      </c>
    </row>
    <row r="35" spans="1:27" x14ac:dyDescent="0.2">
      <c r="A35" s="2">
        <v>30</v>
      </c>
      <c r="B35" s="2" t="s">
        <v>1066</v>
      </c>
      <c r="C35" s="7">
        <f>DATE(87,7,18)</f>
        <v>31976</v>
      </c>
      <c r="D35" s="2">
        <v>1900</v>
      </c>
      <c r="F35" s="2">
        <v>745</v>
      </c>
      <c r="G35" s="2">
        <v>619</v>
      </c>
      <c r="H35" s="2">
        <v>1812</v>
      </c>
      <c r="I35" s="2">
        <v>366</v>
      </c>
      <c r="J35" s="2">
        <v>310</v>
      </c>
      <c r="K35" s="2">
        <v>615</v>
      </c>
      <c r="L35" s="2">
        <v>333</v>
      </c>
      <c r="M35" s="2">
        <v>2232</v>
      </c>
      <c r="N35" s="2">
        <v>50</v>
      </c>
      <c r="O35" s="2">
        <v>685</v>
      </c>
      <c r="P35" s="2">
        <v>109</v>
      </c>
      <c r="Q35" s="2">
        <v>48</v>
      </c>
      <c r="R35" s="2">
        <v>270</v>
      </c>
      <c r="AA35" s="2" t="s">
        <v>1</v>
      </c>
    </row>
    <row r="36" spans="1:27" x14ac:dyDescent="0.2">
      <c r="A36" s="2">
        <v>31</v>
      </c>
      <c r="B36" s="2" t="s">
        <v>1067</v>
      </c>
      <c r="C36" s="7">
        <f>DATE(87,7,19)</f>
        <v>31977</v>
      </c>
      <c r="D36" s="8" t="s">
        <v>1039</v>
      </c>
      <c r="F36" s="2">
        <v>645</v>
      </c>
      <c r="G36" s="2">
        <v>414</v>
      </c>
      <c r="H36" s="2">
        <v>1768</v>
      </c>
      <c r="I36" s="2">
        <v>362</v>
      </c>
      <c r="J36" s="2">
        <v>310</v>
      </c>
      <c r="K36" s="2">
        <v>536</v>
      </c>
      <c r="L36" s="2">
        <v>362</v>
      </c>
      <c r="M36" s="2">
        <v>3303</v>
      </c>
      <c r="N36" s="2">
        <v>33</v>
      </c>
      <c r="O36" s="2">
        <v>417</v>
      </c>
      <c r="P36" s="2">
        <v>114</v>
      </c>
      <c r="Q36" s="2">
        <v>24</v>
      </c>
      <c r="R36" s="2">
        <v>156</v>
      </c>
      <c r="AA36" s="2" t="s">
        <v>1</v>
      </c>
    </row>
    <row r="37" spans="1:27" x14ac:dyDescent="0.2">
      <c r="A37" s="2">
        <v>34</v>
      </c>
      <c r="B37" s="2" t="s">
        <v>1068</v>
      </c>
      <c r="C37" s="7">
        <f>DATE(87,7,21)</f>
        <v>31979</v>
      </c>
      <c r="D37" s="8" t="s">
        <v>1039</v>
      </c>
      <c r="F37" s="2">
        <v>674</v>
      </c>
      <c r="G37" s="2">
        <v>587</v>
      </c>
      <c r="H37" s="2">
        <v>1792</v>
      </c>
      <c r="I37" s="2">
        <v>371</v>
      </c>
      <c r="J37" s="2">
        <v>319</v>
      </c>
      <c r="K37" s="2">
        <v>634</v>
      </c>
      <c r="L37" s="2">
        <v>509</v>
      </c>
      <c r="M37" s="2">
        <v>5614</v>
      </c>
      <c r="N37" s="2">
        <v>214</v>
      </c>
      <c r="O37" s="2">
        <v>607</v>
      </c>
      <c r="P37" s="2">
        <v>106</v>
      </c>
      <c r="Q37" s="2">
        <v>57</v>
      </c>
      <c r="R37" s="2">
        <v>189</v>
      </c>
      <c r="S37" s="2">
        <v>3060</v>
      </c>
      <c r="T37" s="2">
        <v>3310</v>
      </c>
      <c r="U37" s="2">
        <v>22300</v>
      </c>
      <c r="V37" s="2">
        <v>4490</v>
      </c>
      <c r="W37" s="2">
        <v>3280</v>
      </c>
      <c r="X37" s="2">
        <v>1020</v>
      </c>
      <c r="Y37" s="2">
        <v>1930</v>
      </c>
      <c r="AA37" s="2" t="s">
        <v>1</v>
      </c>
    </row>
    <row r="38" spans="1:27" x14ac:dyDescent="0.2">
      <c r="A38" s="2">
        <v>35</v>
      </c>
      <c r="B38" s="2" t="s">
        <v>1069</v>
      </c>
      <c r="C38" s="7">
        <f>DATE(87,7,21)</f>
        <v>31979</v>
      </c>
      <c r="D38" s="2">
        <v>1100</v>
      </c>
      <c r="F38" s="2">
        <v>675</v>
      </c>
      <c r="G38" s="2">
        <v>464</v>
      </c>
      <c r="H38" s="2">
        <v>1778</v>
      </c>
      <c r="I38" s="2">
        <v>362</v>
      </c>
      <c r="J38" s="2">
        <v>314</v>
      </c>
      <c r="K38" s="2">
        <v>670</v>
      </c>
      <c r="L38" s="2">
        <v>407</v>
      </c>
      <c r="M38" s="2">
        <v>1354</v>
      </c>
      <c r="N38" s="2">
        <v>40</v>
      </c>
      <c r="O38" s="2">
        <v>783</v>
      </c>
      <c r="P38" s="2">
        <v>106</v>
      </c>
      <c r="R38" s="2">
        <v>307</v>
      </c>
      <c r="S38" s="2">
        <v>2910</v>
      </c>
      <c r="T38" s="2">
        <v>2340</v>
      </c>
      <c r="U38" s="2">
        <v>3330</v>
      </c>
      <c r="V38" s="2">
        <v>3520</v>
      </c>
      <c r="W38" s="2">
        <v>601</v>
      </c>
      <c r="X38" s="2">
        <v>985</v>
      </c>
      <c r="Y38" s="2">
        <v>1850</v>
      </c>
      <c r="AA38" s="2" t="s">
        <v>1</v>
      </c>
    </row>
    <row r="39" spans="1:27" x14ac:dyDescent="0.2">
      <c r="A39" s="2">
        <v>36</v>
      </c>
      <c r="B39" s="2" t="s">
        <v>342</v>
      </c>
      <c r="C39" s="7">
        <f>DATE(87,7,21)</f>
        <v>31979</v>
      </c>
      <c r="D39" s="2">
        <v>1900</v>
      </c>
      <c r="F39" s="2">
        <v>759</v>
      </c>
      <c r="G39" s="2">
        <v>619</v>
      </c>
      <c r="H39" s="2">
        <v>1790</v>
      </c>
      <c r="I39" s="2">
        <v>366</v>
      </c>
      <c r="J39" s="2">
        <v>318</v>
      </c>
      <c r="K39" s="2">
        <v>676</v>
      </c>
      <c r="L39" s="2">
        <v>654</v>
      </c>
      <c r="M39" s="2">
        <v>2413</v>
      </c>
      <c r="N39" s="2">
        <v>29</v>
      </c>
      <c r="O39" s="2">
        <v>1140</v>
      </c>
      <c r="P39" s="2">
        <v>106</v>
      </c>
      <c r="Q39" s="2">
        <v>48</v>
      </c>
      <c r="R39" s="2">
        <v>479</v>
      </c>
      <c r="AA39" s="2" t="s">
        <v>1</v>
      </c>
    </row>
    <row r="40" spans="1:27" x14ac:dyDescent="0.2">
      <c r="A40" s="2">
        <v>37</v>
      </c>
      <c r="B40" s="2" t="s">
        <v>1050</v>
      </c>
      <c r="C40" s="7">
        <f>DATE(87,7,22)</f>
        <v>31980</v>
      </c>
      <c r="D40" s="8" t="s">
        <v>1039</v>
      </c>
      <c r="F40" s="2">
        <v>750</v>
      </c>
      <c r="G40" s="2">
        <v>988</v>
      </c>
      <c r="H40" s="2">
        <v>1798</v>
      </c>
      <c r="I40" s="2">
        <v>359</v>
      </c>
      <c r="J40" s="2">
        <v>318</v>
      </c>
      <c r="K40" s="2">
        <v>988</v>
      </c>
      <c r="L40" s="2">
        <v>4166</v>
      </c>
      <c r="M40" s="2">
        <v>6677</v>
      </c>
      <c r="N40" s="2">
        <v>349</v>
      </c>
      <c r="O40" s="2">
        <v>794</v>
      </c>
      <c r="P40" s="2">
        <v>103</v>
      </c>
      <c r="Q40" s="2">
        <v>31</v>
      </c>
      <c r="R40" s="2">
        <v>406</v>
      </c>
      <c r="S40" s="2">
        <v>3230</v>
      </c>
      <c r="T40" s="2">
        <v>4310</v>
      </c>
      <c r="U40" s="2">
        <v>19200</v>
      </c>
      <c r="V40" s="2">
        <v>4090</v>
      </c>
      <c r="W40" s="2">
        <v>4490</v>
      </c>
      <c r="X40" s="2">
        <v>1270</v>
      </c>
      <c r="Y40" s="2">
        <v>2340</v>
      </c>
      <c r="AA40" s="2" t="s">
        <v>1</v>
      </c>
    </row>
    <row r="41" spans="1:27" x14ac:dyDescent="0.2">
      <c r="A41" s="2">
        <v>38</v>
      </c>
      <c r="B41" s="2" t="s">
        <v>344</v>
      </c>
      <c r="C41" s="7">
        <f>DATE(87,7,22)</f>
        <v>31980</v>
      </c>
      <c r="D41" s="2">
        <v>1100</v>
      </c>
      <c r="F41" s="2">
        <v>828</v>
      </c>
      <c r="G41" s="2">
        <v>668</v>
      </c>
      <c r="H41" s="2">
        <v>1826</v>
      </c>
      <c r="I41" s="2">
        <v>366</v>
      </c>
      <c r="J41" s="2">
        <v>317</v>
      </c>
      <c r="K41" s="2">
        <v>858</v>
      </c>
      <c r="L41" s="2">
        <v>427</v>
      </c>
      <c r="M41" s="2">
        <v>1247</v>
      </c>
      <c r="N41" s="2">
        <v>44</v>
      </c>
      <c r="O41" s="2">
        <v>1109</v>
      </c>
      <c r="P41" s="2">
        <v>100</v>
      </c>
      <c r="Q41" s="2">
        <v>6</v>
      </c>
      <c r="R41" s="2">
        <v>435</v>
      </c>
      <c r="AA41" s="2" t="s">
        <v>1</v>
      </c>
    </row>
    <row r="42" spans="1:27" x14ac:dyDescent="0.2">
      <c r="A42" s="2">
        <v>39</v>
      </c>
      <c r="B42" s="2" t="s">
        <v>308</v>
      </c>
      <c r="C42" s="7">
        <f>DATE(87,7,22)</f>
        <v>31980</v>
      </c>
      <c r="D42" s="2">
        <v>1900</v>
      </c>
      <c r="F42" s="2">
        <v>790</v>
      </c>
      <c r="G42" s="2">
        <v>652</v>
      </c>
      <c r="H42" s="2">
        <v>1808</v>
      </c>
      <c r="I42" s="2">
        <v>367</v>
      </c>
      <c r="J42" s="2">
        <v>315</v>
      </c>
      <c r="K42" s="2">
        <v>822</v>
      </c>
      <c r="L42" s="2">
        <v>480</v>
      </c>
      <c r="M42" s="2">
        <v>2562</v>
      </c>
      <c r="N42" s="2">
        <v>60</v>
      </c>
      <c r="O42" s="2">
        <v>1407</v>
      </c>
      <c r="P42" s="2">
        <v>101</v>
      </c>
      <c r="Q42" s="2">
        <v>46</v>
      </c>
      <c r="R42" s="2">
        <v>592</v>
      </c>
      <c r="AA42" s="2" t="s">
        <v>1</v>
      </c>
    </row>
    <row r="43" spans="1:27" x14ac:dyDescent="0.2">
      <c r="A43" s="2">
        <v>40</v>
      </c>
      <c r="B43" s="2" t="s">
        <v>347</v>
      </c>
      <c r="C43" s="7">
        <f>DATE(87,7,23)</f>
        <v>31981</v>
      </c>
      <c r="D43" s="2">
        <v>1100</v>
      </c>
      <c r="F43" s="2">
        <v>700</v>
      </c>
      <c r="G43" s="2">
        <v>435</v>
      </c>
      <c r="H43" s="2">
        <v>1756</v>
      </c>
      <c r="I43" s="2">
        <v>361</v>
      </c>
      <c r="J43" s="2">
        <v>317</v>
      </c>
      <c r="K43" s="2">
        <v>638</v>
      </c>
      <c r="L43" s="2">
        <v>374</v>
      </c>
      <c r="M43" s="2">
        <v>1163</v>
      </c>
      <c r="N43" s="2">
        <v>21</v>
      </c>
      <c r="O43" s="2">
        <v>608</v>
      </c>
      <c r="P43" s="2">
        <v>104</v>
      </c>
      <c r="Q43" s="2">
        <v>6</v>
      </c>
      <c r="R43" s="2">
        <v>213</v>
      </c>
      <c r="S43" s="2">
        <v>3240</v>
      </c>
      <c r="T43" s="2">
        <v>2090</v>
      </c>
      <c r="U43" s="2">
        <v>2800</v>
      </c>
      <c r="V43" s="2">
        <v>2790</v>
      </c>
      <c r="W43" s="2">
        <v>434</v>
      </c>
      <c r="X43" s="2">
        <v>930</v>
      </c>
      <c r="Y43" s="2">
        <v>1690</v>
      </c>
      <c r="AA43" s="2" t="s">
        <v>1</v>
      </c>
    </row>
    <row r="44" spans="1:27" x14ac:dyDescent="0.2">
      <c r="A44" s="2">
        <v>41</v>
      </c>
      <c r="B44" s="2" t="s">
        <v>345</v>
      </c>
      <c r="C44" s="7">
        <f>DATE(87,7,23)</f>
        <v>31981</v>
      </c>
      <c r="D44" s="2">
        <v>1900</v>
      </c>
      <c r="F44" s="2">
        <v>732</v>
      </c>
      <c r="G44" s="2">
        <v>560</v>
      </c>
      <c r="H44" s="2">
        <v>1774</v>
      </c>
      <c r="I44" s="2">
        <v>363</v>
      </c>
      <c r="J44" s="2">
        <v>315</v>
      </c>
      <c r="K44" s="2">
        <v>711</v>
      </c>
      <c r="L44" s="2">
        <v>336</v>
      </c>
      <c r="M44" s="2">
        <v>2468</v>
      </c>
      <c r="N44" s="2">
        <v>32</v>
      </c>
      <c r="O44" s="2">
        <v>1098</v>
      </c>
      <c r="P44" s="2">
        <v>106</v>
      </c>
      <c r="Q44" s="2">
        <v>41</v>
      </c>
      <c r="R44" s="2">
        <v>447</v>
      </c>
      <c r="AA44" s="2" t="s">
        <v>1</v>
      </c>
    </row>
    <row r="45" spans="1:27" x14ac:dyDescent="0.2">
      <c r="A45" s="2">
        <v>42</v>
      </c>
      <c r="B45" s="2" t="s">
        <v>1044</v>
      </c>
      <c r="C45" s="7">
        <f>DATE(87,7,24)</f>
        <v>31982</v>
      </c>
      <c r="D45" s="8" t="s">
        <v>1039</v>
      </c>
      <c r="E45" s="2" t="s">
        <v>1070</v>
      </c>
      <c r="F45" s="2">
        <v>727</v>
      </c>
      <c r="G45" s="2">
        <v>1054</v>
      </c>
      <c r="H45" s="2">
        <v>1737</v>
      </c>
      <c r="I45" s="2">
        <v>354</v>
      </c>
      <c r="J45" s="2">
        <v>315</v>
      </c>
      <c r="K45" s="2">
        <v>238</v>
      </c>
      <c r="L45" s="2">
        <v>484</v>
      </c>
      <c r="M45" s="2">
        <v>6770</v>
      </c>
      <c r="N45" s="2">
        <v>240</v>
      </c>
      <c r="O45" s="2">
        <v>588</v>
      </c>
      <c r="P45" s="2">
        <v>100</v>
      </c>
      <c r="Q45" s="2">
        <v>39</v>
      </c>
      <c r="R45" s="2">
        <v>215</v>
      </c>
      <c r="S45" s="2">
        <v>2140</v>
      </c>
      <c r="T45" s="2">
        <v>1870</v>
      </c>
      <c r="U45" s="2">
        <v>2660</v>
      </c>
      <c r="V45" s="2">
        <v>1950</v>
      </c>
      <c r="W45" s="2">
        <v>478</v>
      </c>
      <c r="X45" s="2">
        <v>640</v>
      </c>
      <c r="Y45" s="2">
        <v>1210</v>
      </c>
      <c r="AA45" s="2" t="s">
        <v>1</v>
      </c>
    </row>
    <row r="46" spans="1:27" x14ac:dyDescent="0.2">
      <c r="A46" s="2">
        <v>43</v>
      </c>
      <c r="B46" s="2" t="s">
        <v>1071</v>
      </c>
      <c r="C46" s="7">
        <f>DATE(87,7,24)</f>
        <v>31982</v>
      </c>
      <c r="D46" s="2">
        <v>1100</v>
      </c>
      <c r="F46" s="2">
        <v>856</v>
      </c>
      <c r="G46" s="2">
        <v>1016</v>
      </c>
      <c r="H46" s="2">
        <v>1799</v>
      </c>
      <c r="I46" s="2">
        <v>356</v>
      </c>
      <c r="J46" s="2">
        <v>322</v>
      </c>
      <c r="K46" s="2">
        <v>321</v>
      </c>
      <c r="L46" s="2">
        <v>369</v>
      </c>
      <c r="M46" s="2">
        <v>1954</v>
      </c>
      <c r="N46" s="2">
        <v>38</v>
      </c>
      <c r="O46" s="2">
        <v>657</v>
      </c>
      <c r="P46" s="2">
        <v>100</v>
      </c>
      <c r="Q46" s="2">
        <v>34</v>
      </c>
      <c r="R46" s="2">
        <v>183</v>
      </c>
      <c r="S46" s="2">
        <v>2420</v>
      </c>
      <c r="T46" s="2">
        <v>2870</v>
      </c>
      <c r="U46" s="2">
        <v>20300</v>
      </c>
      <c r="V46" s="2">
        <v>3410</v>
      </c>
      <c r="W46" s="2">
        <v>5570</v>
      </c>
      <c r="X46" s="2">
        <v>794</v>
      </c>
      <c r="Y46" s="2">
        <v>1590</v>
      </c>
    </row>
    <row r="47" spans="1:27" x14ac:dyDescent="0.2">
      <c r="A47" s="2">
        <v>44</v>
      </c>
      <c r="B47" s="2" t="s">
        <v>1042</v>
      </c>
      <c r="C47" s="7">
        <f>DATE(87,7,25)</f>
        <v>31983</v>
      </c>
      <c r="D47" s="8" t="s">
        <v>1039</v>
      </c>
      <c r="E47" s="2" t="s">
        <v>1070</v>
      </c>
      <c r="F47" s="2">
        <v>710</v>
      </c>
      <c r="G47" s="2">
        <v>1066</v>
      </c>
      <c r="H47" s="2">
        <v>1771</v>
      </c>
      <c r="I47" s="2">
        <v>358</v>
      </c>
      <c r="J47" s="2">
        <v>317</v>
      </c>
      <c r="K47" s="2">
        <v>180</v>
      </c>
      <c r="L47" s="2">
        <v>469</v>
      </c>
      <c r="M47" s="2">
        <v>6762</v>
      </c>
      <c r="N47" s="2">
        <v>504</v>
      </c>
      <c r="O47" s="2">
        <v>737</v>
      </c>
      <c r="P47" s="2">
        <v>116</v>
      </c>
      <c r="Q47" s="2">
        <v>29</v>
      </c>
      <c r="R47" s="2">
        <v>312</v>
      </c>
    </row>
    <row r="48" spans="1:27" x14ac:dyDescent="0.2">
      <c r="A48" s="2">
        <v>45</v>
      </c>
      <c r="B48" s="2" t="s">
        <v>311</v>
      </c>
      <c r="C48" s="7">
        <f>DATE(87,7,25)</f>
        <v>31983</v>
      </c>
      <c r="D48" s="2">
        <v>1100</v>
      </c>
      <c r="F48" s="2">
        <v>1059</v>
      </c>
      <c r="G48" s="2">
        <v>361</v>
      </c>
      <c r="H48" s="2">
        <v>1719</v>
      </c>
      <c r="I48" s="2">
        <v>360</v>
      </c>
      <c r="J48" s="2">
        <v>313</v>
      </c>
      <c r="K48" s="2">
        <v>553</v>
      </c>
      <c r="L48" s="2">
        <v>310</v>
      </c>
      <c r="M48" s="2">
        <v>990</v>
      </c>
      <c r="O48" s="2">
        <v>416</v>
      </c>
      <c r="P48" s="2">
        <v>99</v>
      </c>
      <c r="Q48" s="2">
        <v>4</v>
      </c>
      <c r="R48" s="2">
        <v>136</v>
      </c>
      <c r="S48" s="2">
        <v>1860</v>
      </c>
      <c r="T48" s="2">
        <v>1400</v>
      </c>
      <c r="U48" s="2">
        <v>1260</v>
      </c>
      <c r="V48" s="2">
        <v>1810</v>
      </c>
      <c r="W48" s="2">
        <v>491</v>
      </c>
      <c r="X48" s="2">
        <v>649</v>
      </c>
      <c r="Y48" s="2">
        <v>1480</v>
      </c>
    </row>
    <row r="49" spans="1:25" x14ac:dyDescent="0.2">
      <c r="A49" s="2">
        <v>46</v>
      </c>
      <c r="B49" s="2" t="s">
        <v>1072</v>
      </c>
      <c r="C49" s="7">
        <f>DATE(87,7,25)</f>
        <v>31983</v>
      </c>
      <c r="D49" s="2">
        <v>1900</v>
      </c>
      <c r="F49" s="2">
        <v>732</v>
      </c>
      <c r="G49" s="2">
        <v>505</v>
      </c>
      <c r="H49" s="2">
        <v>1762</v>
      </c>
      <c r="I49" s="2">
        <v>365</v>
      </c>
      <c r="J49" s="2">
        <v>316</v>
      </c>
      <c r="K49" s="2">
        <v>625</v>
      </c>
      <c r="L49" s="2">
        <v>370</v>
      </c>
      <c r="M49" s="2">
        <v>3966</v>
      </c>
      <c r="N49" s="2">
        <v>39</v>
      </c>
      <c r="O49" s="2">
        <v>630</v>
      </c>
      <c r="P49" s="2">
        <v>107</v>
      </c>
      <c r="Q49" s="2">
        <v>48</v>
      </c>
      <c r="R49" s="2">
        <v>250</v>
      </c>
      <c r="S49" s="2">
        <v>3110</v>
      </c>
      <c r="T49" s="2">
        <v>2180</v>
      </c>
      <c r="U49" s="2">
        <v>2600</v>
      </c>
      <c r="V49" s="2">
        <v>3910</v>
      </c>
      <c r="W49" s="2">
        <v>637</v>
      </c>
      <c r="X49" s="2">
        <v>1160</v>
      </c>
      <c r="Y49" s="2">
        <v>2180</v>
      </c>
    </row>
    <row r="50" spans="1:25" x14ac:dyDescent="0.2">
      <c r="A50" s="2">
        <v>47</v>
      </c>
      <c r="B50" s="2" t="s">
        <v>1073</v>
      </c>
      <c r="C50" s="7">
        <f>DATE(87,7,26)</f>
        <v>31984</v>
      </c>
      <c r="D50" s="8" t="s">
        <v>1039</v>
      </c>
      <c r="F50" s="2">
        <v>704</v>
      </c>
      <c r="G50" s="2">
        <v>1678</v>
      </c>
      <c r="H50" s="2">
        <v>1764</v>
      </c>
      <c r="I50" s="2">
        <v>358</v>
      </c>
      <c r="J50" s="2">
        <v>320</v>
      </c>
      <c r="K50" s="2">
        <v>1490</v>
      </c>
      <c r="L50" s="2">
        <v>3941</v>
      </c>
      <c r="M50" s="2">
        <v>9018</v>
      </c>
      <c r="N50" s="2">
        <v>138</v>
      </c>
      <c r="O50" s="2">
        <v>497</v>
      </c>
      <c r="P50" s="2">
        <v>98</v>
      </c>
      <c r="Q50" s="2">
        <v>23</v>
      </c>
      <c r="R50" s="2">
        <v>237</v>
      </c>
    </row>
    <row r="51" spans="1:25" x14ac:dyDescent="0.2">
      <c r="A51" s="2">
        <v>48</v>
      </c>
      <c r="B51" s="2" t="s">
        <v>310</v>
      </c>
      <c r="C51" s="7">
        <f>DATE(87,7,26)</f>
        <v>31984</v>
      </c>
      <c r="D51" s="2">
        <v>1100</v>
      </c>
      <c r="F51" s="2">
        <v>654</v>
      </c>
      <c r="G51" s="2">
        <v>345</v>
      </c>
      <c r="H51" s="2">
        <v>1724</v>
      </c>
      <c r="I51" s="2">
        <v>360</v>
      </c>
      <c r="J51" s="2">
        <v>314</v>
      </c>
      <c r="K51" s="2">
        <v>546</v>
      </c>
      <c r="L51" s="2">
        <v>297</v>
      </c>
      <c r="M51" s="2">
        <v>964</v>
      </c>
      <c r="N51" s="2">
        <v>24</v>
      </c>
      <c r="O51" s="2">
        <v>310</v>
      </c>
      <c r="P51" s="2">
        <v>102</v>
      </c>
      <c r="R51" s="2">
        <v>73</v>
      </c>
      <c r="S51" s="2">
        <v>1820</v>
      </c>
      <c r="T51" s="2">
        <v>1140</v>
      </c>
      <c r="U51" s="2">
        <v>1250</v>
      </c>
      <c r="V51" s="2">
        <v>1640</v>
      </c>
      <c r="W51" s="2">
        <v>320</v>
      </c>
      <c r="X51" s="2">
        <v>553</v>
      </c>
      <c r="Y51" s="2">
        <v>1230</v>
      </c>
    </row>
    <row r="52" spans="1:25" x14ac:dyDescent="0.2">
      <c r="A52" s="2">
        <v>49</v>
      </c>
      <c r="B52" s="2" t="s">
        <v>305</v>
      </c>
      <c r="C52" s="7">
        <f>DATE(87,7,26)</f>
        <v>31984</v>
      </c>
      <c r="D52" s="2">
        <v>1900</v>
      </c>
      <c r="F52" s="2">
        <v>748</v>
      </c>
      <c r="G52" s="2">
        <v>594</v>
      </c>
      <c r="H52" s="2">
        <v>1801</v>
      </c>
      <c r="I52" s="2">
        <v>368</v>
      </c>
      <c r="J52" s="2">
        <v>315</v>
      </c>
      <c r="K52" s="2">
        <v>641</v>
      </c>
      <c r="L52" s="2">
        <v>318</v>
      </c>
      <c r="M52" s="2">
        <v>2880</v>
      </c>
      <c r="N52" s="2">
        <v>45</v>
      </c>
      <c r="O52" s="2">
        <v>488</v>
      </c>
      <c r="P52" s="2">
        <v>111</v>
      </c>
      <c r="Q52" s="2">
        <v>42</v>
      </c>
      <c r="R52" s="2">
        <v>114</v>
      </c>
      <c r="S52" s="2">
        <v>3930</v>
      </c>
      <c r="T52" s="2">
        <v>2770</v>
      </c>
      <c r="U52" s="2">
        <v>4090</v>
      </c>
      <c r="V52" s="2">
        <v>5060</v>
      </c>
      <c r="W52" s="2">
        <v>669</v>
      </c>
      <c r="X52" s="2">
        <v>1560</v>
      </c>
      <c r="Y52" s="2">
        <v>2920</v>
      </c>
    </row>
    <row r="53" spans="1:25" x14ac:dyDescent="0.2">
      <c r="A53" s="2">
        <v>50</v>
      </c>
      <c r="B53" s="2" t="s">
        <v>1074</v>
      </c>
      <c r="C53" s="7">
        <f>DATE(87,7,27)</f>
        <v>31985</v>
      </c>
      <c r="D53" s="8" t="s">
        <v>1039</v>
      </c>
      <c r="E53" s="2" t="s">
        <v>1070</v>
      </c>
      <c r="F53" s="2">
        <v>837</v>
      </c>
      <c r="G53" s="2">
        <v>1654</v>
      </c>
      <c r="H53" s="2">
        <v>1755</v>
      </c>
      <c r="I53" s="2">
        <v>363</v>
      </c>
      <c r="J53" s="2">
        <v>320</v>
      </c>
      <c r="K53" s="2">
        <v>295</v>
      </c>
      <c r="L53" s="2">
        <v>443</v>
      </c>
      <c r="M53" s="2">
        <v>7407</v>
      </c>
      <c r="N53" s="2">
        <v>367</v>
      </c>
      <c r="O53" s="2">
        <v>370</v>
      </c>
      <c r="P53" s="2">
        <v>112</v>
      </c>
      <c r="Q53" s="2">
        <v>44</v>
      </c>
      <c r="R53" s="2">
        <v>79</v>
      </c>
      <c r="S53" s="2">
        <v>3210</v>
      </c>
      <c r="T53" s="2">
        <v>3350</v>
      </c>
      <c r="U53" s="2">
        <v>3230</v>
      </c>
      <c r="V53" s="2">
        <v>5730</v>
      </c>
      <c r="W53" s="2">
        <v>778</v>
      </c>
      <c r="X53" s="2">
        <v>1160</v>
      </c>
      <c r="Y53" s="2">
        <v>2340</v>
      </c>
    </row>
    <row r="54" spans="1:25" x14ac:dyDescent="0.2">
      <c r="A54" s="2">
        <v>51</v>
      </c>
      <c r="B54" s="2" t="s">
        <v>306</v>
      </c>
      <c r="C54" s="7">
        <f>DATE(87,7,27)</f>
        <v>31985</v>
      </c>
      <c r="D54" s="2">
        <v>1100</v>
      </c>
      <c r="F54" s="2">
        <v>655</v>
      </c>
      <c r="G54" s="2">
        <v>381</v>
      </c>
      <c r="H54" s="2">
        <v>1719</v>
      </c>
      <c r="I54" s="2">
        <v>362</v>
      </c>
      <c r="J54" s="2">
        <v>313</v>
      </c>
      <c r="K54" s="2">
        <v>566</v>
      </c>
      <c r="L54" s="2">
        <v>312</v>
      </c>
      <c r="M54" s="2">
        <v>1151</v>
      </c>
      <c r="N54" s="2">
        <v>34</v>
      </c>
      <c r="O54" s="2">
        <v>557</v>
      </c>
      <c r="P54" s="2">
        <v>107</v>
      </c>
      <c r="R54" s="2">
        <v>171</v>
      </c>
      <c r="S54" s="2">
        <v>2030</v>
      </c>
      <c r="T54" s="2">
        <v>1480</v>
      </c>
      <c r="U54" s="2">
        <v>1780</v>
      </c>
      <c r="V54" s="2">
        <v>3030</v>
      </c>
      <c r="W54" s="2">
        <v>292</v>
      </c>
      <c r="X54" s="2">
        <v>759</v>
      </c>
      <c r="Y54" s="2">
        <v>1460</v>
      </c>
    </row>
    <row r="55" spans="1:25" x14ac:dyDescent="0.2">
      <c r="A55" s="2">
        <v>52</v>
      </c>
      <c r="B55" s="2" t="s">
        <v>307</v>
      </c>
      <c r="C55" s="7">
        <f>DATE(87,7,27)</f>
        <v>31985</v>
      </c>
      <c r="D55" s="2">
        <v>1900</v>
      </c>
      <c r="F55" s="2">
        <v>853</v>
      </c>
      <c r="G55" s="2">
        <v>762</v>
      </c>
      <c r="H55" s="2">
        <v>1817</v>
      </c>
      <c r="I55" s="2">
        <v>372</v>
      </c>
      <c r="J55" s="2">
        <v>317</v>
      </c>
      <c r="K55" s="2">
        <v>862</v>
      </c>
      <c r="L55" s="2">
        <v>410</v>
      </c>
      <c r="M55" s="2">
        <v>2904</v>
      </c>
      <c r="N55" s="2">
        <v>52</v>
      </c>
      <c r="O55" s="2">
        <v>1527</v>
      </c>
      <c r="P55" s="2">
        <v>100</v>
      </c>
      <c r="Q55" s="2">
        <v>91</v>
      </c>
      <c r="R55" s="2">
        <v>682</v>
      </c>
      <c r="S55" s="2">
        <v>3220</v>
      </c>
      <c r="T55" s="2">
        <v>1670</v>
      </c>
      <c r="U55" s="2">
        <v>37100</v>
      </c>
      <c r="V55" s="2">
        <v>3300</v>
      </c>
      <c r="W55" s="2">
        <v>424</v>
      </c>
      <c r="X55" s="2">
        <v>1160</v>
      </c>
      <c r="Y55" s="2">
        <v>2050</v>
      </c>
    </row>
    <row r="56" spans="1:25" x14ac:dyDescent="0.2">
      <c r="A56" s="2">
        <v>53</v>
      </c>
      <c r="B56" s="2" t="s">
        <v>1075</v>
      </c>
      <c r="C56" s="7">
        <f>DATE(87,7,28)</f>
        <v>31986</v>
      </c>
      <c r="D56" s="8" t="s">
        <v>1039</v>
      </c>
      <c r="F56" s="2">
        <v>729</v>
      </c>
      <c r="G56" s="2">
        <v>662</v>
      </c>
      <c r="H56" s="2">
        <v>1764</v>
      </c>
      <c r="I56" s="2">
        <v>381</v>
      </c>
      <c r="J56" s="2">
        <v>321</v>
      </c>
      <c r="K56" s="2">
        <v>680</v>
      </c>
      <c r="L56" s="2">
        <v>412</v>
      </c>
      <c r="M56" s="2">
        <v>7065</v>
      </c>
      <c r="N56" s="2">
        <v>170</v>
      </c>
      <c r="O56" s="2">
        <v>780</v>
      </c>
      <c r="P56" s="2">
        <v>100</v>
      </c>
      <c r="Q56" s="2">
        <v>41</v>
      </c>
      <c r="R56" s="2">
        <v>375</v>
      </c>
    </row>
    <row r="57" spans="1:25" x14ac:dyDescent="0.2">
      <c r="A57" s="2">
        <v>54</v>
      </c>
      <c r="B57" s="2" t="s">
        <v>346</v>
      </c>
      <c r="C57" s="7">
        <f>DATE(87,7,28)</f>
        <v>31986</v>
      </c>
      <c r="D57" s="2">
        <v>1100</v>
      </c>
      <c r="E57" s="2" t="s">
        <v>1076</v>
      </c>
      <c r="F57" s="2">
        <v>636</v>
      </c>
      <c r="G57" s="2">
        <v>360</v>
      </c>
      <c r="H57" s="2">
        <v>1700</v>
      </c>
      <c r="I57" s="2">
        <v>361</v>
      </c>
      <c r="J57" s="2">
        <v>318</v>
      </c>
      <c r="K57" s="2">
        <v>562</v>
      </c>
      <c r="L57" s="2">
        <v>321</v>
      </c>
      <c r="M57" s="2">
        <v>1065</v>
      </c>
      <c r="O57" s="2">
        <v>398</v>
      </c>
      <c r="P57" s="2">
        <v>106</v>
      </c>
      <c r="R57" s="2">
        <v>117</v>
      </c>
      <c r="S57" s="2">
        <v>1890</v>
      </c>
      <c r="T57" s="2">
        <v>2220</v>
      </c>
      <c r="U57" s="2">
        <v>1250</v>
      </c>
      <c r="V57" s="2">
        <v>1570</v>
      </c>
      <c r="W57" s="2">
        <v>664</v>
      </c>
      <c r="X57" s="2">
        <v>439</v>
      </c>
      <c r="Y57" s="2">
        <v>869</v>
      </c>
    </row>
    <row r="58" spans="1:25" x14ac:dyDescent="0.2">
      <c r="A58" s="2">
        <v>55</v>
      </c>
      <c r="B58" s="2" t="s">
        <v>304</v>
      </c>
      <c r="C58" s="7">
        <f>DATE(87,7,28)</f>
        <v>31986</v>
      </c>
      <c r="D58" s="2">
        <v>1900</v>
      </c>
      <c r="F58" s="2">
        <v>810</v>
      </c>
      <c r="G58" s="2">
        <v>752</v>
      </c>
      <c r="H58" s="2">
        <v>1801</v>
      </c>
      <c r="I58" s="2">
        <v>372</v>
      </c>
      <c r="J58" s="2">
        <v>315</v>
      </c>
      <c r="K58" s="2">
        <v>806</v>
      </c>
      <c r="L58" s="2">
        <v>376</v>
      </c>
      <c r="M58" s="2">
        <v>2921</v>
      </c>
      <c r="N58" s="2">
        <v>46</v>
      </c>
      <c r="O58" s="2">
        <v>1342</v>
      </c>
      <c r="P58" s="2">
        <v>105</v>
      </c>
      <c r="Q58" s="2">
        <v>44</v>
      </c>
      <c r="R58" s="2">
        <v>598</v>
      </c>
      <c r="S58" s="2">
        <v>4810</v>
      </c>
      <c r="T58" s="2">
        <v>4310</v>
      </c>
      <c r="U58" s="2">
        <v>4900</v>
      </c>
      <c r="V58" s="2">
        <v>7330</v>
      </c>
      <c r="W58" s="2">
        <v>1290</v>
      </c>
      <c r="X58" s="2">
        <v>1760</v>
      </c>
      <c r="Y58" s="2">
        <v>3290</v>
      </c>
    </row>
    <row r="59" spans="1:25" x14ac:dyDescent="0.2">
      <c r="A59" s="2">
        <v>56</v>
      </c>
      <c r="B59" s="2" t="s">
        <v>335</v>
      </c>
      <c r="C59" s="7">
        <f>DATE(87,7,29)</f>
        <v>31987</v>
      </c>
      <c r="D59" s="8" t="s">
        <v>1039</v>
      </c>
      <c r="E59" s="2" t="s">
        <v>1070</v>
      </c>
      <c r="F59" s="2">
        <v>803</v>
      </c>
      <c r="G59" s="2">
        <v>1289</v>
      </c>
      <c r="H59" s="2">
        <v>1754</v>
      </c>
      <c r="I59" s="2">
        <v>363</v>
      </c>
      <c r="J59" s="2">
        <v>318</v>
      </c>
      <c r="K59" s="2">
        <v>330</v>
      </c>
      <c r="L59" s="2">
        <v>1252</v>
      </c>
      <c r="M59" s="2">
        <v>7268</v>
      </c>
      <c r="N59" s="2">
        <v>478</v>
      </c>
      <c r="O59" s="2">
        <v>722</v>
      </c>
      <c r="P59" s="2">
        <v>114</v>
      </c>
      <c r="Q59" s="2">
        <v>41</v>
      </c>
      <c r="R59" s="2">
        <v>276</v>
      </c>
    </row>
    <row r="60" spans="1:25" x14ac:dyDescent="0.2">
      <c r="A60" s="2">
        <v>57</v>
      </c>
      <c r="B60" s="2" t="s">
        <v>309</v>
      </c>
      <c r="C60" s="7">
        <f>DATE(87,7,29)</f>
        <v>31987</v>
      </c>
      <c r="D60" s="2">
        <v>1100</v>
      </c>
      <c r="F60" s="2">
        <v>775</v>
      </c>
      <c r="G60" s="2">
        <v>296</v>
      </c>
      <c r="H60" s="2">
        <v>1700</v>
      </c>
      <c r="I60" s="2">
        <v>361</v>
      </c>
      <c r="S60" s="2">
        <v>2530</v>
      </c>
      <c r="T60" s="2">
        <v>5370</v>
      </c>
      <c r="U60" s="2">
        <v>4310</v>
      </c>
      <c r="V60" s="2">
        <v>2340</v>
      </c>
      <c r="W60" s="2">
        <v>1060</v>
      </c>
      <c r="X60" s="2">
        <v>1310</v>
      </c>
      <c r="Y60" s="2">
        <v>3680</v>
      </c>
    </row>
    <row r="61" spans="1:25" x14ac:dyDescent="0.2">
      <c r="A61" s="2">
        <v>58</v>
      </c>
      <c r="B61" s="2" t="s">
        <v>303</v>
      </c>
      <c r="C61" s="7">
        <f>DATE(87,7,29)</f>
        <v>31987</v>
      </c>
      <c r="D61" s="2">
        <v>1900</v>
      </c>
      <c r="F61" s="2">
        <v>843</v>
      </c>
      <c r="G61" s="2">
        <v>762</v>
      </c>
      <c r="H61" s="2">
        <v>1806</v>
      </c>
      <c r="I61" s="2">
        <v>372</v>
      </c>
      <c r="J61" s="2">
        <v>311</v>
      </c>
      <c r="K61" s="2">
        <v>835</v>
      </c>
      <c r="L61" s="2">
        <v>572</v>
      </c>
      <c r="M61" s="2">
        <v>2657</v>
      </c>
      <c r="N61" s="2">
        <v>44</v>
      </c>
      <c r="O61" s="2">
        <v>1477</v>
      </c>
      <c r="P61" s="2">
        <v>101</v>
      </c>
      <c r="Q61" s="2">
        <v>46</v>
      </c>
      <c r="R61" s="2">
        <v>601</v>
      </c>
      <c r="S61" s="2">
        <v>4270</v>
      </c>
      <c r="T61" s="2">
        <v>3910</v>
      </c>
      <c r="U61" s="2">
        <v>4770</v>
      </c>
      <c r="V61" s="2">
        <v>5920</v>
      </c>
      <c r="W61" s="2">
        <v>981</v>
      </c>
      <c r="X61" s="2">
        <v>1670</v>
      </c>
      <c r="Y61" s="2">
        <v>3370</v>
      </c>
    </row>
    <row r="62" spans="1:25" x14ac:dyDescent="0.2">
      <c r="A62" s="2">
        <v>59</v>
      </c>
      <c r="B62" s="2" t="s">
        <v>334</v>
      </c>
      <c r="C62" s="7">
        <f>DATE(87,7,30)</f>
        <v>31988</v>
      </c>
      <c r="D62" s="8" t="s">
        <v>1039</v>
      </c>
      <c r="F62" s="2">
        <v>734</v>
      </c>
      <c r="G62" s="2">
        <v>1038</v>
      </c>
      <c r="H62" s="2">
        <v>1767</v>
      </c>
      <c r="I62" s="2">
        <v>359</v>
      </c>
      <c r="J62" s="2">
        <v>316</v>
      </c>
      <c r="K62" s="2">
        <v>311</v>
      </c>
      <c r="L62" s="2">
        <v>530</v>
      </c>
      <c r="M62" s="2">
        <v>5611</v>
      </c>
      <c r="N62" s="2">
        <v>234</v>
      </c>
      <c r="O62" s="2">
        <v>867</v>
      </c>
      <c r="P62" s="2">
        <v>102</v>
      </c>
      <c r="Q62" s="2">
        <v>36</v>
      </c>
      <c r="R62" s="2">
        <v>305</v>
      </c>
      <c r="S62" s="2">
        <v>2700</v>
      </c>
      <c r="T62" s="2">
        <v>3100</v>
      </c>
      <c r="U62" s="2">
        <v>40300</v>
      </c>
      <c r="V62" s="2">
        <v>3630</v>
      </c>
      <c r="W62" s="2">
        <v>8060</v>
      </c>
      <c r="X62" s="2">
        <v>970</v>
      </c>
      <c r="Y62" s="2">
        <v>1860</v>
      </c>
    </row>
    <row r="63" spans="1:25" x14ac:dyDescent="0.2">
      <c r="A63" s="2">
        <v>60</v>
      </c>
      <c r="B63" s="2" t="s">
        <v>1077</v>
      </c>
      <c r="C63" s="7">
        <f>DATE(87,7,30)</f>
        <v>31988</v>
      </c>
      <c r="D63" s="8" t="s">
        <v>1039</v>
      </c>
      <c r="F63" s="2">
        <v>750</v>
      </c>
      <c r="G63" s="2">
        <v>699</v>
      </c>
      <c r="H63" s="2">
        <v>1735</v>
      </c>
      <c r="I63" s="2">
        <v>365</v>
      </c>
      <c r="J63" s="2">
        <v>321</v>
      </c>
      <c r="K63" s="2">
        <v>147</v>
      </c>
      <c r="L63" s="2">
        <v>2224</v>
      </c>
      <c r="M63" s="2">
        <v>8972</v>
      </c>
      <c r="N63" s="2">
        <v>159</v>
      </c>
      <c r="O63" s="2">
        <v>730</v>
      </c>
      <c r="P63" s="2">
        <v>98</v>
      </c>
      <c r="Q63" s="2">
        <v>57</v>
      </c>
      <c r="R63" s="2">
        <v>316</v>
      </c>
      <c r="S63" s="2">
        <v>2760</v>
      </c>
      <c r="T63" s="2">
        <v>2680</v>
      </c>
      <c r="U63" s="2">
        <v>1830</v>
      </c>
      <c r="V63" s="2">
        <v>4050</v>
      </c>
      <c r="W63" s="2">
        <v>799</v>
      </c>
      <c r="X63" s="2">
        <v>1030</v>
      </c>
      <c r="Y63" s="2">
        <v>1850</v>
      </c>
    </row>
    <row r="64" spans="1:25" x14ac:dyDescent="0.2">
      <c r="A64" s="2">
        <v>61</v>
      </c>
      <c r="B64" s="2" t="s">
        <v>343</v>
      </c>
      <c r="C64" s="7">
        <f>DATE(87,7,30)</f>
        <v>31988</v>
      </c>
      <c r="D64" s="2">
        <v>1100</v>
      </c>
      <c r="F64" s="2">
        <v>674</v>
      </c>
      <c r="G64" s="2">
        <v>380</v>
      </c>
      <c r="H64" s="2">
        <v>1727</v>
      </c>
      <c r="I64" s="2">
        <v>364</v>
      </c>
      <c r="J64" s="2">
        <v>312</v>
      </c>
      <c r="K64" s="2">
        <v>588</v>
      </c>
      <c r="L64" s="2">
        <v>982</v>
      </c>
      <c r="M64" s="2">
        <v>1063</v>
      </c>
      <c r="N64" s="2">
        <v>22</v>
      </c>
      <c r="O64" s="2">
        <v>550</v>
      </c>
      <c r="P64" s="2">
        <v>102</v>
      </c>
      <c r="R64" s="2">
        <v>168</v>
      </c>
      <c r="S64" s="2">
        <v>1930</v>
      </c>
      <c r="T64" s="2">
        <v>1380</v>
      </c>
      <c r="U64" s="2">
        <v>3310</v>
      </c>
      <c r="V64" s="2">
        <v>2200</v>
      </c>
      <c r="W64" s="2">
        <v>68</v>
      </c>
      <c r="X64" s="2">
        <v>641</v>
      </c>
      <c r="Y64" s="2">
        <v>1270</v>
      </c>
    </row>
    <row r="65" spans="1:25" x14ac:dyDescent="0.2">
      <c r="A65" s="2">
        <v>62</v>
      </c>
      <c r="B65" s="2" t="s">
        <v>341</v>
      </c>
      <c r="C65" s="7">
        <f>DATE(87,7,31)</f>
        <v>31989</v>
      </c>
      <c r="D65" s="2">
        <v>1900</v>
      </c>
      <c r="F65" s="2">
        <v>854</v>
      </c>
      <c r="G65" s="2">
        <v>762</v>
      </c>
      <c r="H65" s="2">
        <v>1843</v>
      </c>
      <c r="I65" s="2">
        <v>372</v>
      </c>
      <c r="J65" s="2">
        <v>313</v>
      </c>
      <c r="K65" s="2">
        <v>804</v>
      </c>
      <c r="L65" s="2">
        <v>427</v>
      </c>
      <c r="M65" s="2">
        <v>2758</v>
      </c>
      <c r="N65" s="2">
        <v>52</v>
      </c>
      <c r="O65" s="2">
        <v>1467</v>
      </c>
      <c r="P65" s="2">
        <v>102</v>
      </c>
      <c r="Q65" s="2">
        <v>41</v>
      </c>
      <c r="R65" s="2">
        <v>632</v>
      </c>
      <c r="S65" s="2">
        <v>5280</v>
      </c>
      <c r="T65" s="2">
        <v>3460</v>
      </c>
      <c r="U65" s="2">
        <v>3670</v>
      </c>
      <c r="V65" s="2">
        <v>7000</v>
      </c>
      <c r="W65" s="2">
        <v>601</v>
      </c>
      <c r="X65" s="2">
        <v>1930</v>
      </c>
      <c r="Y65" s="2">
        <v>4000</v>
      </c>
    </row>
    <row r="66" spans="1:25" x14ac:dyDescent="0.2">
      <c r="C66" s="7"/>
    </row>
    <row r="67" spans="1:25" x14ac:dyDescent="0.2">
      <c r="F67" s="8" t="s">
        <v>117</v>
      </c>
      <c r="G67" s="8" t="s">
        <v>118</v>
      </c>
      <c r="H67" s="8" t="s">
        <v>123</v>
      </c>
      <c r="I67" s="8" t="s">
        <v>134</v>
      </c>
      <c r="J67" s="8" t="s">
        <v>138</v>
      </c>
      <c r="K67" s="8" t="s">
        <v>136</v>
      </c>
      <c r="L67" s="8" t="s">
        <v>130</v>
      </c>
      <c r="M67" s="8" t="s">
        <v>133</v>
      </c>
      <c r="N67" s="8" t="s">
        <v>127</v>
      </c>
      <c r="O67" s="8" t="s">
        <v>121</v>
      </c>
      <c r="P67" s="8" t="s">
        <v>112</v>
      </c>
      <c r="Q67" s="8" t="s">
        <v>124</v>
      </c>
      <c r="R67" s="8" t="s">
        <v>114</v>
      </c>
      <c r="S67" s="8" t="s">
        <v>126</v>
      </c>
      <c r="T67" s="8" t="s">
        <v>122</v>
      </c>
      <c r="U67" s="8" t="s">
        <v>113</v>
      </c>
      <c r="V67" s="8" t="s">
        <v>131</v>
      </c>
      <c r="W67" s="8" t="s">
        <v>129</v>
      </c>
      <c r="X67" s="8" t="s">
        <v>149</v>
      </c>
      <c r="Y67" s="8" t="s">
        <v>151</v>
      </c>
    </row>
    <row r="68" spans="1:25" x14ac:dyDescent="0.2">
      <c r="F68" s="8" t="s">
        <v>266</v>
      </c>
      <c r="G68" s="8" t="s">
        <v>266</v>
      </c>
      <c r="H68" s="8" t="s">
        <v>266</v>
      </c>
      <c r="I68" s="8" t="s">
        <v>371</v>
      </c>
      <c r="J68" s="8" t="s">
        <v>266</v>
      </c>
      <c r="K68" s="8" t="s">
        <v>144</v>
      </c>
      <c r="L68" s="8" t="s">
        <v>144</v>
      </c>
      <c r="M68" s="8" t="s">
        <v>144</v>
      </c>
      <c r="N68" s="8" t="s">
        <v>144</v>
      </c>
      <c r="O68" s="8" t="s">
        <v>144</v>
      </c>
      <c r="P68" s="8" t="s">
        <v>144</v>
      </c>
      <c r="Q68" s="8" t="s">
        <v>144</v>
      </c>
      <c r="R68" s="8" t="s">
        <v>144</v>
      </c>
      <c r="S68" s="8" t="s">
        <v>144</v>
      </c>
      <c r="T68" s="8" t="s">
        <v>144</v>
      </c>
      <c r="U68" s="8" t="s">
        <v>144</v>
      </c>
      <c r="V68" s="8" t="s">
        <v>144</v>
      </c>
      <c r="W68" s="8" t="s">
        <v>144</v>
      </c>
      <c r="X68" s="8" t="s">
        <v>144</v>
      </c>
      <c r="Y68" s="8" t="s">
        <v>144</v>
      </c>
    </row>
    <row r="70" spans="1:25" x14ac:dyDescent="0.2">
      <c r="B70" s="2" t="s">
        <v>363</v>
      </c>
      <c r="C70" s="7">
        <f>AVERAGE(C6:C65)</f>
        <v>31972.333333333332</v>
      </c>
      <c r="F70" s="4">
        <f t="shared" ref="F70:Y70" si="0">AVERAGE(F6:F65)</f>
        <v>762.72881355932202</v>
      </c>
      <c r="G70" s="4">
        <f t="shared" si="0"/>
        <v>656.18333333333328</v>
      </c>
      <c r="H70" s="4">
        <f t="shared" si="0"/>
        <v>1785.8</v>
      </c>
      <c r="I70" s="4">
        <f t="shared" si="0"/>
        <v>375</v>
      </c>
      <c r="J70" s="4">
        <f t="shared" si="0"/>
        <v>314.06779661016947</v>
      </c>
      <c r="K70" s="4">
        <f t="shared" si="0"/>
        <v>660.27118644067798</v>
      </c>
      <c r="L70" s="4">
        <f t="shared" si="0"/>
        <v>933.74576271186436</v>
      </c>
      <c r="M70" s="4">
        <f t="shared" si="0"/>
        <v>3451.6610169491523</v>
      </c>
      <c r="N70" s="4">
        <f t="shared" si="0"/>
        <v>83.236363636363635</v>
      </c>
      <c r="O70" s="4">
        <f t="shared" si="0"/>
        <v>796.57627118644064</v>
      </c>
      <c r="P70" s="4">
        <f t="shared" si="0"/>
        <v>105.23728813559322</v>
      </c>
      <c r="Q70" s="4">
        <f t="shared" si="0"/>
        <v>49.04081632653061</v>
      </c>
      <c r="R70" s="4">
        <f t="shared" si="0"/>
        <v>322.28813559322032</v>
      </c>
      <c r="S70" s="4">
        <f t="shared" si="0"/>
        <v>3277</v>
      </c>
      <c r="T70" s="4">
        <f t="shared" si="0"/>
        <v>2676.75</v>
      </c>
      <c r="U70" s="4">
        <f t="shared" si="0"/>
        <v>8098.3</v>
      </c>
      <c r="V70" s="4">
        <f t="shared" si="0"/>
        <v>3984.25</v>
      </c>
      <c r="W70" s="4">
        <f t="shared" si="0"/>
        <v>1212.8</v>
      </c>
      <c r="X70" s="4">
        <f t="shared" si="0"/>
        <v>1208.875</v>
      </c>
      <c r="Y70" s="4">
        <f t="shared" si="0"/>
        <v>2254.5500000000002</v>
      </c>
    </row>
    <row r="71" spans="1:25" x14ac:dyDescent="0.2">
      <c r="B71" s="2" t="s">
        <v>1078</v>
      </c>
      <c r="F71" s="4">
        <f t="shared" ref="F71:Y71" si="1">STDEV(F6:F65)</f>
        <v>90.126124366887453</v>
      </c>
      <c r="G71" s="4">
        <f t="shared" si="1"/>
        <v>314.14546407495698</v>
      </c>
      <c r="H71" s="4">
        <f t="shared" si="1"/>
        <v>44.824630033354644</v>
      </c>
      <c r="I71" s="4">
        <f t="shared" si="1"/>
        <v>48.535501596812999</v>
      </c>
      <c r="J71" s="4">
        <f t="shared" si="1"/>
        <v>3.2740589950009951</v>
      </c>
      <c r="K71" s="4">
        <f t="shared" si="1"/>
        <v>236.63195855724356</v>
      </c>
      <c r="L71" s="4">
        <f t="shared" si="1"/>
        <v>1291.4128535781686</v>
      </c>
      <c r="M71" s="4">
        <f t="shared" si="1"/>
        <v>2446.2662936935171</v>
      </c>
      <c r="N71" s="4">
        <f t="shared" si="1"/>
        <v>110.91420836016283</v>
      </c>
      <c r="O71" s="4">
        <f t="shared" si="1"/>
        <v>379.35063406453742</v>
      </c>
      <c r="P71" s="4">
        <f t="shared" si="1"/>
        <v>4.5913673984947287</v>
      </c>
      <c r="Q71" s="4">
        <f t="shared" si="1"/>
        <v>38.804509608889461</v>
      </c>
      <c r="R71" s="4">
        <f t="shared" si="1"/>
        <v>221.57882156730076</v>
      </c>
      <c r="S71" s="4">
        <f t="shared" si="1"/>
        <v>1097.8538504386988</v>
      </c>
      <c r="T71" s="4">
        <f t="shared" si="1"/>
        <v>975.22222976914213</v>
      </c>
      <c r="U71" s="4">
        <f t="shared" si="1"/>
        <v>11308.094977062068</v>
      </c>
      <c r="V71" s="4">
        <f t="shared" si="1"/>
        <v>1700.0541280975551</v>
      </c>
      <c r="W71" s="4">
        <f t="shared" si="1"/>
        <v>1821.843560510715</v>
      </c>
      <c r="X71" s="4">
        <f t="shared" si="1"/>
        <v>510.68712823872693</v>
      </c>
      <c r="Y71" s="4">
        <f t="shared" si="1"/>
        <v>916.05791301642068</v>
      </c>
    </row>
    <row r="72" spans="1:25" x14ac:dyDescent="0.2">
      <c r="B72" s="2" t="s">
        <v>365</v>
      </c>
      <c r="F72" s="2">
        <f t="shared" ref="F72:Y72" si="2">COUNTA(F6:F65)</f>
        <v>59</v>
      </c>
      <c r="G72" s="2">
        <f t="shared" si="2"/>
        <v>60</v>
      </c>
      <c r="H72" s="2">
        <f t="shared" si="2"/>
        <v>60</v>
      </c>
      <c r="I72" s="2">
        <f t="shared" si="2"/>
        <v>60</v>
      </c>
      <c r="J72" s="2">
        <f t="shared" si="2"/>
        <v>59</v>
      </c>
      <c r="K72" s="2">
        <f t="shared" si="2"/>
        <v>59</v>
      </c>
      <c r="L72" s="2">
        <f t="shared" si="2"/>
        <v>59</v>
      </c>
      <c r="M72" s="2">
        <f t="shared" si="2"/>
        <v>59</v>
      </c>
      <c r="N72" s="2">
        <f t="shared" si="2"/>
        <v>55</v>
      </c>
      <c r="O72" s="2">
        <f t="shared" si="2"/>
        <v>59</v>
      </c>
      <c r="P72" s="2">
        <f t="shared" si="2"/>
        <v>59</v>
      </c>
      <c r="Q72" s="2">
        <f t="shared" si="2"/>
        <v>49</v>
      </c>
      <c r="R72" s="2">
        <f t="shared" si="2"/>
        <v>59</v>
      </c>
      <c r="S72" s="2">
        <f t="shared" si="2"/>
        <v>40</v>
      </c>
      <c r="T72" s="2">
        <f t="shared" si="2"/>
        <v>40</v>
      </c>
      <c r="U72" s="2">
        <f t="shared" si="2"/>
        <v>40</v>
      </c>
      <c r="V72" s="2">
        <f t="shared" si="2"/>
        <v>40</v>
      </c>
      <c r="W72" s="2">
        <f t="shared" si="2"/>
        <v>40</v>
      </c>
      <c r="X72" s="2">
        <f t="shared" si="2"/>
        <v>40</v>
      </c>
      <c r="Y72" s="2">
        <f t="shared" si="2"/>
        <v>40</v>
      </c>
    </row>
  </sheetData>
  <pageMargins left="0.5" right="0.5" top="0.75" bottom="0.75" header="0.5" footer="0.5"/>
  <pageSetup orientation="portrait" horizontalDpi="0" verticalDpi="0" copies="0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4"/>
  <sheetViews>
    <sheetView showOutlineSymbols="0" defaultGridColor="0" colorId="9" workbookViewId="0"/>
  </sheetViews>
  <sheetFormatPr defaultColWidth="8.6640625" defaultRowHeight="15" x14ac:dyDescent="0.2"/>
  <cols>
    <col min="1" max="16384" width="8.6640625" style="2"/>
  </cols>
  <sheetData>
    <row r="1" spans="1:26" ht="18" x14ac:dyDescent="0.25">
      <c r="A1" s="18" t="s">
        <v>1079</v>
      </c>
      <c r="Z1" s="2" t="s">
        <v>1</v>
      </c>
    </row>
    <row r="2" spans="1:26" x14ac:dyDescent="0.2">
      <c r="A2" s="2" t="s">
        <v>1080</v>
      </c>
      <c r="Z2" s="2" t="s">
        <v>1</v>
      </c>
    </row>
    <row r="3" spans="1:26" x14ac:dyDescent="0.2">
      <c r="A3" s="2" t="s">
        <v>1081</v>
      </c>
      <c r="Z3" s="2" t="s">
        <v>1</v>
      </c>
    </row>
    <row r="4" spans="1:26" x14ac:dyDescent="0.2">
      <c r="Z4" s="2" t="s">
        <v>1</v>
      </c>
    </row>
    <row r="5" spans="1:26" x14ac:dyDescent="0.2">
      <c r="A5" s="2" t="s">
        <v>681</v>
      </c>
      <c r="B5" s="2" t="s">
        <v>285</v>
      </c>
      <c r="C5" s="2" t="s">
        <v>286</v>
      </c>
      <c r="D5" s="2" t="s">
        <v>203</v>
      </c>
      <c r="E5" s="8" t="s">
        <v>116</v>
      </c>
      <c r="F5" s="8" t="s">
        <v>117</v>
      </c>
      <c r="G5" s="8" t="s">
        <v>118</v>
      </c>
      <c r="H5" s="8" t="s">
        <v>118</v>
      </c>
      <c r="I5" s="8" t="s">
        <v>123</v>
      </c>
      <c r="J5" s="8" t="s">
        <v>134</v>
      </c>
      <c r="K5" s="8" t="s">
        <v>138</v>
      </c>
      <c r="L5" s="8" t="s">
        <v>136</v>
      </c>
      <c r="M5" s="8" t="s">
        <v>130</v>
      </c>
      <c r="N5" s="8" t="s">
        <v>133</v>
      </c>
      <c r="O5" s="8" t="s">
        <v>127</v>
      </c>
      <c r="P5" s="8" t="s">
        <v>121</v>
      </c>
      <c r="Q5" s="8" t="s">
        <v>112</v>
      </c>
      <c r="R5" s="8" t="s">
        <v>126</v>
      </c>
      <c r="S5" s="8" t="s">
        <v>122</v>
      </c>
      <c r="T5" s="8" t="s">
        <v>113</v>
      </c>
      <c r="U5" s="8" t="s">
        <v>131</v>
      </c>
      <c r="V5" s="8" t="s">
        <v>129</v>
      </c>
      <c r="W5" s="8" t="s">
        <v>149</v>
      </c>
      <c r="X5" s="8" t="s">
        <v>151</v>
      </c>
      <c r="Z5" s="2" t="s">
        <v>1</v>
      </c>
    </row>
    <row r="6" spans="1:26" x14ac:dyDescent="0.2">
      <c r="A6" s="2" t="s">
        <v>289</v>
      </c>
      <c r="B6" s="2" t="s">
        <v>290</v>
      </c>
      <c r="F6" s="8" t="s">
        <v>266</v>
      </c>
      <c r="G6" s="8" t="s">
        <v>266</v>
      </c>
      <c r="H6" s="8" t="s">
        <v>266</v>
      </c>
      <c r="I6" s="8" t="s">
        <v>266</v>
      </c>
      <c r="J6" s="8" t="s">
        <v>371</v>
      </c>
      <c r="K6" s="8" t="s">
        <v>266</v>
      </c>
      <c r="L6" s="8" t="s">
        <v>144</v>
      </c>
      <c r="M6" s="8" t="s">
        <v>144</v>
      </c>
      <c r="N6" s="8" t="s">
        <v>144</v>
      </c>
      <c r="O6" s="8" t="s">
        <v>144</v>
      </c>
      <c r="P6" s="8" t="s">
        <v>144</v>
      </c>
      <c r="Q6" s="8" t="s">
        <v>144</v>
      </c>
      <c r="R6" s="8" t="s">
        <v>144</v>
      </c>
      <c r="S6" s="8" t="s">
        <v>144</v>
      </c>
      <c r="T6" s="8" t="s">
        <v>144</v>
      </c>
      <c r="U6" s="8" t="s">
        <v>144</v>
      </c>
      <c r="V6" s="8" t="s">
        <v>144</v>
      </c>
      <c r="W6" s="8" t="s">
        <v>144</v>
      </c>
      <c r="X6" s="8" t="s">
        <v>144</v>
      </c>
      <c r="Z6" s="2" t="s">
        <v>1</v>
      </c>
    </row>
    <row r="7" spans="1:26" x14ac:dyDescent="0.2">
      <c r="Z7" s="2" t="s">
        <v>1</v>
      </c>
    </row>
    <row r="8" spans="1:26" x14ac:dyDescent="0.2">
      <c r="A8" s="7">
        <v>31536</v>
      </c>
      <c r="Z8" s="2" t="s">
        <v>1</v>
      </c>
    </row>
    <row r="9" spans="1:26" x14ac:dyDescent="0.2">
      <c r="A9" s="2" t="s">
        <v>1082</v>
      </c>
      <c r="B9" s="2" t="s">
        <v>1083</v>
      </c>
      <c r="C9" s="2" t="s">
        <v>1084</v>
      </c>
      <c r="D9" s="2" t="s">
        <v>1085</v>
      </c>
      <c r="E9" s="17">
        <v>3.9</v>
      </c>
      <c r="F9" s="4">
        <v>524</v>
      </c>
      <c r="G9" s="4">
        <v>194</v>
      </c>
      <c r="H9" s="4">
        <v>196</v>
      </c>
      <c r="I9" s="4">
        <v>1715</v>
      </c>
      <c r="J9" s="4">
        <v>352</v>
      </c>
      <c r="K9" s="4">
        <v>337</v>
      </c>
      <c r="L9" s="4">
        <v>432</v>
      </c>
      <c r="M9" s="4">
        <v>235</v>
      </c>
      <c r="N9" s="4">
        <v>36</v>
      </c>
      <c r="P9" s="4">
        <v>201</v>
      </c>
      <c r="Q9" s="4">
        <v>158</v>
      </c>
      <c r="R9" s="4">
        <v>1430</v>
      </c>
      <c r="S9" s="4">
        <v>120</v>
      </c>
      <c r="T9" s="4">
        <v>440</v>
      </c>
      <c r="U9" s="4">
        <v>172</v>
      </c>
      <c r="V9" s="4">
        <v>102</v>
      </c>
      <c r="W9" s="4">
        <v>58</v>
      </c>
      <c r="X9" s="4">
        <v>72</v>
      </c>
      <c r="Z9" s="2" t="s">
        <v>1</v>
      </c>
    </row>
    <row r="10" spans="1:26" x14ac:dyDescent="0.2">
      <c r="A10" s="2" t="s">
        <v>1086</v>
      </c>
      <c r="B10" s="2" t="s">
        <v>1087</v>
      </c>
      <c r="C10" s="2" t="s">
        <v>1088</v>
      </c>
      <c r="D10" s="2" t="s">
        <v>1085</v>
      </c>
      <c r="E10" s="17">
        <v>0.8</v>
      </c>
      <c r="F10" s="4">
        <v>537</v>
      </c>
      <c r="G10" s="4">
        <v>192</v>
      </c>
      <c r="H10" s="4">
        <v>192</v>
      </c>
      <c r="I10" s="4">
        <v>1714</v>
      </c>
      <c r="J10" s="4">
        <v>349</v>
      </c>
      <c r="K10" s="4">
        <v>337</v>
      </c>
      <c r="L10" s="4">
        <v>428</v>
      </c>
      <c r="M10" s="4">
        <v>244</v>
      </c>
      <c r="N10" s="4">
        <v>35</v>
      </c>
      <c r="P10" s="4">
        <v>200</v>
      </c>
      <c r="Q10" s="4">
        <v>157</v>
      </c>
      <c r="R10" s="4">
        <v>1400</v>
      </c>
      <c r="S10" s="4">
        <v>102</v>
      </c>
      <c r="T10" s="4">
        <v>381</v>
      </c>
      <c r="U10" s="4">
        <v>157</v>
      </c>
      <c r="V10" s="4">
        <v>84</v>
      </c>
      <c r="W10" s="4">
        <v>48</v>
      </c>
      <c r="X10" s="4">
        <v>44</v>
      </c>
      <c r="Z10" s="2" t="s">
        <v>1</v>
      </c>
    </row>
    <row r="11" spans="1:26" x14ac:dyDescent="0.2">
      <c r="A11" s="2" t="s">
        <v>1089</v>
      </c>
      <c r="B11" s="2" t="s">
        <v>1090</v>
      </c>
      <c r="C11" s="2" t="s">
        <v>1091</v>
      </c>
      <c r="D11" s="2" t="s">
        <v>1092</v>
      </c>
      <c r="E11" s="17">
        <v>1.6</v>
      </c>
      <c r="F11" s="4">
        <v>525</v>
      </c>
      <c r="G11" s="4">
        <v>194</v>
      </c>
      <c r="H11" s="4">
        <v>200</v>
      </c>
      <c r="I11" s="4">
        <v>1711</v>
      </c>
      <c r="J11" s="4">
        <v>351</v>
      </c>
      <c r="K11" s="4">
        <v>336</v>
      </c>
      <c r="L11" s="4">
        <v>431</v>
      </c>
      <c r="M11" s="4">
        <v>241</v>
      </c>
      <c r="N11" s="4">
        <v>36</v>
      </c>
      <c r="P11" s="4">
        <v>199</v>
      </c>
      <c r="Q11" s="4">
        <v>158</v>
      </c>
      <c r="R11" s="4">
        <v>1410</v>
      </c>
      <c r="S11" s="4">
        <v>91</v>
      </c>
      <c r="T11" s="4">
        <v>402</v>
      </c>
      <c r="U11" s="4">
        <v>168</v>
      </c>
      <c r="V11" s="4">
        <v>63</v>
      </c>
      <c r="W11" s="4">
        <v>52</v>
      </c>
      <c r="X11" s="4">
        <v>65</v>
      </c>
      <c r="Z11" s="2" t="s">
        <v>1</v>
      </c>
    </row>
    <row r="12" spans="1:26" x14ac:dyDescent="0.2">
      <c r="A12" s="2" t="s">
        <v>1093</v>
      </c>
      <c r="B12" s="2" t="s">
        <v>1094</v>
      </c>
      <c r="C12" s="2" t="s">
        <v>1095</v>
      </c>
      <c r="D12" s="2" t="s">
        <v>1096</v>
      </c>
      <c r="E12" s="17">
        <v>0</v>
      </c>
      <c r="F12" s="4">
        <v>592</v>
      </c>
      <c r="G12" s="4">
        <v>195</v>
      </c>
      <c r="H12" s="4">
        <v>200</v>
      </c>
      <c r="I12" s="4">
        <v>1712</v>
      </c>
      <c r="J12" s="4">
        <v>336</v>
      </c>
      <c r="K12" s="4">
        <v>344</v>
      </c>
      <c r="L12" s="4">
        <v>435</v>
      </c>
      <c r="M12" s="4">
        <v>240</v>
      </c>
      <c r="N12" s="4">
        <v>34</v>
      </c>
      <c r="O12" s="4">
        <v>21</v>
      </c>
      <c r="P12" s="4">
        <v>200</v>
      </c>
      <c r="Q12" s="4">
        <v>157</v>
      </c>
      <c r="R12" s="4">
        <v>1670</v>
      </c>
      <c r="S12" s="4">
        <v>103</v>
      </c>
      <c r="T12" s="4">
        <v>336</v>
      </c>
      <c r="U12" s="4">
        <v>223</v>
      </c>
      <c r="V12" s="4">
        <v>93</v>
      </c>
      <c r="W12" s="4">
        <v>50</v>
      </c>
      <c r="X12" s="4">
        <v>66</v>
      </c>
      <c r="Z12" s="2" t="s">
        <v>1</v>
      </c>
    </row>
    <row r="13" spans="1:26" x14ac:dyDescent="0.2">
      <c r="A13" s="2" t="s">
        <v>1097</v>
      </c>
      <c r="B13" s="2" t="s">
        <v>1098</v>
      </c>
      <c r="C13" s="2" t="s">
        <v>1099</v>
      </c>
      <c r="D13" s="2" t="s">
        <v>1100</v>
      </c>
      <c r="E13" s="17">
        <v>0</v>
      </c>
      <c r="F13" s="4">
        <v>531</v>
      </c>
      <c r="G13" s="4">
        <v>198</v>
      </c>
      <c r="H13" s="4">
        <v>207</v>
      </c>
      <c r="I13" s="4">
        <v>1712</v>
      </c>
      <c r="J13" s="4">
        <v>352</v>
      </c>
      <c r="K13" s="4">
        <v>338</v>
      </c>
      <c r="L13" s="4">
        <v>427</v>
      </c>
      <c r="M13" s="4">
        <v>242</v>
      </c>
      <c r="N13" s="4">
        <v>34</v>
      </c>
      <c r="O13" s="4">
        <v>20</v>
      </c>
      <c r="P13" s="4">
        <v>195</v>
      </c>
      <c r="Q13" s="4">
        <v>157</v>
      </c>
      <c r="R13" s="4">
        <v>1370</v>
      </c>
      <c r="S13" s="4">
        <v>96</v>
      </c>
      <c r="T13" s="4">
        <v>391</v>
      </c>
      <c r="U13" s="4">
        <v>146</v>
      </c>
      <c r="V13" s="4">
        <v>93</v>
      </c>
      <c r="W13" s="4">
        <v>40</v>
      </c>
      <c r="X13" s="4">
        <v>41</v>
      </c>
      <c r="Z13" s="2" t="s">
        <v>1</v>
      </c>
    </row>
    <row r="14" spans="1:26" x14ac:dyDescent="0.2">
      <c r="A14" s="2" t="s">
        <v>1101</v>
      </c>
      <c r="B14" s="2" t="s">
        <v>1102</v>
      </c>
      <c r="C14" s="2" t="s">
        <v>1103</v>
      </c>
      <c r="D14" s="2" t="s">
        <v>1104</v>
      </c>
      <c r="E14" s="17">
        <v>0</v>
      </c>
      <c r="F14" s="4">
        <v>530</v>
      </c>
      <c r="G14" s="4">
        <v>215</v>
      </c>
      <c r="H14" s="4">
        <v>224</v>
      </c>
      <c r="I14" s="4">
        <v>1714</v>
      </c>
      <c r="J14" s="4">
        <v>352</v>
      </c>
      <c r="K14" s="4">
        <v>339</v>
      </c>
      <c r="L14" s="4">
        <v>429</v>
      </c>
      <c r="M14" s="4">
        <v>240</v>
      </c>
      <c r="N14" s="4">
        <v>35</v>
      </c>
      <c r="P14" s="4">
        <v>195</v>
      </c>
      <c r="Q14" s="4">
        <v>156</v>
      </c>
      <c r="R14" s="4">
        <v>1370</v>
      </c>
      <c r="S14" s="4">
        <v>118</v>
      </c>
      <c r="T14" s="4">
        <v>396</v>
      </c>
      <c r="U14" s="4">
        <v>146</v>
      </c>
      <c r="V14" s="4">
        <v>92</v>
      </c>
      <c r="W14" s="4">
        <v>42</v>
      </c>
      <c r="X14" s="4">
        <v>39</v>
      </c>
      <c r="Z14" s="2" t="s">
        <v>1</v>
      </c>
    </row>
    <row r="15" spans="1:26" x14ac:dyDescent="0.2">
      <c r="A15" s="2" t="s">
        <v>1105</v>
      </c>
      <c r="B15" s="2" t="s">
        <v>1106</v>
      </c>
      <c r="C15" s="2" t="s">
        <v>1107</v>
      </c>
      <c r="D15" s="2" t="s">
        <v>1108</v>
      </c>
      <c r="E15" s="17">
        <v>0</v>
      </c>
      <c r="F15" s="4">
        <v>527</v>
      </c>
      <c r="G15" s="4">
        <v>216</v>
      </c>
      <c r="H15" s="4">
        <v>220</v>
      </c>
      <c r="I15" s="4">
        <v>1712</v>
      </c>
      <c r="J15" s="4">
        <v>360</v>
      </c>
      <c r="K15" s="4">
        <v>337</v>
      </c>
      <c r="L15" s="4">
        <v>431</v>
      </c>
      <c r="M15" s="4">
        <v>245</v>
      </c>
      <c r="N15" s="11" t="s">
        <v>265</v>
      </c>
      <c r="P15" s="4">
        <v>203</v>
      </c>
      <c r="Q15" s="4">
        <v>159</v>
      </c>
      <c r="R15" s="4">
        <v>1420</v>
      </c>
      <c r="S15" s="4">
        <v>188</v>
      </c>
      <c r="T15" s="4">
        <v>426</v>
      </c>
      <c r="U15" s="4">
        <v>171</v>
      </c>
      <c r="V15" s="4">
        <v>199</v>
      </c>
      <c r="W15" s="4">
        <v>46</v>
      </c>
      <c r="X15" s="4">
        <v>61</v>
      </c>
      <c r="Z15" s="2" t="s">
        <v>1</v>
      </c>
    </row>
    <row r="16" spans="1:26" x14ac:dyDescent="0.2">
      <c r="A16" s="2" t="s">
        <v>1109</v>
      </c>
      <c r="B16" s="2" t="s">
        <v>1110</v>
      </c>
      <c r="C16" s="2" t="s">
        <v>1111</v>
      </c>
      <c r="D16" s="2" t="s">
        <v>1112</v>
      </c>
      <c r="E16" s="17">
        <v>0</v>
      </c>
      <c r="F16" s="4">
        <v>527</v>
      </c>
      <c r="G16" s="4">
        <v>206</v>
      </c>
      <c r="H16" s="4">
        <v>212</v>
      </c>
      <c r="I16" s="4">
        <v>1718</v>
      </c>
      <c r="J16" s="4">
        <v>352</v>
      </c>
      <c r="M16" s="4">
        <v>240</v>
      </c>
      <c r="N16" s="4">
        <v>34</v>
      </c>
      <c r="P16" s="4">
        <v>197</v>
      </c>
      <c r="Q16" s="4">
        <v>157</v>
      </c>
      <c r="R16" s="4">
        <v>1590</v>
      </c>
      <c r="S16" s="4">
        <v>143</v>
      </c>
      <c r="T16" s="4">
        <v>392</v>
      </c>
      <c r="U16" s="4">
        <v>188</v>
      </c>
      <c r="V16" s="4">
        <v>290</v>
      </c>
      <c r="W16" s="4">
        <v>487</v>
      </c>
      <c r="X16" s="4">
        <v>925</v>
      </c>
      <c r="Z16" s="2" t="s">
        <v>1</v>
      </c>
    </row>
    <row r="17" spans="1:26" x14ac:dyDescent="0.2">
      <c r="Z17" s="2" t="s">
        <v>1</v>
      </c>
    </row>
    <row r="18" spans="1:26" x14ac:dyDescent="0.2">
      <c r="A18" s="7">
        <v>31537</v>
      </c>
      <c r="Z18" s="2" t="s">
        <v>1</v>
      </c>
    </row>
    <row r="19" spans="1:26" x14ac:dyDescent="0.2">
      <c r="A19" s="2" t="s">
        <v>1113</v>
      </c>
      <c r="B19" s="2" t="s">
        <v>1114</v>
      </c>
      <c r="D19" s="2" t="s">
        <v>1115</v>
      </c>
      <c r="E19" s="17">
        <v>0.8</v>
      </c>
      <c r="F19" s="4">
        <v>533</v>
      </c>
      <c r="G19" s="4">
        <v>204</v>
      </c>
      <c r="H19" s="4">
        <v>206</v>
      </c>
      <c r="I19" s="4">
        <v>1701</v>
      </c>
      <c r="J19" s="4">
        <v>357</v>
      </c>
      <c r="K19" s="4">
        <v>337</v>
      </c>
      <c r="L19" s="4">
        <v>420</v>
      </c>
      <c r="M19" s="4">
        <v>238</v>
      </c>
      <c r="N19" s="4">
        <v>34</v>
      </c>
      <c r="P19" s="4">
        <v>193</v>
      </c>
      <c r="Q19" s="4">
        <v>157</v>
      </c>
      <c r="R19" s="4">
        <v>1120</v>
      </c>
      <c r="S19" s="4">
        <v>89</v>
      </c>
      <c r="T19" s="4">
        <v>404</v>
      </c>
      <c r="U19" s="4">
        <v>110</v>
      </c>
      <c r="V19" s="4">
        <v>81</v>
      </c>
      <c r="W19" s="4">
        <v>27</v>
      </c>
      <c r="X19" s="4">
        <v>29</v>
      </c>
      <c r="Z19" s="2" t="s">
        <v>1</v>
      </c>
    </row>
    <row r="20" spans="1:26" x14ac:dyDescent="0.2">
      <c r="A20" s="2" t="s">
        <v>1116</v>
      </c>
      <c r="B20" s="2" t="s">
        <v>613</v>
      </c>
      <c r="D20" s="2" t="s">
        <v>1117</v>
      </c>
      <c r="E20" s="17">
        <v>1.2</v>
      </c>
      <c r="F20" s="4">
        <v>555</v>
      </c>
      <c r="G20" s="4">
        <v>250</v>
      </c>
      <c r="H20" s="4">
        <v>258</v>
      </c>
      <c r="I20" s="4">
        <v>1706</v>
      </c>
      <c r="J20" s="4">
        <v>352</v>
      </c>
      <c r="K20" s="4">
        <v>337</v>
      </c>
      <c r="L20" s="4">
        <v>420</v>
      </c>
      <c r="M20" s="4">
        <v>234</v>
      </c>
      <c r="N20" s="4">
        <v>34</v>
      </c>
      <c r="P20" s="4">
        <v>188</v>
      </c>
      <c r="Q20" s="4">
        <v>153</v>
      </c>
      <c r="R20" s="4">
        <v>1690</v>
      </c>
      <c r="S20" s="4">
        <v>514</v>
      </c>
      <c r="T20" s="4">
        <v>437</v>
      </c>
      <c r="U20" s="4">
        <v>239</v>
      </c>
      <c r="V20" s="4">
        <v>538</v>
      </c>
      <c r="W20" s="4">
        <v>38</v>
      </c>
      <c r="X20" s="4">
        <v>70</v>
      </c>
      <c r="Z20" s="2" t="s">
        <v>1</v>
      </c>
    </row>
    <row r="21" spans="1:26" x14ac:dyDescent="0.2">
      <c r="A21" s="2" t="s">
        <v>1118</v>
      </c>
      <c r="B21" s="2" t="s">
        <v>1119</v>
      </c>
      <c r="C21" s="2" t="s">
        <v>1120</v>
      </c>
      <c r="D21" s="2" t="s">
        <v>1121</v>
      </c>
      <c r="E21" s="17">
        <v>6.6</v>
      </c>
      <c r="F21" s="4">
        <v>529</v>
      </c>
      <c r="G21" s="4">
        <v>202</v>
      </c>
      <c r="H21" s="4">
        <v>209</v>
      </c>
      <c r="I21" s="4">
        <v>1702</v>
      </c>
      <c r="J21" s="4">
        <v>352</v>
      </c>
      <c r="K21" s="4">
        <v>336</v>
      </c>
      <c r="L21" s="4">
        <v>422</v>
      </c>
      <c r="M21" s="4">
        <v>240</v>
      </c>
      <c r="N21" s="4">
        <v>37</v>
      </c>
      <c r="O21" s="4">
        <v>19</v>
      </c>
      <c r="P21" s="4">
        <v>194</v>
      </c>
      <c r="Q21" s="4">
        <v>158</v>
      </c>
      <c r="R21" s="4">
        <v>1090</v>
      </c>
      <c r="S21" s="4">
        <v>63</v>
      </c>
      <c r="T21" s="4">
        <v>393</v>
      </c>
      <c r="U21" s="4">
        <v>101</v>
      </c>
      <c r="V21" s="4">
        <v>57</v>
      </c>
      <c r="W21" s="4">
        <v>27</v>
      </c>
      <c r="X21" s="4">
        <v>27</v>
      </c>
      <c r="Z21" s="2" t="s">
        <v>1</v>
      </c>
    </row>
    <row r="22" spans="1:26" x14ac:dyDescent="0.2">
      <c r="A22" s="2" t="s">
        <v>1122</v>
      </c>
      <c r="B22" s="2" t="s">
        <v>1123</v>
      </c>
      <c r="C22" s="2" t="s">
        <v>1124</v>
      </c>
      <c r="D22" s="2" t="s">
        <v>1125</v>
      </c>
      <c r="E22" s="17">
        <v>3.1</v>
      </c>
      <c r="F22" s="4">
        <v>528</v>
      </c>
      <c r="G22" s="4">
        <v>186</v>
      </c>
      <c r="H22" s="4">
        <v>190</v>
      </c>
      <c r="I22" s="4">
        <v>1701</v>
      </c>
      <c r="J22" s="4">
        <v>352</v>
      </c>
      <c r="K22" s="4">
        <v>335</v>
      </c>
      <c r="L22" s="4">
        <v>461</v>
      </c>
      <c r="M22" s="4">
        <v>237</v>
      </c>
      <c r="N22" s="4">
        <v>35</v>
      </c>
      <c r="P22" s="4">
        <v>192</v>
      </c>
      <c r="Q22" s="4">
        <v>155</v>
      </c>
      <c r="R22" s="4">
        <v>1120</v>
      </c>
      <c r="S22" s="4">
        <v>70</v>
      </c>
      <c r="T22" s="4">
        <v>413</v>
      </c>
      <c r="U22" s="4">
        <v>101</v>
      </c>
      <c r="V22" s="4">
        <v>62</v>
      </c>
      <c r="W22" s="4">
        <v>19</v>
      </c>
      <c r="X22" s="4">
        <v>19</v>
      </c>
      <c r="Z22" s="2" t="s">
        <v>1</v>
      </c>
    </row>
    <row r="23" spans="1:26" x14ac:dyDescent="0.2">
      <c r="A23" s="2" t="s">
        <v>1126</v>
      </c>
      <c r="B23" s="2" t="s">
        <v>1127</v>
      </c>
      <c r="C23" s="2" t="s">
        <v>1128</v>
      </c>
      <c r="D23" s="2" t="s">
        <v>1129</v>
      </c>
      <c r="E23" s="17">
        <v>9.4</v>
      </c>
      <c r="F23" s="4">
        <v>532</v>
      </c>
      <c r="G23" s="4">
        <v>205</v>
      </c>
      <c r="H23" s="4">
        <v>212</v>
      </c>
      <c r="I23" s="4">
        <v>1699</v>
      </c>
      <c r="J23" s="4">
        <v>351</v>
      </c>
      <c r="K23" s="4">
        <v>337</v>
      </c>
      <c r="L23" s="4">
        <v>419</v>
      </c>
      <c r="M23" s="4">
        <v>241</v>
      </c>
      <c r="N23" s="4">
        <v>37</v>
      </c>
      <c r="P23" s="4">
        <v>192</v>
      </c>
      <c r="Q23" s="4">
        <v>155</v>
      </c>
      <c r="R23" s="4">
        <v>1070</v>
      </c>
      <c r="S23" s="4">
        <v>67</v>
      </c>
      <c r="T23" s="4">
        <v>369</v>
      </c>
      <c r="U23" s="4">
        <v>92</v>
      </c>
      <c r="V23" s="4">
        <v>76</v>
      </c>
      <c r="W23" s="4">
        <v>23</v>
      </c>
      <c r="X23" s="4">
        <v>27</v>
      </c>
      <c r="Z23" s="2" t="s">
        <v>1</v>
      </c>
    </row>
    <row r="24" spans="1:26" x14ac:dyDescent="0.2">
      <c r="A24" s="2" t="s">
        <v>1130</v>
      </c>
      <c r="B24" s="2" t="s">
        <v>1131</v>
      </c>
      <c r="C24" s="2" t="s">
        <v>1132</v>
      </c>
      <c r="D24" s="2" t="s">
        <v>1133</v>
      </c>
      <c r="E24" s="17">
        <v>2.7</v>
      </c>
      <c r="F24" s="4">
        <v>522</v>
      </c>
      <c r="G24" s="4">
        <v>224</v>
      </c>
      <c r="H24" s="4">
        <v>237</v>
      </c>
      <c r="I24" s="4">
        <v>1702</v>
      </c>
      <c r="J24" s="4">
        <v>352</v>
      </c>
      <c r="K24" s="4">
        <v>335</v>
      </c>
      <c r="L24" s="4">
        <v>419</v>
      </c>
      <c r="M24" s="4">
        <v>238</v>
      </c>
      <c r="N24" s="4">
        <v>34</v>
      </c>
      <c r="O24" s="4">
        <v>53</v>
      </c>
      <c r="P24" s="4">
        <v>191</v>
      </c>
      <c r="Q24" s="4">
        <v>157</v>
      </c>
      <c r="R24" s="4">
        <v>1080</v>
      </c>
      <c r="S24" s="4">
        <v>197</v>
      </c>
      <c r="T24" s="4">
        <v>411</v>
      </c>
      <c r="U24" s="4">
        <v>89</v>
      </c>
      <c r="V24" s="4">
        <v>169</v>
      </c>
      <c r="W24" s="4">
        <v>21</v>
      </c>
      <c r="X24" s="4">
        <v>26</v>
      </c>
      <c r="Z24" s="2" t="s">
        <v>1</v>
      </c>
    </row>
    <row r="25" spans="1:26" x14ac:dyDescent="0.2">
      <c r="A25" s="2" t="s">
        <v>1134</v>
      </c>
      <c r="B25" s="2" t="s">
        <v>1135</v>
      </c>
      <c r="D25" s="2" t="s">
        <v>1136</v>
      </c>
      <c r="E25" s="17">
        <v>3.1</v>
      </c>
      <c r="F25" s="4">
        <v>532</v>
      </c>
      <c r="G25" s="4">
        <v>178</v>
      </c>
      <c r="H25" s="4">
        <v>184</v>
      </c>
      <c r="I25" s="4">
        <v>1693</v>
      </c>
      <c r="J25" s="4">
        <v>358</v>
      </c>
      <c r="K25" s="4">
        <v>344</v>
      </c>
      <c r="L25" s="4">
        <v>417</v>
      </c>
      <c r="M25" s="4">
        <v>234</v>
      </c>
      <c r="N25" s="4">
        <v>34</v>
      </c>
      <c r="P25" s="4">
        <v>188</v>
      </c>
      <c r="Q25" s="4">
        <v>154</v>
      </c>
      <c r="R25" s="4">
        <v>1140</v>
      </c>
      <c r="S25" s="4">
        <v>102</v>
      </c>
      <c r="T25" s="4">
        <v>393</v>
      </c>
      <c r="U25" s="4">
        <v>130</v>
      </c>
      <c r="V25" s="4">
        <v>103</v>
      </c>
      <c r="W25" s="4">
        <v>49</v>
      </c>
      <c r="X25" s="4">
        <v>101</v>
      </c>
      <c r="Z25" s="2" t="s">
        <v>1</v>
      </c>
    </row>
    <row r="26" spans="1:26" x14ac:dyDescent="0.2">
      <c r="Z26" s="2" t="s">
        <v>1</v>
      </c>
    </row>
    <row r="27" spans="1:26" x14ac:dyDescent="0.2">
      <c r="E27" s="8" t="s">
        <v>116</v>
      </c>
      <c r="F27" s="8" t="s">
        <v>117</v>
      </c>
      <c r="G27" s="8" t="s">
        <v>118</v>
      </c>
      <c r="H27" s="8" t="s">
        <v>118</v>
      </c>
      <c r="I27" s="8" t="s">
        <v>123</v>
      </c>
      <c r="J27" s="8" t="s">
        <v>134</v>
      </c>
      <c r="K27" s="8" t="s">
        <v>138</v>
      </c>
      <c r="L27" s="8" t="s">
        <v>136</v>
      </c>
      <c r="M27" s="8" t="s">
        <v>130</v>
      </c>
      <c r="N27" s="8" t="s">
        <v>133</v>
      </c>
      <c r="O27" s="8" t="s">
        <v>127</v>
      </c>
      <c r="P27" s="8" t="s">
        <v>121</v>
      </c>
      <c r="Q27" s="8" t="s">
        <v>112</v>
      </c>
      <c r="R27" s="8" t="s">
        <v>126</v>
      </c>
      <c r="S27" s="8" t="s">
        <v>122</v>
      </c>
      <c r="T27" s="8" t="s">
        <v>113</v>
      </c>
      <c r="U27" s="8" t="s">
        <v>131</v>
      </c>
      <c r="V27" s="8" t="s">
        <v>129</v>
      </c>
      <c r="W27" s="8" t="s">
        <v>149</v>
      </c>
      <c r="X27" s="8" t="s">
        <v>151</v>
      </c>
      <c r="Z27" s="2" t="s">
        <v>1</v>
      </c>
    </row>
    <row r="28" spans="1:26" x14ac:dyDescent="0.2">
      <c r="F28" s="8" t="s">
        <v>266</v>
      </c>
      <c r="G28" s="8" t="s">
        <v>266</v>
      </c>
      <c r="H28" s="8" t="s">
        <v>266</v>
      </c>
      <c r="I28" s="8" t="s">
        <v>266</v>
      </c>
      <c r="J28" s="8" t="s">
        <v>371</v>
      </c>
      <c r="K28" s="8" t="s">
        <v>266</v>
      </c>
      <c r="L28" s="8" t="s">
        <v>144</v>
      </c>
      <c r="M28" s="8" t="s">
        <v>144</v>
      </c>
      <c r="N28" s="8" t="s">
        <v>144</v>
      </c>
      <c r="O28" s="8" t="s">
        <v>144</v>
      </c>
      <c r="P28" s="8" t="s">
        <v>144</v>
      </c>
      <c r="Q28" s="8" t="s">
        <v>144</v>
      </c>
      <c r="R28" s="8" t="s">
        <v>144</v>
      </c>
      <c r="S28" s="8" t="s">
        <v>144</v>
      </c>
      <c r="T28" s="8" t="s">
        <v>144</v>
      </c>
      <c r="U28" s="8" t="s">
        <v>144</v>
      </c>
      <c r="V28" s="8" t="s">
        <v>144</v>
      </c>
      <c r="W28" s="8" t="s">
        <v>144</v>
      </c>
      <c r="X28" s="8" t="s">
        <v>144</v>
      </c>
      <c r="Z28" s="2" t="s">
        <v>1</v>
      </c>
    </row>
    <row r="29" spans="1:26" x14ac:dyDescent="0.2">
      <c r="Z29" s="2" t="s">
        <v>1</v>
      </c>
    </row>
    <row r="30" spans="1:26" x14ac:dyDescent="0.2">
      <c r="B30" s="2" t="s">
        <v>363</v>
      </c>
      <c r="C30" s="7">
        <f>AVERAGE(A18,A8)</f>
        <v>31536.5</v>
      </c>
      <c r="D30" s="4" t="e">
        <f t="shared" ref="D30:X30" si="0">AVERAGE(D7:D23)</f>
        <v>#DIV/0!</v>
      </c>
      <c r="E30" s="4">
        <f t="shared" si="0"/>
        <v>2.1076923076923078</v>
      </c>
      <c r="F30" s="4">
        <f t="shared" si="0"/>
        <v>536.15384615384619</v>
      </c>
      <c r="G30" s="4">
        <f t="shared" si="0"/>
        <v>204.38461538461539</v>
      </c>
      <c r="H30" s="4">
        <f t="shared" si="0"/>
        <v>209.69230769230768</v>
      </c>
      <c r="I30" s="4">
        <f t="shared" si="0"/>
        <v>1709</v>
      </c>
      <c r="J30" s="4">
        <f t="shared" si="0"/>
        <v>351.38461538461536</v>
      </c>
      <c r="K30" s="4">
        <f t="shared" si="0"/>
        <v>337.5</v>
      </c>
      <c r="L30" s="4">
        <f t="shared" si="0"/>
        <v>429.58333333333331</v>
      </c>
      <c r="M30" s="4">
        <f t="shared" si="0"/>
        <v>239.76923076923077</v>
      </c>
      <c r="N30" s="4">
        <f t="shared" si="0"/>
        <v>35.083333333333336</v>
      </c>
      <c r="O30" s="4">
        <f t="shared" si="0"/>
        <v>20</v>
      </c>
      <c r="P30" s="4">
        <f t="shared" si="0"/>
        <v>196.07692307692307</v>
      </c>
      <c r="Q30" s="4">
        <f t="shared" si="0"/>
        <v>156.69230769230768</v>
      </c>
      <c r="R30" s="4">
        <f t="shared" si="0"/>
        <v>1365.3846153846155</v>
      </c>
      <c r="S30" s="4">
        <f t="shared" si="0"/>
        <v>135.69230769230768</v>
      </c>
      <c r="T30" s="4">
        <f t="shared" si="0"/>
        <v>398.46153846153845</v>
      </c>
      <c r="U30" s="4">
        <f t="shared" si="0"/>
        <v>154.92307692307693</v>
      </c>
      <c r="V30" s="4">
        <f t="shared" si="0"/>
        <v>140.76923076923077</v>
      </c>
      <c r="W30" s="4">
        <f t="shared" si="0"/>
        <v>73.615384615384613</v>
      </c>
      <c r="X30" s="4">
        <f t="shared" si="0"/>
        <v>114.23076923076923</v>
      </c>
      <c r="Z30" s="2" t="s">
        <v>1</v>
      </c>
    </row>
    <row r="31" spans="1:26" x14ac:dyDescent="0.2">
      <c r="B31" s="2" t="s">
        <v>364</v>
      </c>
      <c r="C31" s="4"/>
      <c r="D31" s="4" t="e">
        <f t="shared" ref="D31:X31" si="1">STDEV(D7:D23)</f>
        <v>#DIV/0!</v>
      </c>
      <c r="E31" s="4">
        <f t="shared" si="1"/>
        <v>2.9477283735280913</v>
      </c>
      <c r="F31" s="4">
        <f t="shared" si="1"/>
        <v>18.537557164875462</v>
      </c>
      <c r="G31" s="4">
        <f t="shared" si="1"/>
        <v>16.261090889699773</v>
      </c>
      <c r="H31" s="4">
        <f t="shared" si="1"/>
        <v>17.684195464616682</v>
      </c>
      <c r="I31" s="4">
        <f t="shared" si="1"/>
        <v>6.3508529610858835</v>
      </c>
      <c r="J31" s="4">
        <f t="shared" si="1"/>
        <v>5.4089195091450799</v>
      </c>
      <c r="K31" s="4">
        <f t="shared" si="1"/>
        <v>2.2763607319179844</v>
      </c>
      <c r="L31" s="4">
        <f t="shared" si="1"/>
        <v>11.236776740469285</v>
      </c>
      <c r="M31" s="4">
        <f t="shared" si="1"/>
        <v>3.1663292667758078</v>
      </c>
      <c r="N31" s="4">
        <f t="shared" si="1"/>
        <v>1.1645001528813148</v>
      </c>
      <c r="O31" s="4">
        <f t="shared" si="1"/>
        <v>1</v>
      </c>
      <c r="P31" s="4">
        <f t="shared" si="1"/>
        <v>4.3485924631145201</v>
      </c>
      <c r="Q31" s="4">
        <f t="shared" si="1"/>
        <v>1.6012815380508714</v>
      </c>
      <c r="R31" s="4">
        <f t="shared" si="1"/>
        <v>212.62703593441813</v>
      </c>
      <c r="S31" s="4">
        <f t="shared" si="1"/>
        <v>118.58216885025661</v>
      </c>
      <c r="T31" s="4">
        <f t="shared" si="1"/>
        <v>28.034548283072041</v>
      </c>
      <c r="U31" s="4">
        <f t="shared" si="1"/>
        <v>46.075050259443621</v>
      </c>
      <c r="V31" s="4">
        <f t="shared" si="1"/>
        <v>136.06319233243173</v>
      </c>
      <c r="W31" s="4">
        <f t="shared" si="1"/>
        <v>124.78751170258616</v>
      </c>
      <c r="X31" s="4">
        <f t="shared" si="1"/>
        <v>244.29768515964079</v>
      </c>
      <c r="Z31" s="2" t="s">
        <v>1</v>
      </c>
    </row>
    <row r="32" spans="1:26" x14ac:dyDescent="0.2">
      <c r="B32" s="2" t="s">
        <v>365</v>
      </c>
      <c r="D32" s="2">
        <f t="shared" ref="D32:X32" si="2">COUNTA(D7:D23)</f>
        <v>13</v>
      </c>
      <c r="E32" s="2">
        <f t="shared" si="2"/>
        <v>13</v>
      </c>
      <c r="F32" s="2">
        <f t="shared" si="2"/>
        <v>13</v>
      </c>
      <c r="G32" s="2">
        <f t="shared" si="2"/>
        <v>13</v>
      </c>
      <c r="H32" s="2">
        <f t="shared" si="2"/>
        <v>13</v>
      </c>
      <c r="I32" s="2">
        <f t="shared" si="2"/>
        <v>13</v>
      </c>
      <c r="J32" s="2">
        <f t="shared" si="2"/>
        <v>13</v>
      </c>
      <c r="K32" s="2">
        <f t="shared" si="2"/>
        <v>12</v>
      </c>
      <c r="L32" s="2">
        <f t="shared" si="2"/>
        <v>12</v>
      </c>
      <c r="M32" s="2">
        <f t="shared" si="2"/>
        <v>13</v>
      </c>
      <c r="N32" s="2">
        <f t="shared" si="2"/>
        <v>13</v>
      </c>
      <c r="O32" s="2">
        <f t="shared" si="2"/>
        <v>3</v>
      </c>
      <c r="P32" s="2">
        <f t="shared" si="2"/>
        <v>13</v>
      </c>
      <c r="Q32" s="2">
        <f t="shared" si="2"/>
        <v>13</v>
      </c>
      <c r="R32" s="2">
        <f t="shared" si="2"/>
        <v>13</v>
      </c>
      <c r="S32" s="2">
        <f t="shared" si="2"/>
        <v>13</v>
      </c>
      <c r="T32" s="2">
        <f t="shared" si="2"/>
        <v>13</v>
      </c>
      <c r="U32" s="2">
        <f t="shared" si="2"/>
        <v>13</v>
      </c>
      <c r="V32" s="2">
        <f t="shared" si="2"/>
        <v>13</v>
      </c>
      <c r="W32" s="2">
        <f t="shared" si="2"/>
        <v>13</v>
      </c>
      <c r="X32" s="2">
        <f t="shared" si="2"/>
        <v>13</v>
      </c>
      <c r="Z32" s="2" t="s">
        <v>1</v>
      </c>
    </row>
    <row r="33" spans="1:26" x14ac:dyDescent="0.2">
      <c r="Z33" s="2" t="s">
        <v>1</v>
      </c>
    </row>
    <row r="34" spans="1:26" x14ac:dyDescent="0.2">
      <c r="Z34" s="2" t="s">
        <v>1</v>
      </c>
    </row>
    <row r="35" spans="1:26" x14ac:dyDescent="0.2">
      <c r="Z35" s="2" t="s">
        <v>1</v>
      </c>
    </row>
    <row r="36" spans="1:26" x14ac:dyDescent="0.2">
      <c r="A36" s="2" t="s">
        <v>1137</v>
      </c>
      <c r="Z36" s="2" t="s">
        <v>1</v>
      </c>
    </row>
    <row r="37" spans="1:26" x14ac:dyDescent="0.2">
      <c r="Z37" s="2" t="s">
        <v>1</v>
      </c>
    </row>
    <row r="38" spans="1:26" x14ac:dyDescent="0.2">
      <c r="A38" s="2" t="s">
        <v>1138</v>
      </c>
      <c r="Z38" s="2" t="s">
        <v>1</v>
      </c>
    </row>
    <row r="39" spans="1:26" x14ac:dyDescent="0.2">
      <c r="A39" s="2" t="s">
        <v>284</v>
      </c>
      <c r="B39" s="8" t="s">
        <v>285</v>
      </c>
      <c r="C39" s="21" t="s">
        <v>253</v>
      </c>
      <c r="D39" s="8" t="s">
        <v>286</v>
      </c>
      <c r="E39" s="15" t="s">
        <v>1139</v>
      </c>
      <c r="F39" s="8" t="s">
        <v>116</v>
      </c>
      <c r="G39" s="8" t="s">
        <v>117</v>
      </c>
      <c r="H39" s="8" t="s">
        <v>118</v>
      </c>
      <c r="I39" s="8" t="s">
        <v>118</v>
      </c>
      <c r="J39" s="8" t="s">
        <v>123</v>
      </c>
      <c r="K39" s="8" t="s">
        <v>134</v>
      </c>
      <c r="Z39" s="2" t="s">
        <v>1</v>
      </c>
    </row>
    <row r="40" spans="1:26" x14ac:dyDescent="0.2">
      <c r="A40" s="2" t="s">
        <v>289</v>
      </c>
      <c r="B40" s="8" t="s">
        <v>290</v>
      </c>
      <c r="G40" s="8" t="s">
        <v>266</v>
      </c>
      <c r="H40" s="8" t="s">
        <v>266</v>
      </c>
      <c r="I40" s="8" t="s">
        <v>266</v>
      </c>
      <c r="J40" s="8" t="s">
        <v>266</v>
      </c>
      <c r="K40" s="8" t="s">
        <v>371</v>
      </c>
      <c r="Z40" s="2" t="s">
        <v>1</v>
      </c>
    </row>
    <row r="41" spans="1:26" x14ac:dyDescent="0.2">
      <c r="Z41" s="2" t="s">
        <v>1</v>
      </c>
    </row>
    <row r="42" spans="1:26" x14ac:dyDescent="0.2">
      <c r="A42" s="2">
        <v>1</v>
      </c>
      <c r="B42" s="2">
        <v>10</v>
      </c>
      <c r="C42" s="7">
        <f>DATE(87,3,25)</f>
        <v>31861</v>
      </c>
      <c r="D42" s="2">
        <v>1330</v>
      </c>
      <c r="E42" s="2" t="s">
        <v>465</v>
      </c>
      <c r="G42" s="2">
        <v>584</v>
      </c>
      <c r="H42" s="2">
        <v>204</v>
      </c>
      <c r="I42" s="2">
        <v>203</v>
      </c>
      <c r="J42" s="2">
        <v>1690</v>
      </c>
      <c r="K42" s="2">
        <v>354</v>
      </c>
      <c r="Z42" s="2" t="s">
        <v>1</v>
      </c>
    </row>
    <row r="43" spans="1:26" x14ac:dyDescent="0.2">
      <c r="A43" s="2">
        <v>2</v>
      </c>
      <c r="B43" s="2">
        <v>11</v>
      </c>
      <c r="G43" s="2">
        <v>585</v>
      </c>
      <c r="H43" s="2">
        <v>269</v>
      </c>
      <c r="I43" s="2">
        <v>265</v>
      </c>
      <c r="J43" s="2">
        <v>1697</v>
      </c>
      <c r="K43" s="2">
        <v>359</v>
      </c>
      <c r="Z43" s="2" t="s">
        <v>1</v>
      </c>
    </row>
    <row r="44" spans="1:26" x14ac:dyDescent="0.2">
      <c r="A44" s="2">
        <v>3</v>
      </c>
      <c r="B44" s="2">
        <v>7</v>
      </c>
      <c r="C44" s="7">
        <f>DATE(87,3,26)</f>
        <v>31862</v>
      </c>
      <c r="D44" s="2">
        <v>1410</v>
      </c>
      <c r="E44" s="2" t="s">
        <v>1140</v>
      </c>
      <c r="G44" s="2">
        <v>569</v>
      </c>
      <c r="H44" s="2">
        <v>258</v>
      </c>
      <c r="I44" s="2">
        <v>251</v>
      </c>
      <c r="J44" s="2">
        <v>1681</v>
      </c>
      <c r="K44" s="2">
        <v>356</v>
      </c>
      <c r="Z44" s="2" t="s">
        <v>1</v>
      </c>
    </row>
    <row r="45" spans="1:26" x14ac:dyDescent="0.2">
      <c r="A45" s="2">
        <v>4</v>
      </c>
      <c r="B45" s="2">
        <v>8</v>
      </c>
      <c r="G45" s="2">
        <v>574</v>
      </c>
      <c r="H45" s="2">
        <v>210</v>
      </c>
      <c r="I45" s="2">
        <v>210</v>
      </c>
      <c r="J45" s="2">
        <v>1680</v>
      </c>
      <c r="K45" s="2">
        <v>353</v>
      </c>
      <c r="Z45" s="2" t="s">
        <v>1</v>
      </c>
    </row>
    <row r="46" spans="1:26" x14ac:dyDescent="0.2">
      <c r="A46" s="2">
        <v>5</v>
      </c>
      <c r="B46" s="2">
        <v>4</v>
      </c>
      <c r="C46" s="7">
        <f>DATE(87,3,29)</f>
        <v>31865</v>
      </c>
      <c r="D46" s="2">
        <v>1400</v>
      </c>
      <c r="E46" s="2" t="s">
        <v>465</v>
      </c>
      <c r="G46" s="2">
        <v>580</v>
      </c>
      <c r="H46" s="2">
        <v>261</v>
      </c>
      <c r="I46" s="2">
        <v>262</v>
      </c>
      <c r="J46" s="2">
        <v>1675</v>
      </c>
      <c r="K46" s="2">
        <v>361</v>
      </c>
      <c r="Z46" s="2" t="s">
        <v>1</v>
      </c>
    </row>
    <row r="47" spans="1:26" x14ac:dyDescent="0.2">
      <c r="A47" s="2">
        <v>6</v>
      </c>
      <c r="B47" s="2">
        <v>3</v>
      </c>
      <c r="G47" s="2">
        <v>622</v>
      </c>
      <c r="H47" s="2">
        <v>210</v>
      </c>
      <c r="I47" s="2">
        <v>208</v>
      </c>
      <c r="J47" s="2">
        <v>1681</v>
      </c>
      <c r="K47" s="2">
        <v>362</v>
      </c>
      <c r="Z47" s="2" t="s">
        <v>1</v>
      </c>
    </row>
    <row r="48" spans="1:26" x14ac:dyDescent="0.2">
      <c r="Z48" s="2" t="s">
        <v>1</v>
      </c>
    </row>
    <row r="49" spans="26:26" x14ac:dyDescent="0.2">
      <c r="Z49" s="2" t="s">
        <v>1</v>
      </c>
    </row>
    <row r="50" spans="26:26" x14ac:dyDescent="0.2">
      <c r="Z50" s="2" t="s">
        <v>1</v>
      </c>
    </row>
    <row r="51" spans="26:26" x14ac:dyDescent="0.2">
      <c r="Z51" s="2" t="s">
        <v>1</v>
      </c>
    </row>
    <row r="52" spans="26:26" x14ac:dyDescent="0.2">
      <c r="Z52" s="2" t="s">
        <v>1</v>
      </c>
    </row>
    <row r="53" spans="26:26" x14ac:dyDescent="0.2">
      <c r="Z53" s="2" t="s">
        <v>1</v>
      </c>
    </row>
    <row r="54" spans="26:26" x14ac:dyDescent="0.2">
      <c r="Z54" s="2" t="s">
        <v>1</v>
      </c>
    </row>
  </sheetData>
  <pageMargins left="0.5" right="0.5" top="0.75" bottom="0.75" header="0.5" footer="0.5"/>
  <pageSetup orientation="portrait" horizontalDpi="0" verticalDpi="0" copies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433"/>
  <sheetViews>
    <sheetView showOutlineSymbols="0" defaultGridColor="0" topLeftCell="A127" colorId="9" workbookViewId="0">
      <selection activeCell="A127" sqref="A127"/>
    </sheetView>
  </sheetViews>
  <sheetFormatPr defaultColWidth="8.6640625" defaultRowHeight="15" x14ac:dyDescent="0.2"/>
  <cols>
    <col min="1" max="16384" width="8.6640625" style="2"/>
  </cols>
  <sheetData>
    <row r="1" spans="1:44" ht="23.25" x14ac:dyDescent="0.35">
      <c r="A1" s="18" t="s">
        <v>244</v>
      </c>
      <c r="D1" s="13" t="s">
        <v>245</v>
      </c>
      <c r="E1" s="2" t="s">
        <v>246</v>
      </c>
      <c r="AL1" s="2" t="s">
        <v>23</v>
      </c>
      <c r="AM1" s="6" t="s">
        <v>247</v>
      </c>
      <c r="AR1" s="2" t="s">
        <v>1</v>
      </c>
    </row>
    <row r="2" spans="1:44" ht="18" x14ac:dyDescent="0.25">
      <c r="A2" s="18" t="s">
        <v>248</v>
      </c>
      <c r="E2" s="2" t="s">
        <v>249</v>
      </c>
      <c r="AL2" s="2" t="s">
        <v>23</v>
      </c>
      <c r="AR2" s="2" t="s">
        <v>1</v>
      </c>
    </row>
    <row r="3" spans="1:44" ht="18" x14ac:dyDescent="0.25">
      <c r="A3" s="18" t="s">
        <v>250</v>
      </c>
      <c r="E3" s="2" t="s">
        <v>251</v>
      </c>
      <c r="F3" s="2" t="s">
        <v>252</v>
      </c>
      <c r="AL3" s="2" t="s">
        <v>23</v>
      </c>
      <c r="AN3" s="15" t="s">
        <v>253</v>
      </c>
      <c r="AO3" s="8" t="s">
        <v>254</v>
      </c>
      <c r="AR3" s="2" t="s">
        <v>1</v>
      </c>
    </row>
    <row r="4" spans="1:44" ht="18" x14ac:dyDescent="0.25">
      <c r="A4" s="18"/>
      <c r="E4" s="2" t="s">
        <v>121</v>
      </c>
      <c r="F4" s="2">
        <v>0.8</v>
      </c>
      <c r="AL4" s="2" t="s">
        <v>23</v>
      </c>
      <c r="AO4" s="8" t="s">
        <v>144</v>
      </c>
      <c r="AP4" s="2" t="s">
        <v>255</v>
      </c>
      <c r="AR4" s="2" t="s">
        <v>1</v>
      </c>
    </row>
    <row r="5" spans="1:44" ht="18" x14ac:dyDescent="0.25">
      <c r="A5" s="18"/>
      <c r="E5" s="2" t="s">
        <v>112</v>
      </c>
      <c r="F5" s="2">
        <v>0.8</v>
      </c>
      <c r="AL5" s="2" t="s">
        <v>23</v>
      </c>
      <c r="AR5" s="2" t="s">
        <v>1</v>
      </c>
    </row>
    <row r="6" spans="1:44" ht="18" x14ac:dyDescent="0.25">
      <c r="A6" s="18"/>
      <c r="E6" s="2" t="s">
        <v>138</v>
      </c>
      <c r="F6" s="2">
        <v>0.91</v>
      </c>
      <c r="G6" s="2" t="s">
        <v>256</v>
      </c>
      <c r="H6" s="2">
        <f>0.91*0.981</f>
        <v>0.89271</v>
      </c>
      <c r="I6" s="2" t="s">
        <v>257</v>
      </c>
      <c r="AL6" s="2" t="s">
        <v>23</v>
      </c>
      <c r="AM6" s="2" t="s">
        <v>258</v>
      </c>
      <c r="AN6" s="7">
        <f>DATE(80,11,12)</f>
        <v>29537</v>
      </c>
      <c r="AO6" s="2">
        <v>318</v>
      </c>
      <c r="AR6" s="2" t="s">
        <v>1</v>
      </c>
    </row>
    <row r="7" spans="1:44" ht="18" x14ac:dyDescent="0.25">
      <c r="A7" s="18"/>
      <c r="E7" s="2" t="s">
        <v>130</v>
      </c>
      <c r="F7" s="2">
        <v>0.96</v>
      </c>
      <c r="AL7" s="2" t="s">
        <v>23</v>
      </c>
      <c r="AM7" s="2" t="s">
        <v>259</v>
      </c>
      <c r="AN7" s="7">
        <f>DATE(81,1,15)</f>
        <v>29601</v>
      </c>
      <c r="AO7" s="4">
        <v>416.5</v>
      </c>
      <c r="AP7" s="17">
        <v>53.033008588991066</v>
      </c>
      <c r="AR7" s="2" t="s">
        <v>1</v>
      </c>
    </row>
    <row r="8" spans="1:44" ht="18" x14ac:dyDescent="0.25">
      <c r="A8" s="18"/>
      <c r="E8" s="2" t="s">
        <v>136</v>
      </c>
      <c r="F8" s="2">
        <v>0.95</v>
      </c>
      <c r="AL8" s="2" t="s">
        <v>23</v>
      </c>
      <c r="AM8" s="2" t="s">
        <v>260</v>
      </c>
      <c r="AN8" s="7">
        <f>DATE(81,2,25)</f>
        <v>29642</v>
      </c>
      <c r="AO8" s="2">
        <v>440</v>
      </c>
      <c r="AR8" s="2" t="s">
        <v>1</v>
      </c>
    </row>
    <row r="9" spans="1:44" ht="18" x14ac:dyDescent="0.25">
      <c r="A9" s="18" t="s">
        <v>244</v>
      </c>
      <c r="M9" s="6" t="s">
        <v>248</v>
      </c>
      <c r="Y9" s="6" t="s">
        <v>250</v>
      </c>
      <c r="AL9" s="2" t="s">
        <v>23</v>
      </c>
      <c r="AM9" s="2" t="s">
        <v>261</v>
      </c>
      <c r="AN9" s="7">
        <f>DATE(81,3,11)</f>
        <v>29656</v>
      </c>
      <c r="AO9" s="4">
        <v>401.33333333333331</v>
      </c>
      <c r="AP9" s="17">
        <v>42.594991880892913</v>
      </c>
      <c r="AR9" s="2" t="s">
        <v>1</v>
      </c>
    </row>
    <row r="10" spans="1:44" ht="18" x14ac:dyDescent="0.25">
      <c r="A10" s="3"/>
      <c r="M10" s="3"/>
      <c r="Q10" s="2" t="s">
        <v>125</v>
      </c>
      <c r="Y10" s="3"/>
      <c r="AL10" s="2" t="s">
        <v>23</v>
      </c>
      <c r="AM10" s="2" t="s">
        <v>262</v>
      </c>
      <c r="AN10" s="7">
        <f>DATE(81,4,17)</f>
        <v>29693</v>
      </c>
      <c r="AO10" s="2">
        <v>441</v>
      </c>
      <c r="AR10" s="2" t="s">
        <v>1</v>
      </c>
    </row>
    <row r="11" spans="1:44" x14ac:dyDescent="0.2">
      <c r="N11" s="8" t="s">
        <v>138</v>
      </c>
      <c r="O11" s="8" t="s">
        <v>136</v>
      </c>
      <c r="P11" s="8" t="s">
        <v>130</v>
      </c>
      <c r="Q11" s="8" t="s">
        <v>263</v>
      </c>
      <c r="R11" s="8" t="s">
        <v>133</v>
      </c>
      <c r="S11" s="8" t="s">
        <v>127</v>
      </c>
      <c r="T11" s="8" t="s">
        <v>121</v>
      </c>
      <c r="U11" s="8" t="s">
        <v>112</v>
      </c>
      <c r="V11" s="8" t="s">
        <v>142</v>
      </c>
      <c r="W11" s="8" t="s">
        <v>140</v>
      </c>
      <c r="Y11" s="15" t="s">
        <v>253</v>
      </c>
      <c r="Z11" s="8" t="s">
        <v>138</v>
      </c>
      <c r="AA11" s="8" t="s">
        <v>136</v>
      </c>
      <c r="AB11" s="8" t="s">
        <v>130</v>
      </c>
      <c r="AC11" s="8" t="s">
        <v>125</v>
      </c>
      <c r="AD11" s="8" t="s">
        <v>133</v>
      </c>
      <c r="AE11" s="8" t="s">
        <v>127</v>
      </c>
      <c r="AF11" s="8" t="s">
        <v>121</v>
      </c>
      <c r="AG11" s="8" t="s">
        <v>112</v>
      </c>
      <c r="AH11" s="8" t="s">
        <v>142</v>
      </c>
      <c r="AI11" s="8" t="s">
        <v>140</v>
      </c>
      <c r="AL11" s="2" t="s">
        <v>23</v>
      </c>
      <c r="AM11" s="2" t="s">
        <v>264</v>
      </c>
      <c r="AN11" s="7">
        <f>DATE(81,5,13)</f>
        <v>29719</v>
      </c>
      <c r="AO11" s="2">
        <v>438</v>
      </c>
      <c r="AP11" s="17">
        <v>46.669047558312137</v>
      </c>
      <c r="AR11" s="2" t="s">
        <v>1</v>
      </c>
    </row>
    <row r="12" spans="1:44" x14ac:dyDescent="0.2">
      <c r="B12" s="8" t="s">
        <v>138</v>
      </c>
      <c r="C12" s="8" t="s">
        <v>136</v>
      </c>
      <c r="D12" s="8" t="s">
        <v>130</v>
      </c>
      <c r="E12" s="2" t="s">
        <v>265</v>
      </c>
      <c r="F12" s="8" t="s">
        <v>133</v>
      </c>
      <c r="G12" s="8" t="s">
        <v>127</v>
      </c>
      <c r="H12" s="8" t="s">
        <v>121</v>
      </c>
      <c r="I12" s="8" t="s">
        <v>112</v>
      </c>
      <c r="J12" s="8" t="s">
        <v>142</v>
      </c>
      <c r="K12" s="8" t="s">
        <v>140</v>
      </c>
      <c r="N12" s="8" t="s">
        <v>266</v>
      </c>
      <c r="O12" s="8" t="s">
        <v>144</v>
      </c>
      <c r="P12" s="8" t="s">
        <v>144</v>
      </c>
      <c r="Q12" s="8" t="s">
        <v>144</v>
      </c>
      <c r="R12" s="8" t="s">
        <v>144</v>
      </c>
      <c r="S12" s="8" t="s">
        <v>144</v>
      </c>
      <c r="T12" s="8" t="s">
        <v>144</v>
      </c>
      <c r="U12" s="8" t="s">
        <v>144</v>
      </c>
      <c r="V12" s="8" t="s">
        <v>144</v>
      </c>
      <c r="W12" s="8" t="s">
        <v>144</v>
      </c>
      <c r="Z12" s="8" t="s">
        <v>266</v>
      </c>
      <c r="AA12" s="8" t="s">
        <v>144</v>
      </c>
      <c r="AB12" s="8" t="s">
        <v>144</v>
      </c>
      <c r="AC12" s="8" t="s">
        <v>144</v>
      </c>
      <c r="AD12" s="8" t="s">
        <v>144</v>
      </c>
      <c r="AE12" s="8" t="s">
        <v>144</v>
      </c>
      <c r="AF12" s="8" t="s">
        <v>144</v>
      </c>
      <c r="AG12" s="8" t="s">
        <v>144</v>
      </c>
      <c r="AH12" s="8" t="s">
        <v>144</v>
      </c>
      <c r="AI12" s="8" t="s">
        <v>144</v>
      </c>
      <c r="AL12" s="2" t="s">
        <v>23</v>
      </c>
      <c r="AM12" s="2" t="s">
        <v>267</v>
      </c>
      <c r="AN12" s="7">
        <f>DATE(81,6,17)</f>
        <v>29754</v>
      </c>
      <c r="AO12" s="2">
        <v>449</v>
      </c>
      <c r="AR12" s="2" t="s">
        <v>1</v>
      </c>
    </row>
    <row r="13" spans="1:44" x14ac:dyDescent="0.2">
      <c r="B13" s="8" t="s">
        <v>266</v>
      </c>
      <c r="C13" s="8" t="s">
        <v>144</v>
      </c>
      <c r="D13" s="8" t="s">
        <v>144</v>
      </c>
      <c r="E13" s="8" t="s">
        <v>144</v>
      </c>
      <c r="F13" s="8" t="s">
        <v>144</v>
      </c>
      <c r="G13" s="8" t="s">
        <v>144</v>
      </c>
      <c r="H13" s="8" t="s">
        <v>144</v>
      </c>
      <c r="I13" s="8" t="s">
        <v>144</v>
      </c>
      <c r="J13" s="8" t="s">
        <v>144</v>
      </c>
      <c r="K13" s="8" t="s">
        <v>144</v>
      </c>
      <c r="AL13" s="2" t="s">
        <v>23</v>
      </c>
      <c r="AM13" s="2" t="s">
        <v>268</v>
      </c>
      <c r="AN13" s="7">
        <f>DATE(81,7,15)</f>
        <v>29782</v>
      </c>
      <c r="AO13" s="2">
        <v>325</v>
      </c>
      <c r="AR13" s="2" t="s">
        <v>1</v>
      </c>
    </row>
    <row r="14" spans="1:44" x14ac:dyDescent="0.2">
      <c r="Y14" s="7">
        <f>DATE(82,5,17)</f>
        <v>30088</v>
      </c>
      <c r="Z14" s="4">
        <v>336.5</v>
      </c>
      <c r="AA14" s="4">
        <v>333.3</v>
      </c>
      <c r="AB14" s="4">
        <v>182.8</v>
      </c>
      <c r="AC14" s="4">
        <v>1.73</v>
      </c>
      <c r="AD14" s="4">
        <v>20.96</v>
      </c>
      <c r="AE14" s="4">
        <v>24.24</v>
      </c>
      <c r="AF14" s="4">
        <v>125.4</v>
      </c>
      <c r="AG14" s="4">
        <v>150.30000000000001</v>
      </c>
      <c r="AH14" s="4">
        <v>8.3000000000000007</v>
      </c>
      <c r="AI14" s="4">
        <v>14.28</v>
      </c>
      <c r="AL14" s="2" t="s">
        <v>23</v>
      </c>
      <c r="AM14" s="2" t="s">
        <v>269</v>
      </c>
      <c r="AN14" s="7">
        <f>DATE(81,8,19)</f>
        <v>29817</v>
      </c>
      <c r="AO14" s="2">
        <v>420</v>
      </c>
      <c r="AR14" s="2" t="s">
        <v>1</v>
      </c>
    </row>
    <row r="15" spans="1:44" x14ac:dyDescent="0.2">
      <c r="M15" s="7">
        <v>29621</v>
      </c>
      <c r="P15" s="4">
        <v>190.45</v>
      </c>
      <c r="Q15" s="4">
        <v>3.69</v>
      </c>
      <c r="R15" s="4">
        <v>17.425000000000001</v>
      </c>
      <c r="S15" s="4">
        <v>29.805</v>
      </c>
      <c r="T15" s="4">
        <v>139.6</v>
      </c>
      <c r="V15" s="4">
        <v>5.39</v>
      </c>
      <c r="W15" s="4">
        <v>54.96</v>
      </c>
      <c r="Y15" s="7">
        <f>DATE(82,5,28)</f>
        <v>30099</v>
      </c>
      <c r="Z15" s="4">
        <v>341.8</v>
      </c>
      <c r="AA15" s="4">
        <v>334.9</v>
      </c>
      <c r="AB15" s="4">
        <v>183.7</v>
      </c>
      <c r="AC15" s="4">
        <v>1.75</v>
      </c>
      <c r="AD15" s="4">
        <v>19.739999999999998</v>
      </c>
      <c r="AE15" s="4">
        <v>23.26</v>
      </c>
      <c r="AF15" s="4">
        <v>128.19999999999999</v>
      </c>
      <c r="AG15" s="4">
        <v>145.4</v>
      </c>
      <c r="AH15" s="4">
        <v>10.48</v>
      </c>
      <c r="AI15" s="4">
        <v>15.04</v>
      </c>
      <c r="AL15" s="2" t="s">
        <v>23</v>
      </c>
      <c r="AM15" s="2" t="s">
        <v>270</v>
      </c>
      <c r="AN15" s="7">
        <f>DATE(81,9,2)</f>
        <v>29831</v>
      </c>
      <c r="AO15" s="2">
        <v>367</v>
      </c>
      <c r="AR15" s="2" t="s">
        <v>1</v>
      </c>
    </row>
    <row r="16" spans="1:44" x14ac:dyDescent="0.2">
      <c r="A16" s="7">
        <v>28586</v>
      </c>
      <c r="B16" s="4"/>
      <c r="D16" s="4">
        <v>143.80000000000001</v>
      </c>
      <c r="E16" s="4">
        <v>0.96499999999999997</v>
      </c>
      <c r="F16" s="4">
        <v>12.45</v>
      </c>
      <c r="H16" s="4">
        <v>116.6</v>
      </c>
      <c r="K16" s="4">
        <v>103.24</v>
      </c>
      <c r="M16" s="7">
        <v>29636</v>
      </c>
      <c r="N16" s="4"/>
      <c r="O16" s="4"/>
      <c r="P16" s="4">
        <v>180.36666666666667</v>
      </c>
      <c r="Q16" s="4">
        <v>1.9466666666666668</v>
      </c>
      <c r="R16" s="4">
        <v>20.603333333333332</v>
      </c>
      <c r="S16" s="4">
        <v>26.433333333333334</v>
      </c>
      <c r="T16" s="4">
        <v>145.19999999999999</v>
      </c>
      <c r="U16" s="4"/>
      <c r="V16" s="4">
        <v>6.746666666666667</v>
      </c>
      <c r="W16" s="4">
        <v>48.61</v>
      </c>
      <c r="Y16" s="7">
        <f>DATE(82,6,5)</f>
        <v>30107</v>
      </c>
      <c r="Z16" s="4">
        <v>327.9</v>
      </c>
      <c r="AA16" s="4">
        <v>314.3</v>
      </c>
      <c r="AB16" s="4">
        <v>411.7</v>
      </c>
      <c r="AC16" s="4">
        <v>1.99</v>
      </c>
      <c r="AD16" s="4">
        <v>21.96</v>
      </c>
      <c r="AE16" s="4">
        <v>23.46</v>
      </c>
      <c r="AF16" s="4">
        <v>123.2</v>
      </c>
      <c r="AG16" s="4">
        <v>143.19999999999999</v>
      </c>
      <c r="AH16" s="4">
        <v>9.33</v>
      </c>
      <c r="AI16" s="4">
        <v>10.65</v>
      </c>
      <c r="AL16" s="2" t="s">
        <v>23</v>
      </c>
      <c r="AM16" s="2" t="s">
        <v>271</v>
      </c>
      <c r="AN16" s="7">
        <f>DATE(81,9,16)</f>
        <v>29845</v>
      </c>
      <c r="AO16" s="2">
        <v>392</v>
      </c>
      <c r="AR16" s="2" t="s">
        <v>1</v>
      </c>
    </row>
    <row r="17" spans="1:44" x14ac:dyDescent="0.2">
      <c r="A17" s="7">
        <v>28587</v>
      </c>
      <c r="B17" s="4"/>
      <c r="C17" s="4">
        <v>280.8</v>
      </c>
      <c r="D17" s="4">
        <v>163.19999999999999</v>
      </c>
      <c r="E17" s="4">
        <v>7.95</v>
      </c>
      <c r="F17" s="4"/>
      <c r="G17" s="4"/>
      <c r="H17" s="4">
        <v>132.30000000000001</v>
      </c>
      <c r="I17" s="4">
        <v>139.9</v>
      </c>
      <c r="J17" s="4">
        <v>33.979999999999997</v>
      </c>
      <c r="K17" s="4">
        <v>117.68</v>
      </c>
      <c r="M17" s="7">
        <v>29643</v>
      </c>
      <c r="N17" s="4"/>
      <c r="O17" s="4"/>
      <c r="P17" s="4">
        <v>191.1</v>
      </c>
      <c r="Q17" s="4">
        <v>1.1033333333333333</v>
      </c>
      <c r="R17" s="4">
        <v>20.56</v>
      </c>
      <c r="S17" s="4">
        <v>26.463333333333335</v>
      </c>
      <c r="T17" s="4">
        <v>148.30000000000001</v>
      </c>
      <c r="U17" s="4"/>
      <c r="V17" s="4">
        <v>9.09</v>
      </c>
      <c r="W17" s="4">
        <v>67.416666666666671</v>
      </c>
      <c r="Y17" s="7">
        <f>DATE(82,6,22)</f>
        <v>30124</v>
      </c>
      <c r="Z17" s="4">
        <v>332.9</v>
      </c>
      <c r="AA17" s="4">
        <v>329.4</v>
      </c>
      <c r="AB17" s="4">
        <v>183.9</v>
      </c>
      <c r="AC17" s="4">
        <v>0.96</v>
      </c>
      <c r="AD17" s="4">
        <v>19.489999999999998</v>
      </c>
      <c r="AE17" s="4">
        <v>18.88</v>
      </c>
      <c r="AF17" s="4">
        <v>129.4</v>
      </c>
      <c r="AG17" s="4">
        <v>148</v>
      </c>
      <c r="AH17" s="4"/>
      <c r="AI17" s="4">
        <v>20.079999999999998</v>
      </c>
      <c r="AL17" s="2" t="s">
        <v>23</v>
      </c>
      <c r="AM17" s="2" t="s">
        <v>272</v>
      </c>
      <c r="AN17" s="7">
        <f>DATE(81,9,30)</f>
        <v>29859</v>
      </c>
      <c r="AO17" s="2">
        <v>413</v>
      </c>
      <c r="AR17" s="2" t="s">
        <v>1</v>
      </c>
    </row>
    <row r="18" spans="1:44" x14ac:dyDescent="0.2">
      <c r="A18" s="7">
        <v>28651</v>
      </c>
      <c r="B18" s="4"/>
      <c r="C18" s="4"/>
      <c r="D18" s="4">
        <v>167.6</v>
      </c>
      <c r="E18" s="4">
        <v>0.94</v>
      </c>
      <c r="F18" s="4">
        <v>19.97</v>
      </c>
      <c r="G18" s="4">
        <v>36.299999999999997</v>
      </c>
      <c r="H18" s="4"/>
      <c r="I18" s="4"/>
      <c r="J18" s="4">
        <v>23.9</v>
      </c>
      <c r="K18" s="4">
        <v>128.21</v>
      </c>
      <c r="M18" s="7">
        <v>29651</v>
      </c>
      <c r="N18" s="4"/>
      <c r="O18" s="4"/>
      <c r="P18" s="4">
        <v>179.75</v>
      </c>
      <c r="Q18" s="4">
        <v>2.375</v>
      </c>
      <c r="R18" s="4">
        <v>22.175000000000001</v>
      </c>
      <c r="S18" s="4">
        <v>36.335000000000001</v>
      </c>
      <c r="T18" s="4">
        <v>145.6</v>
      </c>
      <c r="U18" s="4"/>
      <c r="V18" s="4">
        <v>9.26</v>
      </c>
      <c r="W18" s="4">
        <v>65.564999999999998</v>
      </c>
      <c r="Y18" s="7">
        <f>DATE(82,6,28)</f>
        <v>30130</v>
      </c>
      <c r="Z18" s="4">
        <v>327.9</v>
      </c>
      <c r="AA18" s="4">
        <v>322.8</v>
      </c>
      <c r="AB18" s="4">
        <v>182.9</v>
      </c>
      <c r="AC18" s="4">
        <v>7.69</v>
      </c>
      <c r="AD18" s="4">
        <v>19.8</v>
      </c>
      <c r="AE18" s="4">
        <v>17.21</v>
      </c>
      <c r="AF18" s="4">
        <v>117.2</v>
      </c>
      <c r="AG18" s="4">
        <v>138.5</v>
      </c>
      <c r="AH18" s="4">
        <v>5.17</v>
      </c>
      <c r="AI18" s="4">
        <v>10.81</v>
      </c>
      <c r="AL18" s="2" t="s">
        <v>23</v>
      </c>
      <c r="AM18" s="2" t="s">
        <v>273</v>
      </c>
      <c r="AN18" s="7">
        <f>DATE(81,10,14)</f>
        <v>29873</v>
      </c>
      <c r="AO18" s="4">
        <v>306</v>
      </c>
      <c r="AP18" s="17">
        <v>19.798989873223331</v>
      </c>
      <c r="AR18" s="2" t="s">
        <v>1</v>
      </c>
    </row>
    <row r="19" spans="1:44" x14ac:dyDescent="0.2">
      <c r="A19" s="7">
        <v>28651</v>
      </c>
      <c r="B19" s="4">
        <v>334.8</v>
      </c>
      <c r="C19" s="4">
        <v>288.3</v>
      </c>
      <c r="D19" s="4">
        <v>164</v>
      </c>
      <c r="E19" s="4">
        <v>1.56</v>
      </c>
      <c r="F19" s="4">
        <v>15.98</v>
      </c>
      <c r="G19" s="4">
        <v>38.39</v>
      </c>
      <c r="H19" s="4">
        <v>135.19999999999999</v>
      </c>
      <c r="I19" s="4">
        <v>145.69999999999999</v>
      </c>
      <c r="J19" s="4">
        <v>8.76</v>
      </c>
      <c r="K19" s="4">
        <v>85.31</v>
      </c>
      <c r="M19" s="7">
        <v>29664</v>
      </c>
      <c r="N19" s="4"/>
      <c r="O19" s="4"/>
      <c r="P19" s="4">
        <v>187.16666666666666</v>
      </c>
      <c r="Q19" s="4">
        <v>4.7233333333333336</v>
      </c>
      <c r="R19" s="4">
        <v>22.106666666666666</v>
      </c>
      <c r="S19" s="4">
        <v>31.286666666666665</v>
      </c>
      <c r="T19" s="4">
        <v>153.06666666666666</v>
      </c>
      <c r="U19" s="4"/>
      <c r="V19" s="4">
        <v>15.19</v>
      </c>
      <c r="W19" s="4">
        <v>87.076666666666668</v>
      </c>
      <c r="Y19" s="7">
        <f>DATE(82,7,10)</f>
        <v>30142</v>
      </c>
      <c r="Z19" s="4">
        <v>336</v>
      </c>
      <c r="AA19" s="4">
        <v>327.60000000000002</v>
      </c>
      <c r="AB19" s="4">
        <v>190.9</v>
      </c>
      <c r="AC19" s="4">
        <v>0.95</v>
      </c>
      <c r="AD19" s="4">
        <v>20.3</v>
      </c>
      <c r="AE19" s="4">
        <v>18.28</v>
      </c>
      <c r="AF19" s="4">
        <v>128</v>
      </c>
      <c r="AG19" s="4">
        <v>152.30000000000001</v>
      </c>
      <c r="AH19" s="4"/>
      <c r="AI19" s="4">
        <v>22.83</v>
      </c>
      <c r="AL19" s="2" t="s">
        <v>23</v>
      </c>
      <c r="AM19" s="2" t="s">
        <v>274</v>
      </c>
      <c r="AN19" s="7">
        <f>DATE(81,10,28)</f>
        <v>29887</v>
      </c>
      <c r="AO19" s="4">
        <v>385</v>
      </c>
      <c r="AP19" s="17">
        <v>15</v>
      </c>
      <c r="AR19" s="2" t="s">
        <v>1</v>
      </c>
    </row>
    <row r="20" spans="1:44" x14ac:dyDescent="0.2">
      <c r="A20" s="7">
        <v>28768</v>
      </c>
      <c r="B20" s="4">
        <v>331.2</v>
      </c>
      <c r="C20" s="4">
        <v>282</v>
      </c>
      <c r="D20" s="4">
        <v>160.35</v>
      </c>
      <c r="E20" s="4">
        <v>1.33</v>
      </c>
      <c r="F20" s="4">
        <v>15.67</v>
      </c>
      <c r="G20" s="4">
        <v>53.515000000000001</v>
      </c>
      <c r="H20" s="4">
        <v>156.4</v>
      </c>
      <c r="I20" s="4">
        <v>144.6</v>
      </c>
      <c r="J20" s="4">
        <v>29.54</v>
      </c>
      <c r="K20" s="4"/>
      <c r="M20" s="7">
        <v>29671</v>
      </c>
      <c r="N20" s="4"/>
      <c r="O20" s="4"/>
      <c r="P20" s="4">
        <v>191.66666666666666</v>
      </c>
      <c r="Q20" s="4">
        <v>2.5466666666666669</v>
      </c>
      <c r="R20" s="4">
        <v>23.153333333333332</v>
      </c>
      <c r="S20" s="4">
        <v>26.52</v>
      </c>
      <c r="T20" s="4">
        <v>143.53333333333333</v>
      </c>
      <c r="U20" s="4"/>
      <c r="V20" s="4">
        <v>7.4033333333333333</v>
      </c>
      <c r="W20" s="4">
        <v>61.233333333333334</v>
      </c>
      <c r="Y20" s="7">
        <f>DATE(82,7,17)</f>
        <v>30149</v>
      </c>
      <c r="Z20" s="4">
        <v>330.9</v>
      </c>
      <c r="AA20" s="4">
        <v>329</v>
      </c>
      <c r="AB20" s="4">
        <v>192.6</v>
      </c>
      <c r="AC20" s="4">
        <v>0.88</v>
      </c>
      <c r="AD20" s="4">
        <v>19.559999999999999</v>
      </c>
      <c r="AE20" s="4">
        <v>17.73</v>
      </c>
      <c r="AF20" s="4">
        <v>152.30000000000001</v>
      </c>
      <c r="AG20" s="4">
        <v>147.19999999999999</v>
      </c>
      <c r="AH20" s="4">
        <v>99.19</v>
      </c>
      <c r="AI20" s="4">
        <v>23.01</v>
      </c>
      <c r="AL20" s="2" t="s">
        <v>23</v>
      </c>
      <c r="AM20" s="2" t="s">
        <v>275</v>
      </c>
      <c r="AN20" s="7">
        <f>DATE(81,12,30)</f>
        <v>29950</v>
      </c>
      <c r="AO20" s="4">
        <v>430.5</v>
      </c>
      <c r="AP20" s="17">
        <v>14.849242404917497</v>
      </c>
      <c r="AR20" s="2" t="s">
        <v>1</v>
      </c>
    </row>
    <row r="21" spans="1:44" x14ac:dyDescent="0.2">
      <c r="A21" s="7">
        <v>28797</v>
      </c>
      <c r="B21" s="4"/>
      <c r="C21" s="4"/>
      <c r="D21" s="4">
        <v>156.18571428571428</v>
      </c>
      <c r="E21" s="4">
        <v>1.2157142857142857</v>
      </c>
      <c r="F21" s="4">
        <v>16.782857142857143</v>
      </c>
      <c r="G21" s="4">
        <v>46.26</v>
      </c>
      <c r="H21" s="4">
        <v>141.94285714285715</v>
      </c>
      <c r="I21" s="4"/>
      <c r="J21" s="4">
        <v>27.907142857142858</v>
      </c>
      <c r="K21" s="4">
        <v>136.5</v>
      </c>
      <c r="M21" s="7">
        <v>29678</v>
      </c>
      <c r="N21" s="4"/>
      <c r="O21" s="4"/>
      <c r="P21" s="4">
        <v>193.06666666666666</v>
      </c>
      <c r="Q21" s="4">
        <v>4.0266666666666664</v>
      </c>
      <c r="R21" s="4">
        <v>21.503333333333334</v>
      </c>
      <c r="S21" s="4">
        <v>27.913333333333334</v>
      </c>
      <c r="T21" s="4">
        <v>152.73333333333332</v>
      </c>
      <c r="U21" s="4"/>
      <c r="V21" s="4">
        <v>7.33</v>
      </c>
      <c r="W21" s="4">
        <v>76.069999999999993</v>
      </c>
      <c r="Y21" s="7">
        <f>DATE(82,7,26)</f>
        <v>30158</v>
      </c>
      <c r="Z21" s="4">
        <v>344.2</v>
      </c>
      <c r="AA21" s="4">
        <v>341.8</v>
      </c>
      <c r="AB21" s="4">
        <v>177</v>
      </c>
      <c r="AC21" s="4">
        <v>1.55</v>
      </c>
      <c r="AD21" s="4">
        <v>19.75</v>
      </c>
      <c r="AE21" s="4">
        <v>16.5</v>
      </c>
      <c r="AF21" s="4">
        <v>126</v>
      </c>
      <c r="AG21" s="4">
        <v>147.69999999999999</v>
      </c>
      <c r="AH21" s="4">
        <v>85.18</v>
      </c>
      <c r="AI21" s="4">
        <v>17.600000000000001</v>
      </c>
      <c r="AL21" s="2" t="s">
        <v>23</v>
      </c>
      <c r="AR21" s="2" t="s">
        <v>1</v>
      </c>
    </row>
    <row r="22" spans="1:44" x14ac:dyDescent="0.2">
      <c r="A22" s="7">
        <v>28816</v>
      </c>
      <c r="B22" s="4"/>
      <c r="C22" s="4">
        <v>286.7</v>
      </c>
      <c r="D22" s="4">
        <v>174</v>
      </c>
      <c r="E22" s="4">
        <v>2.85</v>
      </c>
      <c r="F22" s="4">
        <v>16.635000000000002</v>
      </c>
      <c r="G22" s="4">
        <v>40.869999999999997</v>
      </c>
      <c r="H22" s="4">
        <v>136.35</v>
      </c>
      <c r="I22" s="4">
        <v>159.19999999999999</v>
      </c>
      <c r="J22" s="4">
        <v>11.895</v>
      </c>
      <c r="K22" s="4">
        <v>93.83</v>
      </c>
      <c r="M22" s="7">
        <v>29685</v>
      </c>
      <c r="N22" s="4"/>
      <c r="O22" s="4"/>
      <c r="P22" s="4">
        <v>187.43333333333334</v>
      </c>
      <c r="Q22" s="4">
        <v>1.92</v>
      </c>
      <c r="R22" s="4">
        <v>22.54</v>
      </c>
      <c r="S22" s="4">
        <v>55.41</v>
      </c>
      <c r="T22" s="4">
        <v>149.19999999999999</v>
      </c>
      <c r="U22" s="4"/>
      <c r="V22" s="4">
        <v>11.54</v>
      </c>
      <c r="W22" s="4">
        <v>57.905000000000001</v>
      </c>
      <c r="Y22" s="7">
        <f>DATE(82,8,6)</f>
        <v>30169</v>
      </c>
      <c r="Z22" s="4">
        <v>334.7</v>
      </c>
      <c r="AA22" s="4">
        <v>338.9</v>
      </c>
      <c r="AB22" s="4">
        <v>192.7</v>
      </c>
      <c r="AC22" s="4">
        <v>2.31</v>
      </c>
      <c r="AD22" s="4">
        <v>20.059999999999999</v>
      </c>
      <c r="AE22" s="4">
        <v>18.39</v>
      </c>
      <c r="AF22" s="4">
        <v>130.4</v>
      </c>
      <c r="AG22" s="4">
        <v>151.1</v>
      </c>
      <c r="AH22" s="4"/>
      <c r="AI22" s="4">
        <v>19.37</v>
      </c>
      <c r="AL22" s="2" t="s">
        <v>23</v>
      </c>
      <c r="AR22" s="2" t="s">
        <v>1</v>
      </c>
    </row>
    <row r="23" spans="1:44" x14ac:dyDescent="0.2">
      <c r="A23" s="7">
        <v>28835</v>
      </c>
      <c r="B23" s="4"/>
      <c r="C23" s="4"/>
      <c r="D23" s="4">
        <v>162.4</v>
      </c>
      <c r="E23" s="4">
        <v>1.47</v>
      </c>
      <c r="F23" s="4">
        <v>16.13</v>
      </c>
      <c r="G23" s="4">
        <v>36.200000000000003</v>
      </c>
      <c r="H23" s="4">
        <v>136.30000000000001</v>
      </c>
      <c r="I23" s="4"/>
      <c r="J23" s="4"/>
      <c r="K23" s="4">
        <v>82.74</v>
      </c>
      <c r="M23" s="7">
        <v>29691</v>
      </c>
      <c r="N23" s="4"/>
      <c r="O23" s="4"/>
      <c r="P23" s="4">
        <v>172.06666666666666</v>
      </c>
      <c r="Q23" s="4">
        <v>1.36</v>
      </c>
      <c r="R23" s="4">
        <v>21.386666666666667</v>
      </c>
      <c r="S23" s="4">
        <v>22.47</v>
      </c>
      <c r="T23" s="4">
        <v>140.96666666666667</v>
      </c>
      <c r="U23" s="4"/>
      <c r="V23" s="4">
        <v>7.1566666666666663</v>
      </c>
      <c r="W23" s="4">
        <v>44.87</v>
      </c>
      <c r="Y23" s="7">
        <f>DATE(82,8,16)</f>
        <v>30179</v>
      </c>
      <c r="Z23" s="4">
        <v>327.39999999999998</v>
      </c>
      <c r="AA23" s="4">
        <v>318.89999999999998</v>
      </c>
      <c r="AB23" s="4">
        <v>220.1</v>
      </c>
      <c r="AC23" s="4">
        <v>2.98</v>
      </c>
      <c r="AD23" s="4">
        <v>25.68</v>
      </c>
      <c r="AE23" s="4">
        <v>43.62</v>
      </c>
      <c r="AF23" s="4">
        <v>127.6</v>
      </c>
      <c r="AG23" s="4">
        <v>148.19999999999999</v>
      </c>
      <c r="AH23" s="4"/>
      <c r="AI23" s="4">
        <v>97.02</v>
      </c>
      <c r="AL23" s="2" t="s">
        <v>23</v>
      </c>
      <c r="AR23" s="2" t="s">
        <v>1</v>
      </c>
    </row>
    <row r="24" spans="1:44" x14ac:dyDescent="0.2">
      <c r="A24" s="7">
        <v>28844</v>
      </c>
      <c r="B24" s="4"/>
      <c r="C24" s="4"/>
      <c r="D24" s="4">
        <v>170.65714285714284</v>
      </c>
      <c r="E24" s="4">
        <v>1.5285714285714285</v>
      </c>
      <c r="F24" s="4">
        <v>19.867142857142856</v>
      </c>
      <c r="G24" s="4">
        <v>62.295714285714283</v>
      </c>
      <c r="H24" s="4">
        <v>145.02857142857144</v>
      </c>
      <c r="I24" s="4"/>
      <c r="J24" s="4">
        <v>22.831428571428571</v>
      </c>
      <c r="K24" s="4">
        <v>114.30142857142857</v>
      </c>
      <c r="M24" s="7">
        <v>29699</v>
      </c>
      <c r="N24" s="4"/>
      <c r="O24" s="4"/>
      <c r="P24" s="4">
        <v>200.4</v>
      </c>
      <c r="Q24" s="4">
        <v>2.915</v>
      </c>
      <c r="R24" s="4">
        <v>25.695</v>
      </c>
      <c r="S24" s="4">
        <v>42.56</v>
      </c>
      <c r="T24" s="4">
        <v>151.1</v>
      </c>
      <c r="U24" s="4"/>
      <c r="V24" s="4">
        <v>7.9050000000000002</v>
      </c>
      <c r="W24" s="4">
        <v>41.93</v>
      </c>
      <c r="Y24" s="7">
        <f>DATE(82,8,25)</f>
        <v>30188</v>
      </c>
      <c r="Z24" s="4">
        <v>336</v>
      </c>
      <c r="AA24" s="4">
        <v>333.9</v>
      </c>
      <c r="AB24" s="4">
        <v>183.5</v>
      </c>
      <c r="AC24" s="4">
        <v>0.71</v>
      </c>
      <c r="AD24" s="4">
        <v>20.94</v>
      </c>
      <c r="AE24" s="4">
        <v>18.600000000000001</v>
      </c>
      <c r="AF24" s="4">
        <v>136.30000000000001</v>
      </c>
      <c r="AG24" s="4">
        <v>148.1</v>
      </c>
      <c r="AH24" s="4">
        <v>5.0999999999999996</v>
      </c>
      <c r="AI24" s="4">
        <v>13.51</v>
      </c>
      <c r="AL24" s="2" t="s">
        <v>23</v>
      </c>
      <c r="AR24" s="2" t="s">
        <v>1</v>
      </c>
    </row>
    <row r="25" spans="1:44" x14ac:dyDescent="0.2">
      <c r="A25" s="7">
        <v>28858</v>
      </c>
      <c r="B25" s="4"/>
      <c r="C25" s="4"/>
      <c r="D25" s="4">
        <v>176.25</v>
      </c>
      <c r="E25" s="4">
        <v>1.19</v>
      </c>
      <c r="F25" s="4">
        <v>16.989999999999998</v>
      </c>
      <c r="G25" s="4">
        <v>53.65</v>
      </c>
      <c r="H25" s="4">
        <v>140</v>
      </c>
      <c r="I25" s="4"/>
      <c r="J25" s="4">
        <v>29.15</v>
      </c>
      <c r="K25" s="4">
        <v>103.705</v>
      </c>
      <c r="M25" s="7">
        <v>29707</v>
      </c>
      <c r="N25" s="4"/>
      <c r="O25" s="4"/>
      <c r="P25" s="4">
        <v>196.86666666666667</v>
      </c>
      <c r="Q25" s="4">
        <v>2.21</v>
      </c>
      <c r="R25" s="4">
        <v>19.736666666666668</v>
      </c>
      <c r="S25" s="4">
        <v>34.983333333333334</v>
      </c>
      <c r="T25" s="4">
        <v>158.13333333333333</v>
      </c>
      <c r="U25" s="4"/>
      <c r="V25" s="4">
        <v>10.963333333333333</v>
      </c>
      <c r="W25" s="4">
        <v>85.19</v>
      </c>
      <c r="Y25" s="7"/>
      <c r="Z25" s="4"/>
      <c r="AA25" s="4"/>
      <c r="AB25" s="4"/>
      <c r="AC25" s="4"/>
      <c r="AD25" s="4"/>
      <c r="AE25" s="4"/>
      <c r="AF25" s="4"/>
      <c r="AG25" s="4"/>
      <c r="AH25" s="4"/>
      <c r="AI25" s="4"/>
      <c r="AL25" s="2" t="s">
        <v>23</v>
      </c>
      <c r="AR25" s="2" t="s">
        <v>1</v>
      </c>
    </row>
    <row r="26" spans="1:44" x14ac:dyDescent="0.2">
      <c r="A26" s="7">
        <v>28880</v>
      </c>
      <c r="B26" s="4"/>
      <c r="C26" s="4"/>
      <c r="D26" s="4">
        <v>167.2</v>
      </c>
      <c r="E26" s="4">
        <v>0.89749999999999996</v>
      </c>
      <c r="F26" s="4">
        <v>16.862500000000001</v>
      </c>
      <c r="G26" s="4">
        <v>58.96</v>
      </c>
      <c r="H26" s="4">
        <v>149.65</v>
      </c>
      <c r="I26" s="4"/>
      <c r="J26" s="4">
        <v>34.08</v>
      </c>
      <c r="K26" s="4">
        <v>135.79499999999999</v>
      </c>
      <c r="M26" s="7">
        <v>29714</v>
      </c>
      <c r="N26" s="4"/>
      <c r="O26" s="4"/>
      <c r="P26" s="4">
        <v>182.73333333333332</v>
      </c>
      <c r="Q26" s="4">
        <v>2.9433333333333334</v>
      </c>
      <c r="R26" s="4">
        <v>20.426666666666666</v>
      </c>
      <c r="S26" s="4">
        <v>31.236666666666668</v>
      </c>
      <c r="T26" s="4">
        <v>143.23333333333332</v>
      </c>
      <c r="U26" s="4"/>
      <c r="V26" s="4">
        <v>6.1433333333333335</v>
      </c>
      <c r="W26" s="4">
        <v>33.659999999999997</v>
      </c>
      <c r="AL26" s="2" t="s">
        <v>23</v>
      </c>
      <c r="AR26" s="2" t="s">
        <v>1</v>
      </c>
    </row>
    <row r="27" spans="1:44" x14ac:dyDescent="0.2">
      <c r="A27" s="7">
        <v>28902</v>
      </c>
      <c r="B27" s="4"/>
      <c r="C27" s="4"/>
      <c r="D27" s="4">
        <v>169.9</v>
      </c>
      <c r="E27" s="4">
        <v>0.9</v>
      </c>
      <c r="F27" s="4">
        <v>15.52</v>
      </c>
      <c r="G27" s="4">
        <v>50.67</v>
      </c>
      <c r="H27" s="4">
        <v>152.30000000000001</v>
      </c>
      <c r="I27" s="4"/>
      <c r="J27" s="4">
        <v>57.36</v>
      </c>
      <c r="K27" s="4">
        <v>118.72</v>
      </c>
      <c r="M27" s="7">
        <v>29721</v>
      </c>
      <c r="N27" s="4"/>
      <c r="O27" s="4"/>
      <c r="P27" s="4">
        <v>189.26666666666668</v>
      </c>
      <c r="Q27" s="4">
        <v>1.58</v>
      </c>
      <c r="R27" s="4">
        <v>21.916666666666668</v>
      </c>
      <c r="S27" s="4">
        <v>43.506666666666668</v>
      </c>
      <c r="T27" s="4">
        <v>145.56666666666666</v>
      </c>
      <c r="U27" s="4"/>
      <c r="V27" s="4">
        <v>4.1449999999999996</v>
      </c>
      <c r="W27" s="4">
        <v>49.866666666666667</v>
      </c>
      <c r="AL27" s="2" t="s">
        <v>23</v>
      </c>
      <c r="AR27" s="2" t="s">
        <v>1</v>
      </c>
    </row>
    <row r="28" spans="1:44" x14ac:dyDescent="0.2">
      <c r="A28" s="7">
        <v>28912</v>
      </c>
      <c r="B28" s="4">
        <v>327.5</v>
      </c>
      <c r="C28" s="4">
        <v>294.7</v>
      </c>
      <c r="D28" s="4">
        <v>171.3</v>
      </c>
      <c r="E28" s="4">
        <v>4.57</v>
      </c>
      <c r="F28" s="4">
        <v>16.14</v>
      </c>
      <c r="G28" s="4">
        <v>62.95</v>
      </c>
      <c r="H28" s="4">
        <v>141.19999999999999</v>
      </c>
      <c r="I28" s="4">
        <v>153.4</v>
      </c>
      <c r="J28" s="4">
        <v>26.63</v>
      </c>
      <c r="K28" s="4">
        <v>117.82</v>
      </c>
      <c r="M28" s="7">
        <v>29728</v>
      </c>
      <c r="N28" s="4"/>
      <c r="O28" s="4"/>
      <c r="P28" s="4">
        <v>191.02500000000001</v>
      </c>
      <c r="Q28" s="4">
        <v>3.0049999999999999</v>
      </c>
      <c r="R28" s="4">
        <v>21.405000000000001</v>
      </c>
      <c r="S28" s="4">
        <v>29.75</v>
      </c>
      <c r="T28" s="4">
        <v>150.55000000000001</v>
      </c>
      <c r="U28" s="4"/>
      <c r="V28" s="4">
        <v>4.67</v>
      </c>
      <c r="W28" s="4">
        <v>52.81</v>
      </c>
      <c r="AL28" s="2" t="s">
        <v>23</v>
      </c>
      <c r="AR28" s="2" t="s">
        <v>1</v>
      </c>
    </row>
    <row r="29" spans="1:44" x14ac:dyDescent="0.2">
      <c r="A29" s="7">
        <v>28965</v>
      </c>
      <c r="B29" s="4"/>
      <c r="C29" s="4"/>
      <c r="D29" s="4">
        <v>174.9</v>
      </c>
      <c r="E29" s="4">
        <v>1.06</v>
      </c>
      <c r="F29" s="4">
        <v>14.63</v>
      </c>
      <c r="G29" s="4">
        <v>40.9</v>
      </c>
      <c r="H29" s="4">
        <v>132.6</v>
      </c>
      <c r="I29" s="4"/>
      <c r="J29" s="4">
        <v>20.420000000000002</v>
      </c>
      <c r="K29" s="4">
        <v>102.88</v>
      </c>
      <c r="M29" s="7">
        <v>29735</v>
      </c>
      <c r="N29" s="4"/>
      <c r="O29" s="4"/>
      <c r="P29" s="4">
        <v>189.33333333333334</v>
      </c>
      <c r="Q29" s="4">
        <v>6.0366666666666671</v>
      </c>
      <c r="R29" s="4">
        <v>20.476666666666667</v>
      </c>
      <c r="S29" s="4">
        <v>25.996666666666666</v>
      </c>
      <c r="T29" s="4">
        <v>152.69999999999999</v>
      </c>
      <c r="U29" s="4"/>
      <c r="V29" s="4"/>
      <c r="W29" s="4">
        <v>34.723333333333336</v>
      </c>
      <c r="AL29" s="2" t="s">
        <v>23</v>
      </c>
      <c r="AR29" s="2" t="s">
        <v>1</v>
      </c>
    </row>
    <row r="30" spans="1:44" x14ac:dyDescent="0.2">
      <c r="A30" s="7">
        <v>28970</v>
      </c>
      <c r="B30" s="4"/>
      <c r="C30" s="4"/>
      <c r="D30" s="4">
        <v>159.5</v>
      </c>
      <c r="E30" s="4">
        <v>0.91</v>
      </c>
      <c r="F30" s="4">
        <v>15.24</v>
      </c>
      <c r="G30" s="4">
        <v>37.729999999999997</v>
      </c>
      <c r="H30" s="4">
        <v>133.69999999999999</v>
      </c>
      <c r="I30" s="4"/>
      <c r="J30" s="4">
        <v>25.5</v>
      </c>
      <c r="K30" s="4">
        <v>98.84</v>
      </c>
      <c r="M30" s="7">
        <v>29741</v>
      </c>
      <c r="N30" s="4"/>
      <c r="O30" s="4"/>
      <c r="P30" s="4">
        <v>183.83333333333334</v>
      </c>
      <c r="Q30" s="4">
        <v>2.87</v>
      </c>
      <c r="R30" s="4">
        <v>20.703333333333333</v>
      </c>
      <c r="S30" s="4">
        <v>26.203333333333333</v>
      </c>
      <c r="T30" s="4">
        <v>156.46666666666667</v>
      </c>
      <c r="U30" s="4"/>
      <c r="V30" s="4">
        <v>4.5149999999999997</v>
      </c>
      <c r="W30" s="4">
        <v>53.976666666666667</v>
      </c>
      <c r="AL30" s="2" t="s">
        <v>23</v>
      </c>
      <c r="AR30" s="2" t="s">
        <v>1</v>
      </c>
    </row>
    <row r="31" spans="1:44" x14ac:dyDescent="0.2">
      <c r="A31" s="7">
        <v>28993</v>
      </c>
      <c r="B31" s="4"/>
      <c r="C31" s="4"/>
      <c r="D31" s="4">
        <v>165.6</v>
      </c>
      <c r="E31" s="4">
        <v>1.1100000000000001</v>
      </c>
      <c r="F31" s="4">
        <v>18.78</v>
      </c>
      <c r="G31" s="4"/>
      <c r="H31" s="4">
        <v>148</v>
      </c>
      <c r="I31" s="4"/>
      <c r="J31" s="4">
        <v>51.85</v>
      </c>
      <c r="K31" s="4">
        <v>117.25700000000001</v>
      </c>
      <c r="M31" s="7">
        <v>29755</v>
      </c>
      <c r="N31" s="4"/>
      <c r="O31" s="4"/>
      <c r="P31" s="4">
        <v>192.1</v>
      </c>
      <c r="Q31" s="4">
        <v>2.5866666666666664</v>
      </c>
      <c r="R31" s="4">
        <v>20.399999999999999</v>
      </c>
      <c r="S31" s="4">
        <v>30.366666666666667</v>
      </c>
      <c r="T31" s="4">
        <v>161.96666666666667</v>
      </c>
      <c r="U31" s="4"/>
      <c r="V31" s="4">
        <v>10.213333333333333</v>
      </c>
      <c r="W31" s="4">
        <v>61.406666666666666</v>
      </c>
      <c r="AL31" s="2" t="s">
        <v>23</v>
      </c>
      <c r="AR31" s="2" t="s">
        <v>1</v>
      </c>
    </row>
    <row r="32" spans="1:44" x14ac:dyDescent="0.2">
      <c r="A32" s="7">
        <v>29048</v>
      </c>
      <c r="B32" s="4"/>
      <c r="C32" s="4"/>
      <c r="D32" s="4">
        <v>171.8</v>
      </c>
      <c r="E32" s="4">
        <v>1.0900000000000001</v>
      </c>
      <c r="F32" s="4">
        <v>17.53</v>
      </c>
      <c r="G32" s="4"/>
      <c r="H32" s="4">
        <v>146.5</v>
      </c>
      <c r="I32" s="4"/>
      <c r="J32" s="4">
        <v>16.91</v>
      </c>
      <c r="K32" s="4">
        <v>107.95</v>
      </c>
      <c r="M32" s="7">
        <v>29769</v>
      </c>
      <c r="N32" s="4">
        <v>337.13333333333333</v>
      </c>
      <c r="O32" s="4">
        <v>330.7</v>
      </c>
      <c r="P32" s="4">
        <v>197.6</v>
      </c>
      <c r="Q32" s="4">
        <v>4.66</v>
      </c>
      <c r="R32" s="4">
        <v>22.326666666666668</v>
      </c>
      <c r="S32" s="4">
        <v>68.053333333333327</v>
      </c>
      <c r="T32" s="4">
        <v>159.30000000000001</v>
      </c>
      <c r="U32" s="4">
        <v>150.56666666666666</v>
      </c>
      <c r="V32" s="4">
        <v>12.836666666666666</v>
      </c>
      <c r="W32" s="4">
        <v>49.343333333333334</v>
      </c>
      <c r="AL32" s="2" t="s">
        <v>23</v>
      </c>
      <c r="AR32" s="2" t="s">
        <v>1</v>
      </c>
    </row>
    <row r="33" spans="1:44" x14ac:dyDescent="0.2">
      <c r="A33" s="7">
        <v>29070</v>
      </c>
      <c r="B33" s="4"/>
      <c r="C33" s="4"/>
      <c r="D33" s="4">
        <v>186.2</v>
      </c>
      <c r="E33" s="4">
        <v>2.0099999999999998</v>
      </c>
      <c r="F33" s="4">
        <v>17</v>
      </c>
      <c r="G33" s="4">
        <v>76.319999999999993</v>
      </c>
      <c r="H33" s="4">
        <v>141</v>
      </c>
      <c r="I33" s="4"/>
      <c r="J33" s="4">
        <v>9.94</v>
      </c>
      <c r="K33" s="4">
        <v>96.74</v>
      </c>
      <c r="M33" s="7">
        <v>29776</v>
      </c>
      <c r="N33" s="4">
        <v>333.63333333333333</v>
      </c>
      <c r="O33" s="4">
        <v>321.89999999999998</v>
      </c>
      <c r="P33" s="4">
        <v>198.4</v>
      </c>
      <c r="Q33" s="4">
        <v>10.91</v>
      </c>
      <c r="R33" s="4">
        <v>22.833333333333332</v>
      </c>
      <c r="S33" s="4">
        <v>32.5</v>
      </c>
      <c r="T33" s="4">
        <v>158.06666666666666</v>
      </c>
      <c r="U33" s="4">
        <v>148.36666666666667</v>
      </c>
      <c r="V33" s="4">
        <v>9.6466666666666665</v>
      </c>
      <c r="W33" s="4">
        <v>50.68</v>
      </c>
      <c r="AL33" s="2" t="s">
        <v>23</v>
      </c>
      <c r="AR33" s="2" t="s">
        <v>1</v>
      </c>
    </row>
    <row r="34" spans="1:44" x14ac:dyDescent="0.2">
      <c r="A34" s="7">
        <v>29084</v>
      </c>
      <c r="B34" s="4"/>
      <c r="C34" s="4">
        <v>300.60000000000002</v>
      </c>
      <c r="D34" s="4">
        <v>180</v>
      </c>
      <c r="E34" s="4">
        <v>1.01</v>
      </c>
      <c r="F34" s="4">
        <v>18.367000000000001</v>
      </c>
      <c r="G34" s="4">
        <v>30.49</v>
      </c>
      <c r="H34" s="4">
        <v>140</v>
      </c>
      <c r="I34" s="4">
        <v>150.69999999999999</v>
      </c>
      <c r="J34" s="4">
        <v>26.15</v>
      </c>
      <c r="K34" s="4">
        <v>70.930000000000007</v>
      </c>
      <c r="M34" s="7">
        <v>29783</v>
      </c>
      <c r="N34" s="4">
        <v>328.56666666666666</v>
      </c>
      <c r="O34" s="4">
        <v>322.53333333333336</v>
      </c>
      <c r="P34" s="4">
        <v>198.3</v>
      </c>
      <c r="Q34" s="4">
        <v>3.5666666666666669</v>
      </c>
      <c r="R34" s="4">
        <v>25.55</v>
      </c>
      <c r="S34" s="4">
        <v>41.386666666666663</v>
      </c>
      <c r="T34" s="4">
        <v>147.4</v>
      </c>
      <c r="U34" s="4"/>
      <c r="V34" s="4">
        <v>7.9033333333333333</v>
      </c>
      <c r="W34" s="4">
        <v>43.3</v>
      </c>
      <c r="AL34" s="2" t="s">
        <v>23</v>
      </c>
      <c r="AR34" s="2" t="s">
        <v>1</v>
      </c>
    </row>
    <row r="35" spans="1:44" x14ac:dyDescent="0.2">
      <c r="A35" s="7">
        <v>29140</v>
      </c>
      <c r="B35" s="4"/>
      <c r="C35" s="4">
        <v>306.2</v>
      </c>
      <c r="D35" s="4">
        <v>172.85</v>
      </c>
      <c r="E35" s="4">
        <v>2.8</v>
      </c>
      <c r="F35" s="4">
        <v>19.004999999999999</v>
      </c>
      <c r="G35" s="4">
        <v>41.094999999999999</v>
      </c>
      <c r="H35" s="4">
        <v>143.05000000000001</v>
      </c>
      <c r="I35" s="4">
        <v>150.30000000000001</v>
      </c>
      <c r="J35" s="4">
        <v>11.734999999999999</v>
      </c>
      <c r="K35" s="4">
        <v>63.9</v>
      </c>
      <c r="M35" s="7">
        <v>29791</v>
      </c>
      <c r="N35" s="4">
        <v>332</v>
      </c>
      <c r="O35" s="4">
        <v>326.43333333333334</v>
      </c>
      <c r="P35" s="4">
        <v>189.23333333333332</v>
      </c>
      <c r="Q35" s="4">
        <v>6.06</v>
      </c>
      <c r="R35" s="4">
        <v>28.406666666666666</v>
      </c>
      <c r="S35" s="4">
        <v>70.056666666666672</v>
      </c>
      <c r="T35" s="4">
        <v>145.43333333333334</v>
      </c>
      <c r="U35" s="4">
        <v>146</v>
      </c>
      <c r="V35" s="4">
        <v>19.566666666666666</v>
      </c>
      <c r="W35" s="4">
        <v>36.18333333333333</v>
      </c>
      <c r="AL35" s="2" t="s">
        <v>23</v>
      </c>
      <c r="AR35" s="2" t="s">
        <v>1</v>
      </c>
    </row>
    <row r="36" spans="1:44" x14ac:dyDescent="0.2">
      <c r="A36" s="7">
        <v>29145</v>
      </c>
      <c r="B36" s="4"/>
      <c r="C36" s="4"/>
      <c r="D36" s="4">
        <v>174</v>
      </c>
      <c r="E36" s="4">
        <v>1.78</v>
      </c>
      <c r="F36" s="4"/>
      <c r="G36" s="4">
        <v>40.479999999999997</v>
      </c>
      <c r="H36" s="4">
        <v>139.6</v>
      </c>
      <c r="I36" s="4"/>
      <c r="J36" s="4">
        <v>9.4600000000000009</v>
      </c>
      <c r="K36" s="4">
        <v>39.39</v>
      </c>
      <c r="M36" s="7">
        <v>29796</v>
      </c>
      <c r="N36" s="4">
        <v>355.4</v>
      </c>
      <c r="O36" s="4">
        <v>331.13333333333333</v>
      </c>
      <c r="P36" s="4">
        <v>192</v>
      </c>
      <c r="Q36" s="4">
        <v>2.65</v>
      </c>
      <c r="R36" s="4">
        <v>23.133333333333333</v>
      </c>
      <c r="S36" s="4">
        <v>22.583333333333332</v>
      </c>
      <c r="T36" s="4">
        <v>145.43333333333334</v>
      </c>
      <c r="U36" s="4">
        <v>150.1</v>
      </c>
      <c r="V36" s="4">
        <v>3.5533333333333332</v>
      </c>
      <c r="W36" s="4">
        <v>32.909999999999997</v>
      </c>
      <c r="AL36" s="2" t="s">
        <v>23</v>
      </c>
      <c r="AR36" s="2" t="s">
        <v>1</v>
      </c>
    </row>
    <row r="37" spans="1:44" x14ac:dyDescent="0.2">
      <c r="A37" s="7">
        <v>29172</v>
      </c>
      <c r="B37" s="4">
        <v>340.9</v>
      </c>
      <c r="C37" s="4">
        <v>332.6</v>
      </c>
      <c r="D37" s="4">
        <v>172.16</v>
      </c>
      <c r="E37" s="4">
        <v>2.202</v>
      </c>
      <c r="F37" s="4">
        <v>20.622</v>
      </c>
      <c r="G37" s="4">
        <v>85.808000000000007</v>
      </c>
      <c r="H37" s="4">
        <v>168.46</v>
      </c>
      <c r="I37" s="4">
        <v>153.9</v>
      </c>
      <c r="J37" s="4">
        <v>31.942</v>
      </c>
      <c r="K37" s="4">
        <v>148.68199999999999</v>
      </c>
      <c r="M37" s="7">
        <v>29804</v>
      </c>
      <c r="N37" s="4">
        <v>337.43333333333334</v>
      </c>
      <c r="O37" s="4">
        <v>333.9</v>
      </c>
      <c r="P37" s="4">
        <v>194.6</v>
      </c>
      <c r="Q37" s="4">
        <v>2.19</v>
      </c>
      <c r="R37" s="4">
        <v>31.76</v>
      </c>
      <c r="S37" s="4">
        <v>22.62</v>
      </c>
      <c r="T37" s="4">
        <v>148.23333333333332</v>
      </c>
      <c r="U37" s="4">
        <v>149.23333333333332</v>
      </c>
      <c r="V37" s="4">
        <v>2.63</v>
      </c>
      <c r="W37" s="4">
        <v>30.053333333333335</v>
      </c>
      <c r="AL37" s="2" t="s">
        <v>23</v>
      </c>
      <c r="AR37" s="2" t="s">
        <v>1</v>
      </c>
    </row>
    <row r="38" spans="1:44" x14ac:dyDescent="0.2">
      <c r="A38" s="7">
        <v>29208</v>
      </c>
      <c r="B38" s="4"/>
      <c r="C38" s="4"/>
      <c r="D38" s="4">
        <v>174.3</v>
      </c>
      <c r="E38" s="4">
        <v>1.99</v>
      </c>
      <c r="F38" s="4">
        <v>17.739999999999998</v>
      </c>
      <c r="G38" s="4">
        <v>61.42</v>
      </c>
      <c r="H38" s="4">
        <v>147.5</v>
      </c>
      <c r="I38" s="4"/>
      <c r="J38" s="4">
        <v>14.28</v>
      </c>
      <c r="K38" s="4">
        <v>107.22</v>
      </c>
      <c r="M38" s="7">
        <v>29811</v>
      </c>
      <c r="N38" s="4">
        <v>328.83333333333331</v>
      </c>
      <c r="O38" s="4">
        <v>323.60000000000002</v>
      </c>
      <c r="P38" s="4">
        <v>197.7</v>
      </c>
      <c r="Q38" s="4">
        <v>1.8333333333333333</v>
      </c>
      <c r="R38" s="4">
        <v>31.913333333333334</v>
      </c>
      <c r="S38" s="4">
        <v>18.583333333333332</v>
      </c>
      <c r="T38" s="4">
        <v>135.53333333333333</v>
      </c>
      <c r="U38" s="4">
        <v>146.63333333333333</v>
      </c>
      <c r="V38" s="4">
        <v>3.9133333333333336</v>
      </c>
      <c r="W38" s="4">
        <v>18.843333333333334</v>
      </c>
      <c r="AL38" s="2" t="s">
        <v>23</v>
      </c>
      <c r="AR38" s="2" t="s">
        <v>1</v>
      </c>
    </row>
    <row r="39" spans="1:44" x14ac:dyDescent="0.2">
      <c r="A39" s="7">
        <v>29241</v>
      </c>
      <c r="B39" s="4"/>
      <c r="C39" s="4"/>
      <c r="D39" s="4"/>
      <c r="E39" s="4">
        <v>1.34</v>
      </c>
      <c r="F39" s="4"/>
      <c r="G39" s="4"/>
      <c r="H39" s="4"/>
      <c r="I39" s="4"/>
      <c r="J39" s="4"/>
      <c r="K39" s="4">
        <v>73.73</v>
      </c>
      <c r="M39" s="7">
        <v>29824</v>
      </c>
      <c r="N39" s="4">
        <v>339.33333333333331</v>
      </c>
      <c r="O39" s="4">
        <v>327.06666666666666</v>
      </c>
      <c r="P39" s="4">
        <v>192.16666666666666</v>
      </c>
      <c r="Q39" s="4">
        <v>2.1433333333333335</v>
      </c>
      <c r="R39" s="4">
        <v>28.126666666666665</v>
      </c>
      <c r="S39" s="4">
        <v>22.763333333333332</v>
      </c>
      <c r="T39" s="4">
        <v>144.36666666666667</v>
      </c>
      <c r="U39" s="4">
        <v>149.1</v>
      </c>
      <c r="V39" s="4">
        <v>8.0166666666666675</v>
      </c>
      <c r="W39" s="4">
        <v>25.903333333333332</v>
      </c>
      <c r="AL39" s="2" t="s">
        <v>23</v>
      </c>
      <c r="AR39" s="2" t="s">
        <v>1</v>
      </c>
    </row>
    <row r="40" spans="1:44" x14ac:dyDescent="0.2">
      <c r="A40" s="7">
        <v>29258</v>
      </c>
      <c r="B40" s="4">
        <v>334.7</v>
      </c>
      <c r="C40" s="4">
        <v>317.8</v>
      </c>
      <c r="D40" s="4">
        <v>180.3</v>
      </c>
      <c r="E40" s="4">
        <v>4.68</v>
      </c>
      <c r="F40" s="4">
        <v>18.09</v>
      </c>
      <c r="G40" s="4">
        <v>42.66</v>
      </c>
      <c r="H40" s="4">
        <v>145.4</v>
      </c>
      <c r="I40" s="4">
        <v>150.30000000000001</v>
      </c>
      <c r="J40" s="4">
        <v>30.91</v>
      </c>
      <c r="K40" s="4">
        <v>85.72</v>
      </c>
      <c r="M40" s="7">
        <v>29833</v>
      </c>
      <c r="N40" s="4">
        <v>331.13333333333333</v>
      </c>
      <c r="O40" s="4">
        <v>327.3</v>
      </c>
      <c r="P40" s="4">
        <v>191.43333333333334</v>
      </c>
      <c r="Q40" s="4">
        <v>2.3066666666666666</v>
      </c>
      <c r="R40" s="4">
        <v>25.29</v>
      </c>
      <c r="S40" s="4">
        <v>36.576666666666668</v>
      </c>
      <c r="T40" s="4">
        <v>144.76666666666668</v>
      </c>
      <c r="U40" s="4">
        <v>150.1</v>
      </c>
      <c r="V40" s="4">
        <v>7.543333333333333</v>
      </c>
      <c r="W40" s="4">
        <v>34.296666666666667</v>
      </c>
      <c r="AL40" s="2" t="s">
        <v>23</v>
      </c>
      <c r="AR40" s="2" t="s">
        <v>1</v>
      </c>
    </row>
    <row r="41" spans="1:44" x14ac:dyDescent="0.2">
      <c r="A41" s="7">
        <v>29259</v>
      </c>
      <c r="B41" s="4"/>
      <c r="C41" s="4"/>
      <c r="D41" s="4">
        <v>179.8</v>
      </c>
      <c r="E41" s="4">
        <v>1.24</v>
      </c>
      <c r="F41" s="4">
        <v>18.940000000000001</v>
      </c>
      <c r="G41" s="4">
        <v>44.39</v>
      </c>
      <c r="H41" s="4">
        <v>150.80000000000001</v>
      </c>
      <c r="I41" s="4"/>
      <c r="J41" s="4">
        <v>47.48</v>
      </c>
      <c r="K41" s="4">
        <v>99.16</v>
      </c>
      <c r="M41" s="7">
        <v>29841</v>
      </c>
      <c r="N41" s="4">
        <v>328.73333333333335</v>
      </c>
      <c r="O41" s="4">
        <v>328.03333333333336</v>
      </c>
      <c r="P41" s="4">
        <v>185.96666666666667</v>
      </c>
      <c r="Q41" s="4">
        <v>1.1366666666666667</v>
      </c>
      <c r="R41" s="4">
        <v>22.373333333333335</v>
      </c>
      <c r="S41" s="4">
        <v>29.276666666666667</v>
      </c>
      <c r="T41" s="4">
        <v>142.30000000000001</v>
      </c>
      <c r="U41" s="4">
        <v>147.56666666666666</v>
      </c>
      <c r="V41" s="4">
        <v>4.8433333333333337</v>
      </c>
      <c r="W41" s="4">
        <v>28.256666666666668</v>
      </c>
      <c r="AL41" s="2" t="s">
        <v>23</v>
      </c>
      <c r="AR41" s="2" t="s">
        <v>1</v>
      </c>
    </row>
    <row r="42" spans="1:44" x14ac:dyDescent="0.2">
      <c r="A42" s="7">
        <v>29305</v>
      </c>
      <c r="B42" s="4">
        <v>333.8</v>
      </c>
      <c r="C42" s="4">
        <v>311</v>
      </c>
      <c r="D42" s="4">
        <v>188</v>
      </c>
      <c r="E42" s="4">
        <v>3.02</v>
      </c>
      <c r="F42" s="4">
        <v>18.489999999999998</v>
      </c>
      <c r="G42" s="4">
        <v>70.36</v>
      </c>
      <c r="H42" s="4">
        <v>159.69999999999999</v>
      </c>
      <c r="I42" s="4"/>
      <c r="J42" s="4">
        <v>35.43</v>
      </c>
      <c r="K42" s="4">
        <v>126.99</v>
      </c>
      <c r="M42" s="7">
        <v>29853</v>
      </c>
      <c r="N42" s="4">
        <v>327.7</v>
      </c>
      <c r="O42" s="4">
        <v>326.64999999999998</v>
      </c>
      <c r="P42" s="4">
        <v>189.05</v>
      </c>
      <c r="Q42" s="4">
        <v>2.8849999999999998</v>
      </c>
      <c r="R42" s="4">
        <v>24.46</v>
      </c>
      <c r="S42" s="4">
        <v>27.14</v>
      </c>
      <c r="T42" s="4">
        <v>152.80000000000001</v>
      </c>
      <c r="U42" s="4">
        <v>147.6</v>
      </c>
      <c r="V42" s="4">
        <v>5.875</v>
      </c>
      <c r="W42" s="4">
        <v>33.395000000000003</v>
      </c>
      <c r="AL42" s="2" t="s">
        <v>23</v>
      </c>
      <c r="AR42" s="2" t="s">
        <v>1</v>
      </c>
    </row>
    <row r="43" spans="1:44" x14ac:dyDescent="0.2">
      <c r="A43" s="7">
        <v>29326</v>
      </c>
      <c r="B43" s="4">
        <v>322.5</v>
      </c>
      <c r="C43" s="4">
        <v>314</v>
      </c>
      <c r="D43" s="4"/>
      <c r="E43" s="4">
        <v>1.04</v>
      </c>
      <c r="F43" s="4">
        <v>19.645</v>
      </c>
      <c r="G43" s="4">
        <v>72.314999999999998</v>
      </c>
      <c r="H43" s="4">
        <v>167.2</v>
      </c>
      <c r="I43" s="4"/>
      <c r="J43" s="4">
        <v>43.43</v>
      </c>
      <c r="K43" s="4">
        <v>145.44499999999999</v>
      </c>
      <c r="M43" s="7">
        <v>29923</v>
      </c>
      <c r="N43" s="4">
        <v>331.33333333333331</v>
      </c>
      <c r="O43" s="4">
        <v>340.03333333333336</v>
      </c>
      <c r="P43" s="4">
        <v>192.73333333333332</v>
      </c>
      <c r="Q43" s="4">
        <v>2.2433333333333332</v>
      </c>
      <c r="R43" s="4">
        <v>22.93</v>
      </c>
      <c r="S43" s="4">
        <v>32.223333333333336</v>
      </c>
      <c r="T43" s="4">
        <v>155.1</v>
      </c>
      <c r="U43" s="4">
        <v>151.1</v>
      </c>
      <c r="V43" s="4">
        <v>9.5766666666666662</v>
      </c>
      <c r="W43" s="4">
        <v>71.706666666666663</v>
      </c>
      <c r="AL43" s="2" t="s">
        <v>23</v>
      </c>
      <c r="AR43" s="2" t="s">
        <v>1</v>
      </c>
    </row>
    <row r="44" spans="1:44" x14ac:dyDescent="0.2">
      <c r="A44" s="7">
        <v>29329</v>
      </c>
      <c r="B44" s="4"/>
      <c r="C44" s="4">
        <v>329.6</v>
      </c>
      <c r="D44" s="4">
        <v>174.63333333333333</v>
      </c>
      <c r="E44" s="4">
        <v>1.0533333333333332</v>
      </c>
      <c r="F44" s="4">
        <v>18.773333333333333</v>
      </c>
      <c r="G44" s="4">
        <v>88.71</v>
      </c>
      <c r="H44" s="4">
        <v>161.33333333333334</v>
      </c>
      <c r="I44" s="4">
        <v>148.4</v>
      </c>
      <c r="J44" s="4">
        <v>20.596666666666668</v>
      </c>
      <c r="K44" s="4">
        <v>117.60666666666667</v>
      </c>
      <c r="M44" s="7">
        <v>29933</v>
      </c>
      <c r="N44" s="4">
        <v>324.7</v>
      </c>
      <c r="O44" s="4">
        <v>336.6</v>
      </c>
      <c r="P44" s="4">
        <v>195.9</v>
      </c>
      <c r="Q44" s="4">
        <v>1.8</v>
      </c>
      <c r="R44" s="4">
        <v>23.016666666666666</v>
      </c>
      <c r="S44" s="4">
        <v>31.883333333333333</v>
      </c>
      <c r="T44" s="4">
        <v>156.33333333333334</v>
      </c>
      <c r="U44" s="4">
        <v>149.1</v>
      </c>
      <c r="V44" s="4">
        <v>7.5</v>
      </c>
      <c r="W44" s="4">
        <v>67.096666666666664</v>
      </c>
      <c r="AR44" s="2" t="s">
        <v>1</v>
      </c>
    </row>
    <row r="45" spans="1:44" x14ac:dyDescent="0.2">
      <c r="A45" s="7">
        <v>29340</v>
      </c>
      <c r="B45" s="4">
        <v>328</v>
      </c>
      <c r="C45" s="4">
        <v>315</v>
      </c>
      <c r="D45" s="4">
        <v>187.2</v>
      </c>
      <c r="E45" s="4">
        <v>0.79</v>
      </c>
      <c r="F45" s="4">
        <v>19.11</v>
      </c>
      <c r="G45" s="4"/>
      <c r="H45" s="4">
        <v>156.4</v>
      </c>
      <c r="I45" s="4">
        <v>145.9</v>
      </c>
      <c r="J45" s="4">
        <v>19.045000000000002</v>
      </c>
      <c r="K45" s="4">
        <v>108.33</v>
      </c>
      <c r="M45" s="7">
        <v>29937</v>
      </c>
      <c r="N45" s="4">
        <v>333.25</v>
      </c>
      <c r="O45" s="4">
        <v>337.5</v>
      </c>
      <c r="P45" s="4">
        <v>186.2</v>
      </c>
      <c r="Q45" s="4">
        <v>1.82</v>
      </c>
      <c r="R45" s="4">
        <v>22.015000000000001</v>
      </c>
      <c r="S45" s="4">
        <v>29.425000000000001</v>
      </c>
      <c r="T45" s="4">
        <v>140.65</v>
      </c>
      <c r="U45" s="4">
        <v>148.15</v>
      </c>
      <c r="V45" s="4">
        <v>3.7050000000000001</v>
      </c>
      <c r="W45" s="4">
        <v>35.634999999999998</v>
      </c>
      <c r="AR45" s="2" t="s">
        <v>1</v>
      </c>
    </row>
    <row r="46" spans="1:44" x14ac:dyDescent="0.2">
      <c r="A46" s="7">
        <v>29382</v>
      </c>
      <c r="B46" s="4"/>
      <c r="C46" s="4"/>
      <c r="D46" s="4">
        <v>191.05</v>
      </c>
      <c r="E46" s="4">
        <v>1.28</v>
      </c>
      <c r="F46" s="4">
        <v>19.475000000000001</v>
      </c>
      <c r="G46" s="4">
        <v>43.634999999999998</v>
      </c>
      <c r="H46" s="4">
        <v>161.75</v>
      </c>
      <c r="I46" s="4"/>
      <c r="J46" s="4">
        <v>9.98</v>
      </c>
      <c r="K46" s="4">
        <v>68.239999999999995</v>
      </c>
      <c r="M46" s="7">
        <v>29948</v>
      </c>
      <c r="N46" s="4">
        <v>335.43333333333334</v>
      </c>
      <c r="O46" s="4">
        <v>338.33333333333331</v>
      </c>
      <c r="P46" s="4">
        <v>191.1</v>
      </c>
      <c r="Q46" s="4">
        <v>1.8433333333333333</v>
      </c>
      <c r="R46" s="4">
        <v>23.676666666666666</v>
      </c>
      <c r="S46" s="4">
        <v>34.923333333333332</v>
      </c>
      <c r="T46" s="4">
        <v>156.23333333333332</v>
      </c>
      <c r="U46" s="4">
        <v>149.53333333333333</v>
      </c>
      <c r="V46" s="4">
        <v>17.146666666666668</v>
      </c>
      <c r="W46" s="4">
        <v>125.03333333333333</v>
      </c>
      <c r="AR46" s="2" t="s">
        <v>1</v>
      </c>
    </row>
    <row r="47" spans="1:44" x14ac:dyDescent="0.2">
      <c r="A47" s="7">
        <v>29410</v>
      </c>
      <c r="B47" s="4"/>
      <c r="C47" s="4"/>
      <c r="D47" s="4">
        <v>195.5</v>
      </c>
      <c r="E47" s="4">
        <v>1.59</v>
      </c>
      <c r="F47" s="4">
        <v>19.77</v>
      </c>
      <c r="G47" s="4">
        <v>93.66</v>
      </c>
      <c r="H47" s="4">
        <v>149.74</v>
      </c>
      <c r="I47" s="4"/>
      <c r="J47" s="4">
        <v>17.309999999999999</v>
      </c>
      <c r="K47" s="4">
        <v>59.5</v>
      </c>
      <c r="M47" s="7">
        <v>29954</v>
      </c>
      <c r="N47" s="4">
        <v>332.5</v>
      </c>
      <c r="O47" s="4">
        <v>332</v>
      </c>
      <c r="P47" s="4">
        <v>193.6</v>
      </c>
      <c r="Q47" s="4">
        <v>2.57</v>
      </c>
      <c r="R47" s="4">
        <v>25.13</v>
      </c>
      <c r="S47" s="4">
        <v>35.369999999999997</v>
      </c>
      <c r="T47" s="4">
        <v>162.80000000000001</v>
      </c>
      <c r="U47" s="4">
        <v>153.1</v>
      </c>
      <c r="V47" s="4">
        <v>20.48</v>
      </c>
      <c r="W47" s="4">
        <v>72.89</v>
      </c>
      <c r="AR47" s="2" t="s">
        <v>1</v>
      </c>
    </row>
    <row r="48" spans="1:44" x14ac:dyDescent="0.2">
      <c r="A48" s="7">
        <v>29419</v>
      </c>
      <c r="B48" s="4">
        <v>330</v>
      </c>
      <c r="C48" s="4">
        <v>326.60000000000002</v>
      </c>
      <c r="D48" s="4">
        <v>180.4</v>
      </c>
      <c r="E48" s="4">
        <v>1.41</v>
      </c>
      <c r="F48" s="4">
        <v>19.73</v>
      </c>
      <c r="G48" s="4">
        <v>86.72</v>
      </c>
      <c r="H48" s="4">
        <v>152.30000000000001</v>
      </c>
      <c r="I48" s="4">
        <v>148.1</v>
      </c>
      <c r="J48" s="4">
        <v>7.93</v>
      </c>
      <c r="K48" s="4">
        <v>52.22</v>
      </c>
      <c r="M48" s="7">
        <v>29971</v>
      </c>
      <c r="N48" s="4">
        <v>335.7</v>
      </c>
      <c r="O48" s="4">
        <v>335.63333333333333</v>
      </c>
      <c r="P48" s="4">
        <v>185.13333333333333</v>
      </c>
      <c r="Q48" s="4">
        <v>1.9833333333333334</v>
      </c>
      <c r="R48" s="4">
        <v>23.553333333333335</v>
      </c>
      <c r="S48" s="4">
        <v>41.9</v>
      </c>
      <c r="T48" s="4">
        <v>140.86666666666667</v>
      </c>
      <c r="U48" s="4">
        <v>150.53333333333333</v>
      </c>
      <c r="V48" s="4">
        <v>11.81</v>
      </c>
      <c r="W48" s="4">
        <v>36.346666666666664</v>
      </c>
      <c r="AR48" s="2" t="s">
        <v>1</v>
      </c>
    </row>
    <row r="49" spans="1:44" x14ac:dyDescent="0.2">
      <c r="A49" s="7">
        <v>29425</v>
      </c>
      <c r="B49" s="4"/>
      <c r="C49" s="4">
        <v>304</v>
      </c>
      <c r="D49" s="4">
        <v>189.4</v>
      </c>
      <c r="E49" s="4">
        <v>1.47</v>
      </c>
      <c r="F49" s="4">
        <v>19.71</v>
      </c>
      <c r="G49" s="4">
        <v>69.39</v>
      </c>
      <c r="H49" s="4">
        <v>140.9</v>
      </c>
      <c r="I49" s="4">
        <v>144.19999999999999</v>
      </c>
      <c r="J49" s="4">
        <v>24.09</v>
      </c>
      <c r="K49" s="4">
        <v>42.72</v>
      </c>
      <c r="M49" s="7">
        <v>29994</v>
      </c>
      <c r="N49" s="4">
        <v>331.03333333333336</v>
      </c>
      <c r="O49" s="4">
        <v>329.83333333333331</v>
      </c>
      <c r="P49" s="4">
        <v>190.56666666666666</v>
      </c>
      <c r="Q49" s="4">
        <v>1.58</v>
      </c>
      <c r="R49" s="4">
        <v>22.82</v>
      </c>
      <c r="S49" s="4">
        <v>26.65</v>
      </c>
      <c r="T49" s="4">
        <v>138.03333333333333</v>
      </c>
      <c r="U49" s="4">
        <v>148.5</v>
      </c>
      <c r="V49" s="4">
        <v>10.403333333333334</v>
      </c>
      <c r="W49" s="4">
        <v>37.97</v>
      </c>
      <c r="AR49" s="2" t="s">
        <v>1</v>
      </c>
    </row>
    <row r="50" spans="1:44" x14ac:dyDescent="0.2">
      <c r="A50" s="7">
        <v>29432</v>
      </c>
      <c r="B50" s="4">
        <v>328.75</v>
      </c>
      <c r="C50" s="4">
        <v>314.35000000000002</v>
      </c>
      <c r="D50" s="4">
        <v>184.7</v>
      </c>
      <c r="E50" s="4">
        <v>1.405</v>
      </c>
      <c r="F50" s="4">
        <v>20.405000000000001</v>
      </c>
      <c r="G50" s="4">
        <v>65.239999999999995</v>
      </c>
      <c r="H50" s="4">
        <v>152.1</v>
      </c>
      <c r="I50" s="4">
        <v>144.1</v>
      </c>
      <c r="J50" s="4">
        <v>26.414999999999999</v>
      </c>
      <c r="K50" s="4">
        <v>52.66</v>
      </c>
      <c r="M50" s="7">
        <v>30012</v>
      </c>
      <c r="N50" s="4">
        <v>329.33333333333331</v>
      </c>
      <c r="O50" s="4">
        <v>333.33333333333331</v>
      </c>
      <c r="P50" s="4">
        <v>189.73333333333332</v>
      </c>
      <c r="Q50" s="4">
        <v>1.4966666666666666</v>
      </c>
      <c r="R50" s="4">
        <v>22.343333333333334</v>
      </c>
      <c r="S50" s="4">
        <v>30.27</v>
      </c>
      <c r="T50" s="4">
        <v>137.9</v>
      </c>
      <c r="U50" s="4">
        <v>149.1</v>
      </c>
      <c r="V50" s="4">
        <v>37.655000000000001</v>
      </c>
      <c r="W50" s="4">
        <v>42.976666666666667</v>
      </c>
      <c r="AR50" s="2" t="s">
        <v>1</v>
      </c>
    </row>
    <row r="51" spans="1:44" x14ac:dyDescent="0.2">
      <c r="A51" s="7">
        <v>29446</v>
      </c>
      <c r="B51" s="4">
        <v>332.8</v>
      </c>
      <c r="C51" s="4">
        <v>307.5</v>
      </c>
      <c r="D51" s="4">
        <v>181.8</v>
      </c>
      <c r="E51" s="4">
        <v>1.58</v>
      </c>
      <c r="F51" s="4">
        <v>20.015000000000001</v>
      </c>
      <c r="G51" s="4">
        <v>69.805000000000007</v>
      </c>
      <c r="H51" s="4">
        <v>144.4</v>
      </c>
      <c r="I51" s="4">
        <v>142.9</v>
      </c>
      <c r="J51" s="4">
        <v>18.805</v>
      </c>
      <c r="K51" s="4">
        <v>37.265000000000001</v>
      </c>
      <c r="M51" s="7">
        <v>30024</v>
      </c>
      <c r="N51" s="4">
        <v>326.23333333333335</v>
      </c>
      <c r="O51" s="4">
        <v>335.66666666666669</v>
      </c>
      <c r="P51" s="4">
        <v>193.86666666666667</v>
      </c>
      <c r="Q51" s="4">
        <v>1.1833333333333333</v>
      </c>
      <c r="R51" s="4">
        <v>21.833333333333332</v>
      </c>
      <c r="S51" s="4">
        <v>30.063333333333333</v>
      </c>
      <c r="T51" s="4">
        <v>155.56666666666666</v>
      </c>
      <c r="U51" s="4">
        <v>153.73333333333332</v>
      </c>
      <c r="V51" s="4">
        <v>14.56</v>
      </c>
      <c r="W51" s="4">
        <v>67.356666666666669</v>
      </c>
      <c r="AR51" s="2" t="s">
        <v>1</v>
      </c>
    </row>
    <row r="52" spans="1:44" x14ac:dyDescent="0.2">
      <c r="A52" s="7">
        <v>29467</v>
      </c>
      <c r="B52" s="4">
        <v>333.8</v>
      </c>
      <c r="C52" s="4">
        <v>325</v>
      </c>
      <c r="D52" s="4">
        <v>188.55</v>
      </c>
      <c r="E52" s="4">
        <v>1.69</v>
      </c>
      <c r="F52" s="4">
        <v>20.11</v>
      </c>
      <c r="G52" s="4"/>
      <c r="H52" s="4">
        <v>149.69999999999999</v>
      </c>
      <c r="I52" s="4">
        <v>150.19999999999999</v>
      </c>
      <c r="J52" s="4">
        <v>28.614999999999998</v>
      </c>
      <c r="K52" s="4">
        <v>66.05</v>
      </c>
      <c r="M52" s="7">
        <v>30032</v>
      </c>
      <c r="N52" s="4">
        <v>328.03333333333336</v>
      </c>
      <c r="O52" s="4">
        <v>329.53333333333336</v>
      </c>
      <c r="P52" s="4">
        <v>194.43333333333334</v>
      </c>
      <c r="Q52" s="4">
        <v>1.4933333333333334</v>
      </c>
      <c r="R52" s="4">
        <v>23.91</v>
      </c>
      <c r="S52" s="4">
        <v>32.479999999999997</v>
      </c>
      <c r="T52" s="4">
        <v>158.1</v>
      </c>
      <c r="U52" s="4">
        <v>160.23333333333332</v>
      </c>
      <c r="V52" s="4">
        <v>4.2300000000000004</v>
      </c>
      <c r="W52" s="4">
        <v>61.923333333333332</v>
      </c>
      <c r="AR52" s="2" t="s">
        <v>1</v>
      </c>
    </row>
    <row r="53" spans="1:44" x14ac:dyDescent="0.2">
      <c r="A53" s="7">
        <v>29481</v>
      </c>
      <c r="B53" s="4">
        <v>336</v>
      </c>
      <c r="C53" s="4">
        <v>336.1</v>
      </c>
      <c r="D53" s="4">
        <v>185</v>
      </c>
      <c r="E53" s="4">
        <v>1.4</v>
      </c>
      <c r="F53" s="4">
        <v>19.32</v>
      </c>
      <c r="G53" s="4">
        <v>58.16</v>
      </c>
      <c r="H53" s="4">
        <v>158.4</v>
      </c>
      <c r="I53" s="4">
        <v>150.80000000000001</v>
      </c>
      <c r="J53" s="4">
        <v>8.83</v>
      </c>
      <c r="K53" s="4">
        <v>80.349999999999994</v>
      </c>
      <c r="M53" s="7">
        <v>30043</v>
      </c>
      <c r="N53" s="4">
        <v>332.36666666666667</v>
      </c>
      <c r="O53" s="4">
        <v>337.73333333333335</v>
      </c>
      <c r="P53" s="4">
        <v>197.6</v>
      </c>
      <c r="Q53" s="4">
        <v>2.3366666666666664</v>
      </c>
      <c r="R53" s="4">
        <v>22.996666666666666</v>
      </c>
      <c r="S53" s="4">
        <v>34.663333333333334</v>
      </c>
      <c r="T53" s="4">
        <v>160.36666666666667</v>
      </c>
      <c r="U53" s="4">
        <v>155.5</v>
      </c>
      <c r="V53" s="4">
        <v>12.993333333333334</v>
      </c>
      <c r="W53" s="4">
        <v>62.99666666666667</v>
      </c>
      <c r="AR53" s="2" t="s">
        <v>1</v>
      </c>
    </row>
    <row r="54" spans="1:44" x14ac:dyDescent="0.2">
      <c r="A54" s="7">
        <v>29495</v>
      </c>
      <c r="B54" s="4"/>
      <c r="C54" s="4"/>
      <c r="D54" s="4">
        <v>188.55</v>
      </c>
      <c r="E54" s="4">
        <v>1.49</v>
      </c>
      <c r="F54" s="4">
        <v>22.05</v>
      </c>
      <c r="G54" s="4">
        <v>93.875</v>
      </c>
      <c r="H54" s="4">
        <v>173</v>
      </c>
      <c r="I54" s="4"/>
      <c r="J54" s="4">
        <v>34.76</v>
      </c>
      <c r="K54" s="4">
        <v>102.315</v>
      </c>
      <c r="M54" s="7">
        <v>30052</v>
      </c>
      <c r="N54" s="4">
        <v>335.03333333333336</v>
      </c>
      <c r="O54" s="4">
        <v>338.3</v>
      </c>
      <c r="P54" s="4">
        <v>196.63333333333333</v>
      </c>
      <c r="Q54" s="4">
        <v>1.1633333333333333</v>
      </c>
      <c r="R54" s="4">
        <v>23.356666666666666</v>
      </c>
      <c r="S54" s="4">
        <v>32.340000000000003</v>
      </c>
      <c r="T54" s="4">
        <v>184.9</v>
      </c>
      <c r="U54" s="4">
        <v>151.56666666666666</v>
      </c>
      <c r="V54" s="4">
        <v>39.123333333333335</v>
      </c>
      <c r="W54" s="4">
        <v>79.663333333333327</v>
      </c>
      <c r="AR54" s="2" t="s">
        <v>1</v>
      </c>
    </row>
    <row r="55" spans="1:44" x14ac:dyDescent="0.2">
      <c r="A55" s="7">
        <v>29509</v>
      </c>
      <c r="B55" s="4"/>
      <c r="C55" s="4"/>
      <c r="D55" s="4">
        <v>180.2</v>
      </c>
      <c r="E55" s="4">
        <v>1.2549999999999999</v>
      </c>
      <c r="F55" s="4">
        <v>19.72</v>
      </c>
      <c r="G55" s="4"/>
      <c r="H55" s="4">
        <v>157.15</v>
      </c>
      <c r="I55" s="4"/>
      <c r="J55" s="4">
        <v>14.145</v>
      </c>
      <c r="K55" s="4">
        <v>78.344999999999999</v>
      </c>
      <c r="M55" s="7">
        <v>30058</v>
      </c>
      <c r="N55" s="4">
        <v>333.6</v>
      </c>
      <c r="O55" s="4">
        <v>345.06666666666666</v>
      </c>
      <c r="P55" s="4">
        <v>195.36666666666667</v>
      </c>
      <c r="Q55" s="4">
        <v>1.76</v>
      </c>
      <c r="R55" s="4">
        <v>25.06</v>
      </c>
      <c r="S55" s="4">
        <v>35.676666666666669</v>
      </c>
      <c r="T55" s="4">
        <v>157</v>
      </c>
      <c r="U55" s="4">
        <v>153.5</v>
      </c>
      <c r="V55" s="4">
        <v>9.8133333333333326</v>
      </c>
      <c r="W55" s="4">
        <v>68.39</v>
      </c>
      <c r="AR55" s="2" t="s">
        <v>1</v>
      </c>
    </row>
    <row r="56" spans="1:44" x14ac:dyDescent="0.2">
      <c r="A56" s="7">
        <v>29537</v>
      </c>
      <c r="B56" s="4"/>
      <c r="C56" s="4"/>
      <c r="D56" s="4">
        <v>178.15</v>
      </c>
      <c r="E56" s="4">
        <v>1.2949999999999999</v>
      </c>
      <c r="F56" s="4">
        <v>20.329999999999998</v>
      </c>
      <c r="G56" s="4"/>
      <c r="H56" s="4">
        <v>173.2</v>
      </c>
      <c r="I56" s="4"/>
      <c r="J56" s="4">
        <v>27.585000000000001</v>
      </c>
      <c r="K56" s="4">
        <v>120.33</v>
      </c>
      <c r="M56" s="7">
        <v>30080</v>
      </c>
      <c r="N56" s="4">
        <v>339.1</v>
      </c>
      <c r="O56" s="4">
        <v>343.3</v>
      </c>
      <c r="P56" s="4">
        <v>194</v>
      </c>
      <c r="Q56" s="4">
        <v>1.8</v>
      </c>
      <c r="R56" s="4">
        <v>24.29</v>
      </c>
      <c r="S56" s="4">
        <v>32.94</v>
      </c>
      <c r="T56" s="4">
        <v>155.6</v>
      </c>
      <c r="U56" s="4">
        <v>153.9</v>
      </c>
      <c r="V56" s="4">
        <v>0</v>
      </c>
      <c r="W56" s="4">
        <v>52.52</v>
      </c>
      <c r="AR56" s="2" t="s">
        <v>1</v>
      </c>
    </row>
    <row r="57" spans="1:44" x14ac:dyDescent="0.2">
      <c r="A57" s="7">
        <v>29551</v>
      </c>
      <c r="B57" s="4"/>
      <c r="C57" s="4"/>
      <c r="D57" s="4">
        <v>184.2</v>
      </c>
      <c r="E57" s="4">
        <v>0.97</v>
      </c>
      <c r="F57" s="4">
        <v>20.59</v>
      </c>
      <c r="G57" s="4">
        <v>80.27</v>
      </c>
      <c r="H57" s="4">
        <v>177.6</v>
      </c>
      <c r="I57" s="4"/>
      <c r="J57" s="4">
        <v>38.950000000000003</v>
      </c>
      <c r="K57" s="4">
        <v>134.91</v>
      </c>
      <c r="M57" s="7">
        <v>30087</v>
      </c>
      <c r="N57" s="4">
        <v>338.9</v>
      </c>
      <c r="O57" s="4">
        <v>349.2</v>
      </c>
      <c r="P57" s="4">
        <v>200.6</v>
      </c>
      <c r="Q57" s="4">
        <v>2.5499999999999998</v>
      </c>
      <c r="R57" s="4">
        <v>25.01</v>
      </c>
      <c r="S57" s="4">
        <v>35.44</v>
      </c>
      <c r="T57" s="4">
        <v>157.6</v>
      </c>
      <c r="U57" s="4">
        <v>149.6</v>
      </c>
      <c r="V57" s="4">
        <v>6.69</v>
      </c>
      <c r="W57" s="4">
        <v>48.36</v>
      </c>
      <c r="AR57" s="2" t="s">
        <v>1</v>
      </c>
    </row>
    <row r="58" spans="1:44" x14ac:dyDescent="0.2">
      <c r="A58" s="7">
        <v>29565</v>
      </c>
      <c r="B58" s="4"/>
      <c r="C58" s="4"/>
      <c r="D58" s="4"/>
      <c r="E58" s="4">
        <v>1.37</v>
      </c>
      <c r="F58" s="4">
        <v>20.23</v>
      </c>
      <c r="G58" s="4">
        <v>58.284999999999997</v>
      </c>
      <c r="H58" s="4">
        <v>164.5</v>
      </c>
      <c r="I58" s="4"/>
      <c r="J58" s="4">
        <v>31.37</v>
      </c>
      <c r="K58" s="4">
        <v>98.03</v>
      </c>
      <c r="M58" s="7">
        <v>30094</v>
      </c>
      <c r="N58" s="4">
        <v>341.9</v>
      </c>
      <c r="O58" s="4">
        <v>354.7</v>
      </c>
      <c r="P58" s="4">
        <v>201.5</v>
      </c>
      <c r="Q58" s="4">
        <v>2.88</v>
      </c>
      <c r="R58" s="4">
        <v>23.9</v>
      </c>
      <c r="S58" s="4">
        <v>36.32</v>
      </c>
      <c r="T58" s="4">
        <v>155.6</v>
      </c>
      <c r="U58" s="4">
        <v>156.6</v>
      </c>
      <c r="V58" s="4">
        <v>4.38</v>
      </c>
      <c r="W58" s="4">
        <v>50.51</v>
      </c>
      <c r="AR58" s="2" t="s">
        <v>1</v>
      </c>
    </row>
    <row r="59" spans="1:44" x14ac:dyDescent="0.2">
      <c r="A59" s="7">
        <v>29586</v>
      </c>
      <c r="B59" s="4"/>
      <c r="C59" s="4"/>
      <c r="D59" s="4">
        <v>182.6</v>
      </c>
      <c r="E59" s="4">
        <v>1.5</v>
      </c>
      <c r="F59" s="4">
        <v>18.555</v>
      </c>
      <c r="G59" s="4">
        <v>93.254999999999995</v>
      </c>
      <c r="H59" s="4">
        <v>146.9</v>
      </c>
      <c r="I59" s="4"/>
      <c r="J59" s="4">
        <v>12.14</v>
      </c>
      <c r="K59" s="4">
        <v>65.775000000000006</v>
      </c>
      <c r="M59" s="7">
        <v>30101</v>
      </c>
      <c r="N59" s="4">
        <v>336.83333333333331</v>
      </c>
      <c r="O59" s="4">
        <v>346.56666666666666</v>
      </c>
      <c r="P59" s="4">
        <v>195.83333333333334</v>
      </c>
      <c r="Q59" s="4">
        <v>1.2666666666666666</v>
      </c>
      <c r="R59" s="4">
        <v>26.166666666666668</v>
      </c>
      <c r="S59" s="4">
        <v>27.4</v>
      </c>
      <c r="T59" s="4">
        <v>160.83333333333334</v>
      </c>
      <c r="U59" s="4">
        <v>152.06666666666666</v>
      </c>
      <c r="V59" s="4">
        <v>7.206666666666667</v>
      </c>
      <c r="W59" s="4">
        <v>61.043333333333337</v>
      </c>
      <c r="AR59" s="2" t="s">
        <v>1</v>
      </c>
    </row>
    <row r="60" spans="1:44" x14ac:dyDescent="0.2">
      <c r="A60" s="7">
        <v>29601</v>
      </c>
      <c r="B60" s="4"/>
      <c r="C60" s="4"/>
      <c r="D60" s="4">
        <v>182.55</v>
      </c>
      <c r="E60" s="4">
        <v>1.3</v>
      </c>
      <c r="F60" s="4">
        <v>20.04</v>
      </c>
      <c r="G60" s="4">
        <v>60.2</v>
      </c>
      <c r="H60" s="4">
        <v>160.35</v>
      </c>
      <c r="I60" s="4"/>
      <c r="J60" s="4">
        <v>22.27</v>
      </c>
      <c r="K60" s="4">
        <v>93.73</v>
      </c>
      <c r="M60" s="7"/>
      <c r="N60" s="4"/>
      <c r="O60" s="4"/>
      <c r="P60" s="4"/>
      <c r="Q60" s="4"/>
      <c r="R60" s="4"/>
      <c r="S60" s="4"/>
      <c r="T60" s="4"/>
      <c r="U60" s="4"/>
      <c r="V60" s="4"/>
      <c r="W60" s="4"/>
      <c r="AR60" s="2" t="s">
        <v>1</v>
      </c>
    </row>
    <row r="61" spans="1:44" x14ac:dyDescent="0.2">
      <c r="A61" s="7">
        <v>29623</v>
      </c>
      <c r="B61" s="4"/>
      <c r="C61" s="4"/>
      <c r="D61" s="4">
        <v>196.9</v>
      </c>
      <c r="E61" s="4">
        <v>1.04</v>
      </c>
      <c r="F61" s="4">
        <v>18.760000000000002</v>
      </c>
      <c r="G61" s="4">
        <v>25.5</v>
      </c>
      <c r="H61" s="4">
        <v>157.6</v>
      </c>
      <c r="I61" s="4"/>
      <c r="J61" s="4">
        <v>35.79</v>
      </c>
      <c r="K61" s="4">
        <v>165.01</v>
      </c>
      <c r="N61" s="4"/>
      <c r="O61" s="4"/>
      <c r="P61" s="4"/>
      <c r="Q61" s="4"/>
      <c r="R61" s="4"/>
      <c r="S61" s="4"/>
      <c r="T61" s="4"/>
      <c r="U61" s="4"/>
      <c r="V61" s="4"/>
      <c r="W61" s="4"/>
      <c r="AR61" s="2" t="s">
        <v>1</v>
      </c>
    </row>
    <row r="62" spans="1:44" x14ac:dyDescent="0.2">
      <c r="A62" s="7">
        <v>29636</v>
      </c>
      <c r="B62" s="4"/>
      <c r="C62" s="4"/>
      <c r="D62" s="4">
        <v>200.8</v>
      </c>
      <c r="E62" s="4">
        <v>0.87</v>
      </c>
      <c r="F62" s="4">
        <v>19.066666666666666</v>
      </c>
      <c r="G62" s="4">
        <v>41.786666666666669</v>
      </c>
      <c r="H62" s="4">
        <v>172.16666666666666</v>
      </c>
      <c r="I62" s="4"/>
      <c r="J62" s="4">
        <v>36.18</v>
      </c>
      <c r="K62" s="4">
        <v>143.89333333333335</v>
      </c>
      <c r="N62" s="4"/>
      <c r="O62" s="4"/>
      <c r="P62" s="4"/>
      <c r="Q62" s="4"/>
      <c r="R62" s="4"/>
      <c r="S62" s="4"/>
      <c r="T62" s="4"/>
      <c r="U62" s="4"/>
      <c r="V62" s="4"/>
      <c r="W62" s="4"/>
      <c r="AR62" s="2" t="s">
        <v>1</v>
      </c>
    </row>
    <row r="63" spans="1:44" x14ac:dyDescent="0.2">
      <c r="A63" s="7">
        <v>29642</v>
      </c>
      <c r="B63" s="4"/>
      <c r="C63" s="4"/>
      <c r="D63" s="4">
        <v>190.55</v>
      </c>
      <c r="E63" s="4">
        <v>0.66</v>
      </c>
      <c r="F63" s="4">
        <v>18.815000000000001</v>
      </c>
      <c r="G63" s="4">
        <v>38.185000000000002</v>
      </c>
      <c r="H63" s="4">
        <v>157.6</v>
      </c>
      <c r="I63" s="4"/>
      <c r="J63" s="4">
        <v>23.21</v>
      </c>
      <c r="K63" s="4">
        <v>103.005</v>
      </c>
      <c r="N63" s="4"/>
      <c r="O63" s="4"/>
      <c r="P63" s="4"/>
      <c r="Q63" s="4"/>
      <c r="R63" s="4"/>
      <c r="S63" s="4"/>
      <c r="T63" s="4"/>
      <c r="U63" s="4"/>
      <c r="V63" s="4"/>
      <c r="W63" s="4"/>
      <c r="AR63" s="2" t="s">
        <v>1</v>
      </c>
    </row>
    <row r="64" spans="1:44" x14ac:dyDescent="0.2">
      <c r="A64" s="7">
        <v>29646</v>
      </c>
      <c r="B64" s="4"/>
      <c r="C64" s="4"/>
      <c r="D64" s="4"/>
      <c r="E64" s="4">
        <v>1.2150000000000001</v>
      </c>
      <c r="F64" s="4">
        <v>22.414999999999999</v>
      </c>
      <c r="G64" s="4">
        <v>40.604999999999997</v>
      </c>
      <c r="H64" s="4">
        <v>152.19999999999999</v>
      </c>
      <c r="I64" s="4"/>
      <c r="J64" s="4">
        <v>20.170000000000002</v>
      </c>
      <c r="K64" s="4">
        <v>94.78</v>
      </c>
      <c r="AR64" s="2" t="s">
        <v>1</v>
      </c>
    </row>
    <row r="65" spans="1:44" x14ac:dyDescent="0.2">
      <c r="A65" s="7">
        <v>29647</v>
      </c>
      <c r="B65" s="4"/>
      <c r="C65" s="4"/>
      <c r="D65" s="4">
        <v>192.1</v>
      </c>
      <c r="E65" s="4">
        <v>1.3333333333333333</v>
      </c>
      <c r="F65" s="4">
        <v>19.263333333333332</v>
      </c>
      <c r="G65" s="4">
        <v>37.043333333333337</v>
      </c>
      <c r="H65" s="4">
        <v>166.76666666666668</v>
      </c>
      <c r="I65" s="4"/>
      <c r="J65" s="4">
        <v>24.133333333333333</v>
      </c>
      <c r="K65" s="4">
        <v>121.83666666666667</v>
      </c>
      <c r="AR65" s="2" t="s">
        <v>1</v>
      </c>
    </row>
    <row r="66" spans="1:44" x14ac:dyDescent="0.2">
      <c r="A66" s="7">
        <v>29654</v>
      </c>
      <c r="B66" s="4"/>
      <c r="C66" s="4"/>
      <c r="D66" s="4"/>
      <c r="E66" s="4">
        <v>1.7450000000000001</v>
      </c>
      <c r="F66" s="4"/>
      <c r="G66" s="4">
        <v>39.369999999999997</v>
      </c>
      <c r="H66" s="4">
        <v>157</v>
      </c>
      <c r="I66" s="4"/>
      <c r="J66" s="4">
        <v>24.87</v>
      </c>
      <c r="K66" s="4">
        <v>115.19</v>
      </c>
      <c r="AR66" s="2" t="s">
        <v>1</v>
      </c>
    </row>
    <row r="67" spans="1:44" x14ac:dyDescent="0.2">
      <c r="A67" s="7">
        <v>29656</v>
      </c>
      <c r="B67" s="4"/>
      <c r="C67" s="4"/>
      <c r="D67" s="4">
        <v>197.5</v>
      </c>
      <c r="E67" s="4">
        <v>0.71</v>
      </c>
      <c r="F67" s="4">
        <v>20.703333333333333</v>
      </c>
      <c r="G67" s="4">
        <v>34.293333333333337</v>
      </c>
      <c r="H67" s="4">
        <v>157.73333333333332</v>
      </c>
      <c r="I67" s="4"/>
      <c r="J67" s="4">
        <v>23.026666666666667</v>
      </c>
      <c r="K67" s="4">
        <v>102.76666666666667</v>
      </c>
      <c r="AR67" s="2" t="s">
        <v>1</v>
      </c>
    </row>
    <row r="68" spans="1:44" x14ac:dyDescent="0.2">
      <c r="A68" s="7">
        <v>29658</v>
      </c>
      <c r="B68" s="4"/>
      <c r="C68" s="4"/>
      <c r="D68" s="4">
        <v>187.63333333333333</v>
      </c>
      <c r="E68" s="4">
        <v>0.5033333333333333</v>
      </c>
      <c r="F68" s="4">
        <v>18.420000000000002</v>
      </c>
      <c r="G68" s="4">
        <v>34.36</v>
      </c>
      <c r="H68" s="4">
        <v>161.43333333333334</v>
      </c>
      <c r="I68" s="4"/>
      <c r="J68" s="4">
        <v>10.25</v>
      </c>
      <c r="K68" s="4">
        <v>99.256666666666661</v>
      </c>
      <c r="AR68" s="2" t="s">
        <v>1</v>
      </c>
    </row>
    <row r="69" spans="1:44" x14ac:dyDescent="0.2">
      <c r="A69" s="7">
        <v>29661</v>
      </c>
      <c r="B69" s="4"/>
      <c r="C69" s="4"/>
      <c r="D69" s="4">
        <v>188.8</v>
      </c>
      <c r="E69" s="4">
        <v>1.2</v>
      </c>
      <c r="F69" s="4">
        <v>22.35</v>
      </c>
      <c r="G69" s="4">
        <v>66.680000000000007</v>
      </c>
      <c r="H69" s="4">
        <v>186.4</v>
      </c>
      <c r="I69" s="4"/>
      <c r="J69" s="4">
        <v>44.59</v>
      </c>
      <c r="K69" s="4">
        <v>213.2</v>
      </c>
      <c r="AR69" s="2" t="s">
        <v>1</v>
      </c>
    </row>
    <row r="70" spans="1:44" x14ac:dyDescent="0.2">
      <c r="A70" s="7">
        <v>29663</v>
      </c>
      <c r="B70" s="4"/>
      <c r="C70" s="4"/>
      <c r="D70" s="4">
        <v>188.5</v>
      </c>
      <c r="E70" s="4">
        <v>0.73666666666666669</v>
      </c>
      <c r="F70" s="4">
        <v>19.313333333333333</v>
      </c>
      <c r="G70" s="4">
        <v>33.546666666666667</v>
      </c>
      <c r="H70" s="4">
        <v>158.86666666666667</v>
      </c>
      <c r="I70" s="4"/>
      <c r="J70" s="4">
        <v>17.746666666666666</v>
      </c>
      <c r="K70" s="4">
        <v>106.63666666666667</v>
      </c>
      <c r="AR70" s="2" t="s">
        <v>1</v>
      </c>
    </row>
    <row r="71" spans="1:44" x14ac:dyDescent="0.2">
      <c r="A71" s="7">
        <v>29675</v>
      </c>
      <c r="B71" s="4"/>
      <c r="C71" s="4"/>
      <c r="D71" s="4">
        <v>186</v>
      </c>
      <c r="E71" s="4">
        <v>1.23</v>
      </c>
      <c r="F71" s="4">
        <v>20.58</v>
      </c>
      <c r="G71" s="4">
        <v>42.38</v>
      </c>
      <c r="H71" s="4">
        <v>159.69999999999999</v>
      </c>
      <c r="I71" s="4"/>
      <c r="J71" s="4"/>
      <c r="K71" s="4">
        <v>114.33</v>
      </c>
      <c r="AR71" s="2" t="s">
        <v>1</v>
      </c>
    </row>
    <row r="72" spans="1:44" x14ac:dyDescent="0.2">
      <c r="A72" s="7">
        <v>29677</v>
      </c>
      <c r="B72" s="4"/>
      <c r="C72" s="4"/>
      <c r="D72" s="4">
        <v>204.36666666666667</v>
      </c>
      <c r="E72" s="4">
        <v>1.2366666666666666</v>
      </c>
      <c r="F72" s="4">
        <v>19.613333333333333</v>
      </c>
      <c r="G72" s="4">
        <v>38.303333333333335</v>
      </c>
      <c r="H72" s="4">
        <v>165.5</v>
      </c>
      <c r="I72" s="4"/>
      <c r="J72" s="4">
        <v>9.9366666666666674</v>
      </c>
      <c r="K72" s="4">
        <v>105.37666666666667</v>
      </c>
      <c r="AR72" s="2" t="s">
        <v>1</v>
      </c>
    </row>
    <row r="73" spans="1:44" x14ac:dyDescent="0.2">
      <c r="A73" s="7">
        <v>29683</v>
      </c>
      <c r="B73" s="4"/>
      <c r="C73" s="4"/>
      <c r="D73" s="4">
        <v>188.33333333333334</v>
      </c>
      <c r="E73" s="4">
        <v>1.0333333333333334</v>
      </c>
      <c r="F73" s="4">
        <v>19.36</v>
      </c>
      <c r="G73" s="4">
        <v>37.286666666666669</v>
      </c>
      <c r="H73" s="4"/>
      <c r="I73" s="4"/>
      <c r="J73" s="4">
        <v>14.103333333333333</v>
      </c>
      <c r="K73" s="4">
        <v>108.87333333333333</v>
      </c>
      <c r="AR73" s="2" t="s">
        <v>1</v>
      </c>
    </row>
    <row r="74" spans="1:44" x14ac:dyDescent="0.2">
      <c r="A74" s="7">
        <v>29687</v>
      </c>
      <c r="B74" s="4"/>
      <c r="C74" s="4"/>
      <c r="D74" s="4">
        <v>187.55</v>
      </c>
      <c r="E74" s="4">
        <v>0.84</v>
      </c>
      <c r="F74" s="4">
        <v>19.975000000000001</v>
      </c>
      <c r="G74" s="4">
        <v>88.26</v>
      </c>
      <c r="H74" s="4">
        <v>163.35</v>
      </c>
      <c r="I74" s="4"/>
      <c r="J74" s="4">
        <v>14.984999999999999</v>
      </c>
      <c r="K74" s="4">
        <v>110.145</v>
      </c>
      <c r="AR74" s="2" t="s">
        <v>1</v>
      </c>
    </row>
    <row r="75" spans="1:44" x14ac:dyDescent="0.2">
      <c r="A75" s="7">
        <v>29693</v>
      </c>
      <c r="B75" s="4"/>
      <c r="C75" s="4"/>
      <c r="D75" s="4">
        <v>189.9</v>
      </c>
      <c r="E75" s="4"/>
      <c r="F75" s="4">
        <v>18.503333333333334</v>
      </c>
      <c r="G75" s="4">
        <v>34.723333333333336</v>
      </c>
      <c r="H75" s="4">
        <v>163.33333333333334</v>
      </c>
      <c r="I75" s="4"/>
      <c r="J75" s="4">
        <v>8.2266666666666666</v>
      </c>
      <c r="K75" s="4">
        <v>92.63666666666667</v>
      </c>
      <c r="AR75" s="2" t="s">
        <v>1</v>
      </c>
    </row>
    <row r="76" spans="1:44" x14ac:dyDescent="0.2">
      <c r="A76" s="7">
        <v>29696</v>
      </c>
      <c r="B76" s="4"/>
      <c r="C76" s="4">
        <v>336.9</v>
      </c>
      <c r="D76" s="4">
        <v>188.1</v>
      </c>
      <c r="E76" s="4">
        <v>1.49</v>
      </c>
      <c r="F76" s="4">
        <v>20.045000000000002</v>
      </c>
      <c r="G76" s="4"/>
      <c r="H76" s="4">
        <v>162.25</v>
      </c>
      <c r="I76" s="4">
        <v>147</v>
      </c>
      <c r="J76" s="4">
        <v>32.299999999999997</v>
      </c>
      <c r="K76" s="4">
        <v>87.174999999999997</v>
      </c>
      <c r="AR76" s="2" t="s">
        <v>1</v>
      </c>
    </row>
    <row r="77" spans="1:44" x14ac:dyDescent="0.2">
      <c r="A77" s="7">
        <v>29705</v>
      </c>
      <c r="B77" s="4"/>
      <c r="C77" s="4"/>
      <c r="D77" s="4">
        <v>192.75</v>
      </c>
      <c r="E77" s="4">
        <v>3.08</v>
      </c>
      <c r="F77" s="4">
        <v>20.79</v>
      </c>
      <c r="G77" s="4">
        <v>48.91</v>
      </c>
      <c r="H77" s="4">
        <v>165.2</v>
      </c>
      <c r="I77" s="4"/>
      <c r="J77" s="4">
        <v>11.68</v>
      </c>
      <c r="K77" s="4">
        <v>87.555000000000007</v>
      </c>
      <c r="AR77" s="2" t="s">
        <v>1</v>
      </c>
    </row>
    <row r="78" spans="1:44" x14ac:dyDescent="0.2">
      <c r="A78" s="7">
        <v>29710</v>
      </c>
      <c r="B78" s="4">
        <v>327.3</v>
      </c>
      <c r="C78" s="4">
        <v>326.3</v>
      </c>
      <c r="D78" s="4">
        <v>186.8</v>
      </c>
      <c r="E78" s="4">
        <v>0.9</v>
      </c>
      <c r="F78" s="4">
        <v>20.37</v>
      </c>
      <c r="G78" s="4"/>
      <c r="H78" s="4">
        <v>169.8</v>
      </c>
      <c r="I78" s="4">
        <v>153</v>
      </c>
      <c r="J78" s="4">
        <v>15.33</v>
      </c>
      <c r="K78" s="4">
        <v>112.44</v>
      </c>
      <c r="AR78" s="2" t="s">
        <v>1</v>
      </c>
    </row>
    <row r="79" spans="1:44" x14ac:dyDescent="0.2">
      <c r="A79" s="7">
        <v>29719</v>
      </c>
      <c r="B79" s="4"/>
      <c r="C79" s="4"/>
      <c r="D79" s="4">
        <v>194.06666666666666</v>
      </c>
      <c r="E79" s="4">
        <v>2.7266666666666666</v>
      </c>
      <c r="F79" s="4">
        <v>19.16</v>
      </c>
      <c r="G79" s="4">
        <v>42.006666666666668</v>
      </c>
      <c r="H79" s="4">
        <v>159.86666666666667</v>
      </c>
      <c r="I79" s="4"/>
      <c r="J79" s="4">
        <v>5.9266666666666667</v>
      </c>
      <c r="K79" s="4">
        <v>54.573333333333331</v>
      </c>
      <c r="AR79" s="2" t="s">
        <v>1</v>
      </c>
    </row>
    <row r="80" spans="1:44" x14ac:dyDescent="0.2">
      <c r="A80" s="7">
        <v>29720</v>
      </c>
      <c r="B80" s="4"/>
      <c r="C80" s="4"/>
      <c r="D80" s="4">
        <v>194.03333333333333</v>
      </c>
      <c r="E80" s="4">
        <v>1.1866666666666668</v>
      </c>
      <c r="F80" s="4">
        <v>20.646666666666668</v>
      </c>
      <c r="G80" s="4">
        <v>54.926666666666669</v>
      </c>
      <c r="H80" s="4">
        <v>166.56666666666666</v>
      </c>
      <c r="I80" s="4"/>
      <c r="J80" s="4"/>
      <c r="K80" s="4">
        <v>72.209999999999994</v>
      </c>
      <c r="AR80" s="2" t="s">
        <v>1</v>
      </c>
    </row>
    <row r="81" spans="1:44" x14ac:dyDescent="0.2">
      <c r="A81" s="7">
        <v>29720</v>
      </c>
      <c r="B81" s="4"/>
      <c r="C81" s="4"/>
      <c r="D81" s="4">
        <v>189.26666666666668</v>
      </c>
      <c r="E81" s="4">
        <v>4.5333333333333332</v>
      </c>
      <c r="F81" s="4">
        <v>20.49</v>
      </c>
      <c r="G81" s="4">
        <v>37.043333333333337</v>
      </c>
      <c r="H81" s="4">
        <v>171.93333333333334</v>
      </c>
      <c r="I81" s="4"/>
      <c r="J81" s="4">
        <v>2.4500000000000002</v>
      </c>
      <c r="K81" s="4">
        <v>61.513333333333335</v>
      </c>
      <c r="AR81" s="2" t="s">
        <v>1</v>
      </c>
    </row>
    <row r="82" spans="1:44" x14ac:dyDescent="0.2">
      <c r="A82" s="7">
        <v>29732</v>
      </c>
      <c r="B82" s="4"/>
      <c r="C82" s="4"/>
      <c r="D82" s="4">
        <v>195.5</v>
      </c>
      <c r="E82" s="4">
        <v>6</v>
      </c>
      <c r="F82" s="4">
        <v>20.63</v>
      </c>
      <c r="G82" s="4">
        <v>86.96</v>
      </c>
      <c r="H82" s="4">
        <v>165.2</v>
      </c>
      <c r="I82" s="4"/>
      <c r="J82" s="4">
        <v>10.26</v>
      </c>
      <c r="K82" s="4">
        <v>94</v>
      </c>
      <c r="AR82" s="2" t="s">
        <v>1</v>
      </c>
    </row>
    <row r="83" spans="1:44" x14ac:dyDescent="0.2">
      <c r="A83" s="7">
        <v>29733</v>
      </c>
      <c r="B83" s="4"/>
      <c r="C83" s="4"/>
      <c r="D83" s="4">
        <v>193.65</v>
      </c>
      <c r="E83" s="4">
        <v>1.2849999999999999</v>
      </c>
      <c r="F83" s="4">
        <v>20.684999999999999</v>
      </c>
      <c r="G83" s="4">
        <v>36.034999999999997</v>
      </c>
      <c r="H83" s="4">
        <v>169.15</v>
      </c>
      <c r="I83" s="4"/>
      <c r="J83" s="4">
        <v>18.03</v>
      </c>
      <c r="K83" s="4">
        <v>91.305000000000007</v>
      </c>
      <c r="AR83" s="2" t="s">
        <v>1</v>
      </c>
    </row>
    <row r="84" spans="1:44" x14ac:dyDescent="0.2">
      <c r="A84" s="7">
        <v>29738</v>
      </c>
      <c r="B84" s="4"/>
      <c r="C84" s="4"/>
      <c r="D84" s="4">
        <v>197.05</v>
      </c>
      <c r="E84" s="4">
        <v>5.9249999999999998</v>
      </c>
      <c r="F84" s="4">
        <v>19.079999999999998</v>
      </c>
      <c r="G84" s="4">
        <v>40.625</v>
      </c>
      <c r="H84" s="4">
        <v>158.4</v>
      </c>
      <c r="I84" s="4"/>
      <c r="J84" s="4"/>
      <c r="K84" s="4">
        <v>75.75</v>
      </c>
      <c r="AR84" s="2" t="s">
        <v>1</v>
      </c>
    </row>
    <row r="85" spans="1:44" x14ac:dyDescent="0.2">
      <c r="A85" s="7">
        <v>29746</v>
      </c>
      <c r="B85" s="4"/>
      <c r="C85" s="4"/>
      <c r="D85" s="4">
        <v>196.8</v>
      </c>
      <c r="E85" s="4">
        <v>0.75</v>
      </c>
      <c r="F85" s="4">
        <v>18.920000000000002</v>
      </c>
      <c r="G85" s="4">
        <v>35.79</v>
      </c>
      <c r="H85" s="4">
        <v>161.80000000000001</v>
      </c>
      <c r="I85" s="4"/>
      <c r="J85" s="4">
        <v>4.5049999999999999</v>
      </c>
      <c r="K85" s="4">
        <v>84.825000000000003</v>
      </c>
      <c r="AR85" s="2" t="s">
        <v>1</v>
      </c>
    </row>
    <row r="86" spans="1:44" x14ac:dyDescent="0.2">
      <c r="A86" s="7">
        <v>29754</v>
      </c>
      <c r="B86" s="4"/>
      <c r="C86" s="4"/>
      <c r="D86" s="4">
        <v>190.03333333333333</v>
      </c>
      <c r="E86" s="4">
        <v>1.3966666666666667</v>
      </c>
      <c r="F86" s="4">
        <v>18.803333333333335</v>
      </c>
      <c r="G86" s="4">
        <v>37.380000000000003</v>
      </c>
      <c r="H86" s="4">
        <v>160.13333333333333</v>
      </c>
      <c r="I86" s="4"/>
      <c r="J86" s="4">
        <v>6.89</v>
      </c>
      <c r="K86" s="4">
        <v>70.776666666666671</v>
      </c>
      <c r="AR86" s="2" t="s">
        <v>1</v>
      </c>
    </row>
    <row r="87" spans="1:44" x14ac:dyDescent="0.2">
      <c r="A87" s="7">
        <v>29755</v>
      </c>
      <c r="B87" s="4">
        <v>339.66666666666669</v>
      </c>
      <c r="C87" s="4">
        <v>327.96666666666664</v>
      </c>
      <c r="D87" s="4">
        <v>194.33333333333334</v>
      </c>
      <c r="E87" s="4">
        <v>6.416666666666667</v>
      </c>
      <c r="F87" s="4">
        <v>19.413333333333334</v>
      </c>
      <c r="G87" s="4">
        <v>38.973333333333336</v>
      </c>
      <c r="H87" s="4">
        <v>160.16666666666666</v>
      </c>
      <c r="I87" s="4">
        <v>146.69999999999999</v>
      </c>
      <c r="J87" s="4">
        <v>5.543333333333333</v>
      </c>
      <c r="K87" s="4">
        <v>71.416666666666671</v>
      </c>
      <c r="AR87" s="2" t="s">
        <v>1</v>
      </c>
    </row>
    <row r="88" spans="1:44" x14ac:dyDescent="0.2">
      <c r="A88" s="7">
        <v>29760</v>
      </c>
      <c r="B88" s="4">
        <v>338.1</v>
      </c>
      <c r="C88" s="4">
        <v>334.4</v>
      </c>
      <c r="D88" s="4">
        <v>190.9</v>
      </c>
      <c r="E88" s="4">
        <v>1.34</v>
      </c>
      <c r="F88" s="4">
        <v>20.260000000000002</v>
      </c>
      <c r="G88" s="4">
        <v>93.24</v>
      </c>
      <c r="H88" s="4">
        <v>165.4</v>
      </c>
      <c r="I88" s="4">
        <v>152.80000000000001</v>
      </c>
      <c r="J88" s="4">
        <v>12.74</v>
      </c>
      <c r="K88" s="4">
        <v>64.599999999999994</v>
      </c>
      <c r="AR88" s="2" t="s">
        <v>1</v>
      </c>
    </row>
    <row r="89" spans="1:44" x14ac:dyDescent="0.2">
      <c r="A89" s="7">
        <v>29766</v>
      </c>
      <c r="B89" s="4">
        <v>333.93333333333334</v>
      </c>
      <c r="C89" s="4">
        <v>330.23333333333335</v>
      </c>
      <c r="D89" s="4">
        <v>191.53333333333333</v>
      </c>
      <c r="E89" s="4">
        <v>0.96333333333333337</v>
      </c>
      <c r="F89" s="4">
        <v>19.656666666666666</v>
      </c>
      <c r="G89" s="4">
        <v>36.159999999999997</v>
      </c>
      <c r="H89" s="4">
        <v>162.9</v>
      </c>
      <c r="I89" s="4">
        <v>153.80000000000001</v>
      </c>
      <c r="J89" s="4">
        <v>5.753333333333333</v>
      </c>
      <c r="K89" s="4">
        <v>53.466666666666669</v>
      </c>
      <c r="AR89" s="2" t="s">
        <v>1</v>
      </c>
    </row>
    <row r="90" spans="1:44" x14ac:dyDescent="0.2">
      <c r="A90" s="7">
        <v>29768</v>
      </c>
      <c r="B90" s="4">
        <v>337.45</v>
      </c>
      <c r="C90" s="4">
        <v>335.2</v>
      </c>
      <c r="D90" s="4">
        <v>195.45</v>
      </c>
      <c r="E90" s="4">
        <v>1.44</v>
      </c>
      <c r="F90" s="4">
        <v>21.26</v>
      </c>
      <c r="G90" s="4"/>
      <c r="H90" s="4">
        <v>156.5</v>
      </c>
      <c r="I90" s="4">
        <v>156.5</v>
      </c>
      <c r="J90" s="4">
        <v>19.234999999999999</v>
      </c>
      <c r="K90" s="4">
        <v>68.73</v>
      </c>
      <c r="AR90" s="2" t="s">
        <v>1</v>
      </c>
    </row>
    <row r="91" spans="1:44" x14ac:dyDescent="0.2">
      <c r="A91" s="7">
        <v>29776</v>
      </c>
      <c r="B91" s="4">
        <v>329.06666666666666</v>
      </c>
      <c r="C91" s="4">
        <v>326.60000000000002</v>
      </c>
      <c r="D91" s="4">
        <v>205.93333333333334</v>
      </c>
      <c r="E91" s="4">
        <v>1.22</v>
      </c>
      <c r="F91" s="4">
        <v>19.946666666666665</v>
      </c>
      <c r="G91" s="4">
        <v>35.546666666666667</v>
      </c>
      <c r="H91" s="4">
        <v>161.69999999999999</v>
      </c>
      <c r="I91" s="4">
        <v>156.46666666666667</v>
      </c>
      <c r="J91" s="4">
        <v>9.43</v>
      </c>
      <c r="K91" s="4">
        <v>84.056666666666672</v>
      </c>
      <c r="AR91" s="2" t="s">
        <v>1</v>
      </c>
    </row>
    <row r="92" spans="1:44" x14ac:dyDescent="0.2">
      <c r="A92" s="7">
        <v>29782</v>
      </c>
      <c r="B92" s="4">
        <v>328</v>
      </c>
      <c r="C92" s="4">
        <v>324.13333333333333</v>
      </c>
      <c r="D92" s="4">
        <v>186.66666666666666</v>
      </c>
      <c r="E92" s="4">
        <v>4.3933333333333335</v>
      </c>
      <c r="F92" s="4">
        <v>20.246666666666666</v>
      </c>
      <c r="G92" s="4">
        <v>64.39</v>
      </c>
      <c r="H92" s="4">
        <v>165.53333333333333</v>
      </c>
      <c r="I92" s="4">
        <v>150.63333333333333</v>
      </c>
      <c r="J92" s="4">
        <v>8.913333333333334</v>
      </c>
      <c r="K92" s="4">
        <v>65.223333333333329</v>
      </c>
      <c r="AR92" s="2" t="s">
        <v>1</v>
      </c>
    </row>
    <row r="93" spans="1:44" x14ac:dyDescent="0.2">
      <c r="A93" s="7">
        <v>29783</v>
      </c>
      <c r="B93" s="4">
        <v>335.2</v>
      </c>
      <c r="C93" s="4">
        <v>329.2</v>
      </c>
      <c r="D93" s="4">
        <v>192.9</v>
      </c>
      <c r="E93" s="4">
        <v>1.5149999999999999</v>
      </c>
      <c r="F93" s="4">
        <v>20.079999999999998</v>
      </c>
      <c r="G93" s="4">
        <v>52.384999999999998</v>
      </c>
      <c r="H93" s="4">
        <v>147.69999999999999</v>
      </c>
      <c r="I93" s="4">
        <v>150.6</v>
      </c>
      <c r="J93" s="4">
        <v>6.37</v>
      </c>
      <c r="K93" s="4">
        <v>46.335000000000001</v>
      </c>
      <c r="AR93" s="2" t="s">
        <v>1</v>
      </c>
    </row>
    <row r="94" spans="1:44" x14ac:dyDescent="0.2">
      <c r="A94" s="7">
        <v>29788</v>
      </c>
      <c r="B94" s="4">
        <v>327.33333333333331</v>
      </c>
      <c r="C94" s="4">
        <v>326.86666666666667</v>
      </c>
      <c r="D94" s="4">
        <v>201.13333333333333</v>
      </c>
      <c r="E94" s="4">
        <v>1.2533333333333334</v>
      </c>
      <c r="F94" s="4">
        <v>19.653333333333332</v>
      </c>
      <c r="G94" s="4">
        <v>34.729999999999997</v>
      </c>
      <c r="H94" s="4">
        <v>163.83333333333334</v>
      </c>
      <c r="I94" s="4">
        <v>149.96666666666667</v>
      </c>
      <c r="J94" s="4">
        <v>5.1633333333333331</v>
      </c>
      <c r="K94" s="4">
        <v>59.4</v>
      </c>
      <c r="AR94" s="2" t="s">
        <v>1</v>
      </c>
    </row>
    <row r="95" spans="1:44" x14ac:dyDescent="0.2">
      <c r="A95" s="7">
        <v>29796</v>
      </c>
      <c r="B95" s="4">
        <v>335.3</v>
      </c>
      <c r="C95" s="4">
        <v>333.56666666666666</v>
      </c>
      <c r="D95" s="4">
        <v>191.4</v>
      </c>
      <c r="E95" s="4">
        <v>0.70333333333333337</v>
      </c>
      <c r="F95" s="4">
        <v>19.863333333333333</v>
      </c>
      <c r="G95" s="4">
        <v>33.24</v>
      </c>
      <c r="H95" s="4">
        <v>159.86666666666667</v>
      </c>
      <c r="I95" s="4">
        <v>150.66666666666666</v>
      </c>
      <c r="J95" s="4">
        <v>9.0466666666666669</v>
      </c>
      <c r="K95" s="4">
        <v>64.84</v>
      </c>
      <c r="AR95" s="2" t="s">
        <v>1</v>
      </c>
    </row>
    <row r="96" spans="1:44" x14ac:dyDescent="0.2">
      <c r="A96" s="7">
        <v>29797</v>
      </c>
      <c r="B96" s="4">
        <v>334.03333333333336</v>
      </c>
      <c r="C96" s="4">
        <v>331.16666666666669</v>
      </c>
      <c r="D96" s="4">
        <v>193.66666666666666</v>
      </c>
      <c r="E96" s="4">
        <v>4.3133333333333335</v>
      </c>
      <c r="F96" s="4">
        <v>19.579999999999998</v>
      </c>
      <c r="G96" s="4">
        <v>35.446666666666665</v>
      </c>
      <c r="H96" s="4">
        <v>155.53333333333333</v>
      </c>
      <c r="I96" s="4">
        <v>146.46666666666667</v>
      </c>
      <c r="J96" s="4">
        <v>10.244999999999999</v>
      </c>
      <c r="K96" s="4">
        <v>62.99</v>
      </c>
      <c r="AR96" s="2" t="s">
        <v>1</v>
      </c>
    </row>
    <row r="97" spans="1:44" x14ac:dyDescent="0.2">
      <c r="A97" s="7">
        <v>29804</v>
      </c>
      <c r="B97" s="4">
        <v>336</v>
      </c>
      <c r="C97" s="4">
        <v>339.4</v>
      </c>
      <c r="D97" s="4">
        <v>176.6</v>
      </c>
      <c r="E97" s="4">
        <v>2.1</v>
      </c>
      <c r="F97" s="4">
        <v>20.93</v>
      </c>
      <c r="G97" s="4">
        <v>83.64</v>
      </c>
      <c r="H97" s="4">
        <v>158.80000000000001</v>
      </c>
      <c r="I97" s="4">
        <v>154.30000000000001</v>
      </c>
      <c r="J97" s="4">
        <v>25.86</v>
      </c>
      <c r="K97" s="4">
        <v>49.21</v>
      </c>
      <c r="AR97" s="2" t="s">
        <v>1</v>
      </c>
    </row>
    <row r="98" spans="1:44" x14ac:dyDescent="0.2">
      <c r="A98" s="7">
        <v>29808</v>
      </c>
      <c r="B98" s="4">
        <v>335.76666666666665</v>
      </c>
      <c r="C98" s="4">
        <v>344.3</v>
      </c>
      <c r="D98" s="4">
        <v>195.53333333333333</v>
      </c>
      <c r="E98" s="4">
        <v>0.94333333333333336</v>
      </c>
      <c r="F98" s="4">
        <v>19.433333333333334</v>
      </c>
      <c r="G98" s="4">
        <v>38.053333333333335</v>
      </c>
      <c r="H98" s="4">
        <v>163.69999999999999</v>
      </c>
      <c r="I98" s="4">
        <v>142.83333333333334</v>
      </c>
      <c r="J98" s="4">
        <v>6.0533333333333337</v>
      </c>
      <c r="K98" s="4">
        <v>58.136666666666663</v>
      </c>
      <c r="AR98" s="2" t="s">
        <v>1</v>
      </c>
    </row>
    <row r="99" spans="1:44" x14ac:dyDescent="0.2">
      <c r="A99" s="7">
        <v>29817</v>
      </c>
      <c r="B99" s="4">
        <v>334.9</v>
      </c>
      <c r="C99" s="4">
        <v>332.53333333333336</v>
      </c>
      <c r="D99" s="4">
        <v>188.5</v>
      </c>
      <c r="E99" s="4"/>
      <c r="F99" s="4">
        <v>20.99</v>
      </c>
      <c r="G99" s="4">
        <v>33.383333333333333</v>
      </c>
      <c r="H99" s="4">
        <v>160.4</v>
      </c>
      <c r="I99" s="4">
        <v>144.13333333333333</v>
      </c>
      <c r="J99" s="4">
        <v>7.3233333333333333</v>
      </c>
      <c r="K99" s="4">
        <v>59.916666666666664</v>
      </c>
      <c r="AR99" s="2" t="s">
        <v>1</v>
      </c>
    </row>
    <row r="100" spans="1:44" x14ac:dyDescent="0.2">
      <c r="A100" s="7">
        <v>29818</v>
      </c>
      <c r="B100" s="4">
        <v>325.7</v>
      </c>
      <c r="C100" s="4">
        <v>334.8</v>
      </c>
      <c r="D100" s="4">
        <v>188.2</v>
      </c>
      <c r="E100" s="4">
        <v>1.645</v>
      </c>
      <c r="F100" s="4">
        <v>21.72</v>
      </c>
      <c r="G100" s="4"/>
      <c r="H100" s="4">
        <v>155</v>
      </c>
      <c r="I100" s="4">
        <v>148.9</v>
      </c>
      <c r="J100" s="4">
        <v>16.574999999999999</v>
      </c>
      <c r="K100" s="4">
        <v>49.51</v>
      </c>
      <c r="AR100" s="2" t="s">
        <v>1</v>
      </c>
    </row>
    <row r="101" spans="1:44" x14ac:dyDescent="0.2">
      <c r="A101" s="7">
        <v>29824</v>
      </c>
      <c r="B101" s="4">
        <v>337.7</v>
      </c>
      <c r="C101" s="4">
        <v>342.16666666666669</v>
      </c>
      <c r="D101" s="4">
        <v>193.6</v>
      </c>
      <c r="E101" s="4">
        <v>0.67333333333333334</v>
      </c>
      <c r="F101" s="4">
        <v>18.536666666666665</v>
      </c>
      <c r="G101" s="4">
        <v>38.186666666666667</v>
      </c>
      <c r="H101" s="4">
        <v>167.9</v>
      </c>
      <c r="I101" s="4">
        <v>151.30000000000001</v>
      </c>
      <c r="J101" s="4">
        <v>6.6166666666666663</v>
      </c>
      <c r="K101" s="4">
        <v>53.486666666666665</v>
      </c>
      <c r="AR101" s="2" t="s">
        <v>1</v>
      </c>
    </row>
    <row r="102" spans="1:44" x14ac:dyDescent="0.2">
      <c r="A102" s="7">
        <v>29831</v>
      </c>
      <c r="B102" s="4">
        <v>335.36666666666667</v>
      </c>
      <c r="C102" s="4">
        <v>340.83333333333331</v>
      </c>
      <c r="D102" s="4">
        <v>197.10666666666665</v>
      </c>
      <c r="E102" s="4">
        <v>2.0766666666666667</v>
      </c>
      <c r="F102" s="4">
        <v>20.973333333333333</v>
      </c>
      <c r="G102" s="4">
        <v>74.13666666666667</v>
      </c>
      <c r="H102" s="4">
        <v>167.7</v>
      </c>
      <c r="I102" s="4">
        <v>145.03333333333333</v>
      </c>
      <c r="J102" s="4">
        <v>8.4733333333333327</v>
      </c>
      <c r="K102" s="4">
        <v>59.63</v>
      </c>
      <c r="AR102" s="2" t="s">
        <v>1</v>
      </c>
    </row>
    <row r="103" spans="1:44" x14ac:dyDescent="0.2">
      <c r="A103" s="7">
        <v>29832</v>
      </c>
      <c r="B103" s="4">
        <v>329.16666666666669</v>
      </c>
      <c r="C103" s="4">
        <v>338.43333333333334</v>
      </c>
      <c r="D103" s="4">
        <v>193</v>
      </c>
      <c r="E103" s="4">
        <v>2.2999999999999998</v>
      </c>
      <c r="F103" s="4">
        <v>19.649999999999999</v>
      </c>
      <c r="G103" s="4">
        <v>38.583333333333336</v>
      </c>
      <c r="H103" s="4">
        <v>164.73333333333332</v>
      </c>
      <c r="I103" s="4">
        <v>139.56666666666666</v>
      </c>
      <c r="J103" s="4">
        <v>7.5</v>
      </c>
      <c r="K103" s="4">
        <v>52.05</v>
      </c>
      <c r="AR103" s="2" t="s">
        <v>1</v>
      </c>
    </row>
    <row r="104" spans="1:44" x14ac:dyDescent="0.2">
      <c r="A104" s="7">
        <v>29838</v>
      </c>
      <c r="B104" s="4">
        <v>331.83333333333331</v>
      </c>
      <c r="C104" s="4">
        <v>342.9</v>
      </c>
      <c r="D104" s="4">
        <v>198.8</v>
      </c>
      <c r="E104" s="4">
        <v>0.91</v>
      </c>
      <c r="F104" s="4">
        <v>21.966666666666665</v>
      </c>
      <c r="G104" s="4">
        <v>34.19</v>
      </c>
      <c r="H104" s="4">
        <v>160.4</v>
      </c>
      <c r="I104" s="4">
        <v>145.13333333333333</v>
      </c>
      <c r="J104" s="4">
        <v>6.0666666666666664</v>
      </c>
      <c r="K104" s="4">
        <v>56.14</v>
      </c>
      <c r="AR104" s="2" t="s">
        <v>1</v>
      </c>
    </row>
    <row r="105" spans="1:44" x14ac:dyDescent="0.2">
      <c r="A105" s="7">
        <v>29844</v>
      </c>
      <c r="B105" s="4">
        <v>337.7</v>
      </c>
      <c r="C105" s="4">
        <v>346.2</v>
      </c>
      <c r="D105" s="4">
        <v>196.73333333333332</v>
      </c>
      <c r="E105" s="4">
        <v>0.64</v>
      </c>
      <c r="F105" s="4">
        <v>18.596666666666668</v>
      </c>
      <c r="G105" s="4">
        <v>39.166666666666664</v>
      </c>
      <c r="H105" s="4">
        <v>164.9</v>
      </c>
      <c r="I105" s="4"/>
      <c r="J105" s="4">
        <v>11.146666666666667</v>
      </c>
      <c r="K105" s="4">
        <v>74.62</v>
      </c>
      <c r="AR105" s="2" t="s">
        <v>1</v>
      </c>
    </row>
    <row r="106" spans="1:44" x14ac:dyDescent="0.2">
      <c r="A106" s="7">
        <v>29845</v>
      </c>
      <c r="B106" s="4">
        <v>333.2</v>
      </c>
      <c r="C106" s="4">
        <v>345.95</v>
      </c>
      <c r="D106" s="4">
        <v>202.75</v>
      </c>
      <c r="E106" s="4">
        <v>1.385</v>
      </c>
      <c r="F106" s="4">
        <v>21.475000000000001</v>
      </c>
      <c r="G106" s="4">
        <v>49.795000000000002</v>
      </c>
      <c r="H106" s="4">
        <v>169.9</v>
      </c>
      <c r="I106" s="4">
        <v>153.6</v>
      </c>
      <c r="J106" s="4">
        <v>21.984999999999999</v>
      </c>
      <c r="K106" s="4">
        <v>86.91</v>
      </c>
      <c r="AR106" s="2" t="s">
        <v>1</v>
      </c>
    </row>
    <row r="107" spans="1:44" x14ac:dyDescent="0.2">
      <c r="A107" s="7">
        <v>29851</v>
      </c>
      <c r="B107" s="4">
        <v>339.23333333333335</v>
      </c>
      <c r="C107" s="4">
        <v>346.56666666666666</v>
      </c>
      <c r="D107" s="4">
        <v>210.06666666666666</v>
      </c>
      <c r="E107" s="4">
        <v>1.2066666666666668</v>
      </c>
      <c r="F107" s="4">
        <v>20.746666666666666</v>
      </c>
      <c r="G107" s="4">
        <v>35.563333333333333</v>
      </c>
      <c r="H107" s="4">
        <v>170.06666666666666</v>
      </c>
      <c r="I107" s="4">
        <v>144.43333333333334</v>
      </c>
      <c r="J107" s="4">
        <v>22.706666666666667</v>
      </c>
      <c r="K107" s="4">
        <v>96.076666666666668</v>
      </c>
      <c r="AR107" s="2" t="s">
        <v>1</v>
      </c>
    </row>
    <row r="108" spans="1:44" x14ac:dyDescent="0.2">
      <c r="A108" s="7">
        <v>29859</v>
      </c>
      <c r="B108" s="4">
        <v>339</v>
      </c>
      <c r="C108" s="4">
        <v>349.9</v>
      </c>
      <c r="D108" s="4">
        <v>213.7</v>
      </c>
      <c r="E108" s="4">
        <v>0.96</v>
      </c>
      <c r="F108" s="4">
        <v>24.59</v>
      </c>
      <c r="G108" s="4">
        <v>49.17</v>
      </c>
      <c r="H108" s="4">
        <v>178.6</v>
      </c>
      <c r="I108" s="4">
        <v>148.80000000000001</v>
      </c>
      <c r="J108" s="4">
        <v>37.08</v>
      </c>
      <c r="K108" s="4">
        <v>150.5</v>
      </c>
      <c r="AR108" s="2" t="s">
        <v>1</v>
      </c>
    </row>
    <row r="109" spans="1:44" x14ac:dyDescent="0.2">
      <c r="A109" s="7">
        <v>29873</v>
      </c>
      <c r="B109" s="4"/>
      <c r="C109" s="4">
        <v>347.4</v>
      </c>
      <c r="D109" s="4">
        <v>204.63333333333333</v>
      </c>
      <c r="E109" s="4">
        <v>0.71333333333333337</v>
      </c>
      <c r="F109" s="4">
        <v>20.703333333333333</v>
      </c>
      <c r="G109" s="4">
        <v>34.536666666666669</v>
      </c>
      <c r="H109" s="4">
        <v>169.36666666666667</v>
      </c>
      <c r="I109" s="4"/>
      <c r="J109" s="4">
        <v>32.966666666666669</v>
      </c>
      <c r="K109" s="4">
        <v>104.25666666666666</v>
      </c>
      <c r="AR109" s="2" t="s">
        <v>1</v>
      </c>
    </row>
    <row r="110" spans="1:44" x14ac:dyDescent="0.2">
      <c r="A110" s="7">
        <v>29879</v>
      </c>
      <c r="B110" s="4">
        <v>326.16666666666669</v>
      </c>
      <c r="C110" s="4">
        <v>336.43333333333334</v>
      </c>
      <c r="D110" s="4">
        <v>198.83333333333334</v>
      </c>
      <c r="E110" s="4">
        <v>1.24</v>
      </c>
      <c r="F110" s="4">
        <v>21.83</v>
      </c>
      <c r="G110" s="4">
        <v>36.083333333333336</v>
      </c>
      <c r="H110" s="4">
        <v>184.66666666666666</v>
      </c>
      <c r="I110" s="4"/>
      <c r="J110" s="4">
        <v>45.81</v>
      </c>
      <c r="K110" s="4">
        <v>118.76</v>
      </c>
      <c r="AR110" s="2" t="s">
        <v>1</v>
      </c>
    </row>
    <row r="111" spans="1:44" x14ac:dyDescent="0.2">
      <c r="A111" s="7">
        <v>29887</v>
      </c>
      <c r="B111" s="4">
        <v>336.9</v>
      </c>
      <c r="C111" s="4">
        <v>348</v>
      </c>
      <c r="D111" s="4">
        <v>196.7</v>
      </c>
      <c r="E111" s="4">
        <v>1.18</v>
      </c>
      <c r="F111" s="4">
        <v>20.65</v>
      </c>
      <c r="G111" s="4">
        <v>45.74</v>
      </c>
      <c r="H111" s="4">
        <v>161.19999999999999</v>
      </c>
      <c r="I111" s="4">
        <v>154.5</v>
      </c>
      <c r="J111" s="4">
        <v>60.3</v>
      </c>
      <c r="K111" s="4">
        <v>98.71</v>
      </c>
      <c r="AR111" s="2" t="s">
        <v>1</v>
      </c>
    </row>
    <row r="112" spans="1:44" x14ac:dyDescent="0.2">
      <c r="A112" s="7">
        <v>29910</v>
      </c>
      <c r="B112" s="4">
        <v>335.13333333333333</v>
      </c>
      <c r="C112" s="4">
        <v>345</v>
      </c>
      <c r="D112" s="4">
        <v>202.2</v>
      </c>
      <c r="E112" s="4">
        <v>1.0433333333333332</v>
      </c>
      <c r="F112" s="4">
        <v>20.963333333333335</v>
      </c>
      <c r="G112" s="4">
        <v>35.626666666666665</v>
      </c>
      <c r="H112" s="4"/>
      <c r="I112" s="4">
        <v>147.1</v>
      </c>
      <c r="J112" s="4">
        <v>31.17</v>
      </c>
      <c r="K112" s="4">
        <v>103.6</v>
      </c>
      <c r="AR112" s="2" t="s">
        <v>1</v>
      </c>
    </row>
    <row r="113" spans="1:44" x14ac:dyDescent="0.2">
      <c r="A113" s="7">
        <v>29922</v>
      </c>
      <c r="B113" s="4">
        <v>333.7</v>
      </c>
      <c r="C113" s="4">
        <v>346</v>
      </c>
      <c r="D113" s="4"/>
      <c r="E113" s="4">
        <v>1.23</v>
      </c>
      <c r="F113" s="4">
        <v>22.26</v>
      </c>
      <c r="G113" s="4">
        <v>34.17</v>
      </c>
      <c r="H113" s="4">
        <v>165</v>
      </c>
      <c r="I113" s="4">
        <v>142.30000000000001</v>
      </c>
      <c r="J113" s="4">
        <v>26.06</v>
      </c>
      <c r="K113" s="4">
        <v>111.98</v>
      </c>
      <c r="AR113" s="2" t="s">
        <v>1</v>
      </c>
    </row>
    <row r="114" spans="1:44" x14ac:dyDescent="0.2">
      <c r="A114" s="7">
        <v>29934</v>
      </c>
      <c r="B114" s="4">
        <v>330.56666666666666</v>
      </c>
      <c r="C114" s="4">
        <v>350.1</v>
      </c>
      <c r="D114" s="4">
        <v>201.3</v>
      </c>
      <c r="E114" s="4">
        <v>0.92666666666666664</v>
      </c>
      <c r="F114" s="4">
        <v>20.083333333333332</v>
      </c>
      <c r="G114" s="4">
        <v>37.133333333333333</v>
      </c>
      <c r="H114" s="4">
        <v>171.06666666666666</v>
      </c>
      <c r="I114" s="4"/>
      <c r="J114" s="4">
        <v>35.979999999999997</v>
      </c>
      <c r="K114" s="4">
        <v>116.40666666666667</v>
      </c>
      <c r="AR114" s="2" t="s">
        <v>1</v>
      </c>
    </row>
    <row r="115" spans="1:44" x14ac:dyDescent="0.2">
      <c r="A115" s="7">
        <v>29936</v>
      </c>
      <c r="B115" s="4">
        <v>335.73333333333335</v>
      </c>
      <c r="C115" s="4">
        <v>351.93333333333334</v>
      </c>
      <c r="D115" s="4">
        <v>202.93333333333334</v>
      </c>
      <c r="E115" s="4">
        <v>1.1399999999999999</v>
      </c>
      <c r="F115" s="4">
        <v>20.896666666666668</v>
      </c>
      <c r="G115" s="4">
        <v>41.43</v>
      </c>
      <c r="H115" s="4">
        <v>172.8</v>
      </c>
      <c r="I115" s="4"/>
      <c r="J115" s="4">
        <v>42.98</v>
      </c>
      <c r="K115" s="4">
        <v>126.81666666666666</v>
      </c>
      <c r="AR115" s="2" t="s">
        <v>1</v>
      </c>
    </row>
    <row r="116" spans="1:44" x14ac:dyDescent="0.2">
      <c r="A116" s="7">
        <v>29941</v>
      </c>
      <c r="B116" s="4">
        <v>337.4</v>
      </c>
      <c r="C116" s="4">
        <v>343.6</v>
      </c>
      <c r="D116" s="4">
        <v>200.65</v>
      </c>
      <c r="E116" s="4">
        <v>0.89</v>
      </c>
      <c r="F116" s="4">
        <v>21.92</v>
      </c>
      <c r="G116" s="4"/>
      <c r="H116" s="4">
        <v>169.05</v>
      </c>
      <c r="I116" s="4">
        <v>150.55000000000001</v>
      </c>
      <c r="J116" s="4">
        <v>20.88</v>
      </c>
      <c r="K116" s="4">
        <v>106.16</v>
      </c>
      <c r="AR116" s="2" t="s">
        <v>1</v>
      </c>
    </row>
    <row r="117" spans="1:44" x14ac:dyDescent="0.2">
      <c r="A117" s="7">
        <v>29950</v>
      </c>
      <c r="B117" s="4">
        <v>337.26666666666665</v>
      </c>
      <c r="C117" s="4">
        <v>346.83333333333331</v>
      </c>
      <c r="D117" s="4"/>
      <c r="E117" s="4">
        <v>1.1233333333333333</v>
      </c>
      <c r="F117" s="4">
        <v>21.156666666666666</v>
      </c>
      <c r="G117" s="4">
        <v>37.706666666666663</v>
      </c>
      <c r="H117" s="4">
        <v>164.16666666666666</v>
      </c>
      <c r="I117" s="4"/>
      <c r="J117" s="4">
        <v>35.380000000000003</v>
      </c>
      <c r="K117" s="4">
        <v>119.93</v>
      </c>
      <c r="AR117" s="2" t="s">
        <v>1</v>
      </c>
    </row>
    <row r="118" spans="1:44" x14ac:dyDescent="0.2">
      <c r="A118" s="7">
        <v>29950</v>
      </c>
      <c r="B118" s="4">
        <v>336.76666666666665</v>
      </c>
      <c r="C118" s="4">
        <v>346.9</v>
      </c>
      <c r="D118" s="4">
        <v>197.4</v>
      </c>
      <c r="E118" s="4">
        <v>0.86</v>
      </c>
      <c r="F118" s="4">
        <v>18.833333333333332</v>
      </c>
      <c r="G118" s="4">
        <v>27.613333333333333</v>
      </c>
      <c r="H118" s="4"/>
      <c r="I118" s="4"/>
      <c r="J118" s="4">
        <v>31.883333333333333</v>
      </c>
      <c r="K118" s="4">
        <v>99.46</v>
      </c>
      <c r="AR118" s="2" t="s">
        <v>1</v>
      </c>
    </row>
    <row r="119" spans="1:44" x14ac:dyDescent="0.2">
      <c r="A119" s="7">
        <v>29955</v>
      </c>
      <c r="B119" s="4">
        <v>336.4</v>
      </c>
      <c r="C119" s="4">
        <v>350.9</v>
      </c>
      <c r="D119" s="4">
        <v>199.3</v>
      </c>
      <c r="E119" s="4">
        <v>0.56999999999999995</v>
      </c>
      <c r="F119" s="4">
        <v>21.94</v>
      </c>
      <c r="G119" s="4">
        <v>43.79</v>
      </c>
      <c r="H119" s="4">
        <v>156.5</v>
      </c>
      <c r="I119" s="4">
        <v>153.1</v>
      </c>
      <c r="J119" s="4">
        <v>29.78</v>
      </c>
      <c r="K119" s="4">
        <v>98.92</v>
      </c>
      <c r="AR119" s="2" t="s">
        <v>1</v>
      </c>
    </row>
    <row r="120" spans="1:44" x14ac:dyDescent="0.2">
      <c r="A120" s="7">
        <v>29964</v>
      </c>
      <c r="B120" s="4">
        <v>337.3</v>
      </c>
      <c r="C120" s="4">
        <v>349.43333333333334</v>
      </c>
      <c r="D120" s="4"/>
      <c r="E120" s="4">
        <v>1.4133333333333333</v>
      </c>
      <c r="F120" s="4">
        <v>21.846666666666668</v>
      </c>
      <c r="G120" s="4">
        <v>39.01</v>
      </c>
      <c r="H120" s="4">
        <v>174.56666666666666</v>
      </c>
      <c r="I120" s="4"/>
      <c r="J120" s="4">
        <v>35.173333333333332</v>
      </c>
      <c r="K120" s="4">
        <v>122.07666666666667</v>
      </c>
      <c r="AR120" s="2" t="s">
        <v>1</v>
      </c>
    </row>
    <row r="121" spans="1:44" x14ac:dyDescent="0.2">
      <c r="A121" s="7">
        <v>29970</v>
      </c>
      <c r="B121" s="4"/>
      <c r="C121" s="4">
        <v>353.13333333333333</v>
      </c>
      <c r="D121" s="4">
        <v>207.53333333333333</v>
      </c>
      <c r="E121" s="4">
        <v>1.3633333333333333</v>
      </c>
      <c r="F121" s="4">
        <v>23.253333333333334</v>
      </c>
      <c r="G121" s="4">
        <v>43.306666666666665</v>
      </c>
      <c r="H121" s="4">
        <v>174.8</v>
      </c>
      <c r="I121" s="4"/>
      <c r="J121" s="4">
        <v>36.553333333333335</v>
      </c>
      <c r="K121" s="4">
        <v>126.70333333333333</v>
      </c>
      <c r="AR121" s="2" t="s">
        <v>1</v>
      </c>
    </row>
    <row r="122" spans="1:44" x14ac:dyDescent="0.2">
      <c r="A122" s="7">
        <v>29983</v>
      </c>
      <c r="B122" s="4">
        <v>340.6</v>
      </c>
      <c r="C122" s="4">
        <v>348.9</v>
      </c>
      <c r="D122" s="4">
        <v>202.1</v>
      </c>
      <c r="E122" s="4">
        <v>0.87</v>
      </c>
      <c r="F122" s="4">
        <v>21.19</v>
      </c>
      <c r="G122" s="4">
        <v>48.4</v>
      </c>
      <c r="H122" s="4">
        <v>152.9</v>
      </c>
      <c r="I122" s="4">
        <v>149.4</v>
      </c>
      <c r="J122" s="4">
        <v>8.19</v>
      </c>
      <c r="K122" s="4">
        <v>85.43</v>
      </c>
      <c r="AR122" s="2" t="s">
        <v>1</v>
      </c>
    </row>
    <row r="123" spans="1:44" x14ac:dyDescent="0.2">
      <c r="A123" s="7">
        <v>29985</v>
      </c>
      <c r="B123" s="4">
        <v>337.55</v>
      </c>
      <c r="C123" s="4">
        <v>359.8</v>
      </c>
      <c r="D123" s="4">
        <v>210.125</v>
      </c>
      <c r="E123" s="4">
        <v>0.53249999999999997</v>
      </c>
      <c r="F123" s="4">
        <v>21.862500000000001</v>
      </c>
      <c r="G123" s="4">
        <v>38.274999999999999</v>
      </c>
      <c r="H123" s="4">
        <v>175.47499999999999</v>
      </c>
      <c r="I123" s="4"/>
      <c r="J123" s="4">
        <v>15.33</v>
      </c>
      <c r="K123" s="4">
        <v>124.79</v>
      </c>
      <c r="AR123" s="2" t="s">
        <v>1</v>
      </c>
    </row>
    <row r="124" spans="1:44" x14ac:dyDescent="0.2">
      <c r="A124" s="7">
        <v>29993</v>
      </c>
      <c r="B124" s="4">
        <v>336.4</v>
      </c>
      <c r="C124" s="4">
        <v>343.7</v>
      </c>
      <c r="D124" s="4">
        <v>205.5</v>
      </c>
      <c r="E124" s="4"/>
      <c r="F124" s="4">
        <v>20.57</v>
      </c>
      <c r="G124" s="4">
        <v>38.130000000000003</v>
      </c>
      <c r="H124" s="4">
        <v>173.4</v>
      </c>
      <c r="I124" s="4"/>
      <c r="J124" s="4">
        <v>7.22</v>
      </c>
      <c r="K124" s="4">
        <v>103.68</v>
      </c>
      <c r="AR124" s="2" t="s">
        <v>1</v>
      </c>
    </row>
    <row r="125" spans="1:44" x14ac:dyDescent="0.2">
      <c r="A125" s="7">
        <v>29999</v>
      </c>
      <c r="B125" s="4">
        <v>335.72</v>
      </c>
      <c r="C125" s="4">
        <v>347.92</v>
      </c>
      <c r="D125" s="4">
        <v>206.86</v>
      </c>
      <c r="E125" s="4">
        <v>1.012</v>
      </c>
      <c r="F125" s="4">
        <v>22.442</v>
      </c>
      <c r="G125" s="4">
        <v>38.914000000000001</v>
      </c>
      <c r="H125" s="4">
        <v>179.32</v>
      </c>
      <c r="I125" s="4"/>
      <c r="J125" s="4">
        <v>21.506</v>
      </c>
      <c r="K125" s="4">
        <v>120.89</v>
      </c>
      <c r="AR125" s="2" t="s">
        <v>1</v>
      </c>
    </row>
    <row r="126" spans="1:44" x14ac:dyDescent="0.2">
      <c r="A126" s="7">
        <v>30006</v>
      </c>
      <c r="B126" s="4">
        <v>335.1</v>
      </c>
      <c r="C126" s="4">
        <v>339.05</v>
      </c>
      <c r="D126" s="4"/>
      <c r="E126" s="4">
        <v>1.325</v>
      </c>
      <c r="F126" s="4">
        <v>22.42</v>
      </c>
      <c r="G126" s="4">
        <v>37.18</v>
      </c>
      <c r="H126" s="4">
        <v>176.85</v>
      </c>
      <c r="I126" s="4">
        <v>158.15</v>
      </c>
      <c r="J126" s="4">
        <v>19.68</v>
      </c>
      <c r="K126" s="4">
        <v>110.66500000000001</v>
      </c>
      <c r="AR126" s="2" t="s">
        <v>1</v>
      </c>
    </row>
    <row r="127" spans="1:44" x14ac:dyDescent="0.2">
      <c r="A127" s="7">
        <v>30007</v>
      </c>
      <c r="B127" s="4">
        <v>338.96666666666664</v>
      </c>
      <c r="C127" s="4">
        <v>347.96666666666664</v>
      </c>
      <c r="D127" s="4">
        <v>207.13333333333333</v>
      </c>
      <c r="E127" s="4">
        <v>0.73</v>
      </c>
      <c r="F127" s="4">
        <v>21.673333333333332</v>
      </c>
      <c r="G127" s="4">
        <v>36.943333333333335</v>
      </c>
      <c r="H127" s="4">
        <v>175.26666666666668</v>
      </c>
      <c r="I127" s="4"/>
      <c r="J127" s="4">
        <v>28.163333333333334</v>
      </c>
      <c r="K127" s="4">
        <v>129.48666666666668</v>
      </c>
      <c r="AR127" s="2" t="s">
        <v>1</v>
      </c>
    </row>
    <row r="128" spans="1:44" x14ac:dyDescent="0.2">
      <c r="A128" s="7">
        <v>30012</v>
      </c>
      <c r="B128" s="4"/>
      <c r="C128" s="4">
        <v>352.95</v>
      </c>
      <c r="D128" s="4">
        <v>206.8</v>
      </c>
      <c r="E128" s="4"/>
      <c r="F128" s="4">
        <v>21.125</v>
      </c>
      <c r="G128" s="4">
        <v>33.784999999999997</v>
      </c>
      <c r="H128" s="4">
        <v>179</v>
      </c>
      <c r="I128" s="4">
        <v>154.5</v>
      </c>
      <c r="J128" s="4">
        <v>18.565000000000001</v>
      </c>
      <c r="K128" s="4">
        <v>117.72</v>
      </c>
      <c r="AR128" s="2" t="s">
        <v>1</v>
      </c>
    </row>
    <row r="129" spans="1:44" x14ac:dyDescent="0.2">
      <c r="A129" s="7">
        <v>30020</v>
      </c>
      <c r="B129" s="4">
        <v>339.13333333333333</v>
      </c>
      <c r="C129" s="4">
        <v>349.13333333333333</v>
      </c>
      <c r="D129" s="4">
        <v>202.03333333333333</v>
      </c>
      <c r="E129" s="4"/>
      <c r="F129" s="4">
        <v>21.476666666666667</v>
      </c>
      <c r="G129" s="4">
        <v>36.26</v>
      </c>
      <c r="H129" s="4">
        <v>171.16666666666666</v>
      </c>
      <c r="I129" s="4"/>
      <c r="J129" s="4">
        <v>8.1300000000000008</v>
      </c>
      <c r="K129" s="4">
        <v>112.19666666666667</v>
      </c>
      <c r="AR129" s="2" t="s">
        <v>1</v>
      </c>
    </row>
    <row r="130" spans="1:44" x14ac:dyDescent="0.2">
      <c r="A130" s="7">
        <v>30027</v>
      </c>
      <c r="B130" s="4">
        <v>341.05</v>
      </c>
      <c r="C130" s="4"/>
      <c r="D130" s="4">
        <v>204.45</v>
      </c>
      <c r="E130" s="4"/>
      <c r="F130" s="4">
        <v>21.125</v>
      </c>
      <c r="G130" s="4">
        <v>36</v>
      </c>
      <c r="H130" s="4">
        <v>178.2</v>
      </c>
      <c r="I130" s="4">
        <v>157.55000000000001</v>
      </c>
      <c r="J130" s="4">
        <v>6.74</v>
      </c>
      <c r="K130" s="4">
        <v>106.16</v>
      </c>
      <c r="AR130" s="2" t="s">
        <v>1</v>
      </c>
    </row>
    <row r="131" spans="1:44" x14ac:dyDescent="0.2">
      <c r="A131" s="7">
        <v>30030</v>
      </c>
      <c r="B131" s="4">
        <v>338</v>
      </c>
      <c r="C131" s="4">
        <v>348.3</v>
      </c>
      <c r="D131" s="4">
        <v>201.25</v>
      </c>
      <c r="E131" s="4">
        <v>0.90500000000000003</v>
      </c>
      <c r="F131" s="4">
        <v>21.945</v>
      </c>
      <c r="G131" s="4">
        <v>45.844999999999999</v>
      </c>
      <c r="H131" s="4">
        <v>165.05</v>
      </c>
      <c r="I131" s="4">
        <v>149.75</v>
      </c>
      <c r="J131" s="4"/>
      <c r="K131" s="4">
        <v>98.905000000000001</v>
      </c>
      <c r="AR131" s="2" t="s">
        <v>1</v>
      </c>
    </row>
    <row r="132" spans="1:44" x14ac:dyDescent="0.2">
      <c r="A132" s="7">
        <v>30032</v>
      </c>
      <c r="B132" s="4">
        <v>331.35</v>
      </c>
      <c r="C132" s="4">
        <v>340.9</v>
      </c>
      <c r="D132" s="4">
        <v>210.65</v>
      </c>
      <c r="E132" s="4">
        <v>0.88500000000000001</v>
      </c>
      <c r="F132" s="4">
        <v>20.875</v>
      </c>
      <c r="G132" s="4">
        <v>33.505000000000003</v>
      </c>
      <c r="H132" s="4">
        <v>170.45</v>
      </c>
      <c r="I132" s="4">
        <v>152.15</v>
      </c>
      <c r="J132" s="4">
        <v>23.98</v>
      </c>
      <c r="K132" s="4">
        <v>120.16500000000001</v>
      </c>
      <c r="AR132" s="2" t="s">
        <v>1</v>
      </c>
    </row>
    <row r="133" spans="1:44" x14ac:dyDescent="0.2">
      <c r="A133" s="7">
        <v>30034</v>
      </c>
      <c r="B133" s="4">
        <v>334</v>
      </c>
      <c r="C133" s="4">
        <v>349.76666666666665</v>
      </c>
      <c r="D133" s="4">
        <v>208.36666666666667</v>
      </c>
      <c r="E133" s="4">
        <v>1.5266666666666666</v>
      </c>
      <c r="F133" s="4">
        <v>21.746666666666666</v>
      </c>
      <c r="G133" s="4">
        <v>37.476666666666667</v>
      </c>
      <c r="H133" s="4">
        <v>167.2</v>
      </c>
      <c r="I133" s="4">
        <v>146.23333333333332</v>
      </c>
      <c r="J133" s="4">
        <v>24.446666666666665</v>
      </c>
      <c r="K133" s="4">
        <v>122.04666666666667</v>
      </c>
      <c r="AR133" s="2" t="s">
        <v>1</v>
      </c>
    </row>
    <row r="134" spans="1:44" x14ac:dyDescent="0.2">
      <c r="A134" s="7">
        <v>30036</v>
      </c>
      <c r="B134" s="4">
        <v>338.52</v>
      </c>
      <c r="C134" s="4">
        <v>344.44</v>
      </c>
      <c r="D134" s="4">
        <v>207.62</v>
      </c>
      <c r="E134" s="4"/>
      <c r="F134" s="4">
        <v>21.015999999999998</v>
      </c>
      <c r="G134" s="4">
        <v>43.637999999999998</v>
      </c>
      <c r="H134" s="4">
        <v>166.58</v>
      </c>
      <c r="I134" s="4">
        <v>154.4</v>
      </c>
      <c r="J134" s="4">
        <v>10.093999999999999</v>
      </c>
      <c r="K134" s="4">
        <v>107.744</v>
      </c>
      <c r="AR134" s="2" t="s">
        <v>1</v>
      </c>
    </row>
    <row r="135" spans="1:44" x14ac:dyDescent="0.2">
      <c r="A135" s="7">
        <v>30039</v>
      </c>
      <c r="B135" s="4">
        <v>334.45</v>
      </c>
      <c r="C135" s="4">
        <v>350</v>
      </c>
      <c r="D135" s="4">
        <v>200.2</v>
      </c>
      <c r="E135" s="4"/>
      <c r="F135" s="4">
        <v>20.504999999999999</v>
      </c>
      <c r="G135" s="4">
        <v>35.26</v>
      </c>
      <c r="H135" s="4">
        <v>169.75</v>
      </c>
      <c r="I135" s="4">
        <v>152.5</v>
      </c>
      <c r="J135" s="4">
        <v>8.67</v>
      </c>
      <c r="K135" s="4">
        <v>90.38</v>
      </c>
      <c r="AR135" s="2" t="s">
        <v>1</v>
      </c>
    </row>
    <row r="136" spans="1:44" x14ac:dyDescent="0.2">
      <c r="A136" s="7">
        <v>30039</v>
      </c>
      <c r="B136" s="4"/>
      <c r="C136" s="4">
        <v>348.3</v>
      </c>
      <c r="D136" s="4">
        <v>205.84</v>
      </c>
      <c r="E136" s="4"/>
      <c r="F136" s="4">
        <v>21.198</v>
      </c>
      <c r="G136" s="4">
        <v>35.725999999999999</v>
      </c>
      <c r="H136" s="4">
        <v>172.16</v>
      </c>
      <c r="I136" s="4">
        <v>152.44999999999999</v>
      </c>
      <c r="J136" s="4">
        <v>17.853999999999999</v>
      </c>
      <c r="K136" s="4">
        <v>123.05</v>
      </c>
      <c r="AR136" s="2" t="s">
        <v>1</v>
      </c>
    </row>
    <row r="137" spans="1:44" x14ac:dyDescent="0.2">
      <c r="A137" s="7">
        <v>30040</v>
      </c>
      <c r="B137" s="4">
        <v>331.25</v>
      </c>
      <c r="C137" s="4">
        <v>351.6</v>
      </c>
      <c r="D137" s="4">
        <v>202.05</v>
      </c>
      <c r="E137" s="4"/>
      <c r="F137" s="4">
        <v>23.07</v>
      </c>
      <c r="G137" s="4">
        <v>42.384999999999998</v>
      </c>
      <c r="H137" s="4">
        <v>170.3</v>
      </c>
      <c r="I137" s="4">
        <v>151.25</v>
      </c>
      <c r="J137" s="4"/>
      <c r="K137" s="4">
        <v>105.87</v>
      </c>
      <c r="AR137" s="2" t="s">
        <v>1</v>
      </c>
    </row>
    <row r="138" spans="1:44" x14ac:dyDescent="0.2">
      <c r="A138" s="7">
        <v>30040</v>
      </c>
      <c r="B138" s="4">
        <v>341.2</v>
      </c>
      <c r="C138" s="4">
        <v>355.2</v>
      </c>
      <c r="D138" s="4">
        <v>202.7</v>
      </c>
      <c r="E138" s="4"/>
      <c r="F138" s="4">
        <v>20.914999999999999</v>
      </c>
      <c r="G138" s="4">
        <v>36.365000000000002</v>
      </c>
      <c r="H138" s="4">
        <v>174.1</v>
      </c>
      <c r="I138" s="4">
        <v>157.5</v>
      </c>
      <c r="J138" s="4">
        <v>12.74</v>
      </c>
      <c r="K138" s="4">
        <v>80.11</v>
      </c>
      <c r="AR138" s="2" t="s">
        <v>1</v>
      </c>
    </row>
    <row r="139" spans="1:44" x14ac:dyDescent="0.2">
      <c r="A139" s="7">
        <v>30048</v>
      </c>
      <c r="B139" s="4">
        <v>335.55</v>
      </c>
      <c r="C139" s="4">
        <v>348.6</v>
      </c>
      <c r="D139" s="4">
        <v>202.1</v>
      </c>
      <c r="E139" s="4"/>
      <c r="F139" s="4">
        <v>20.885000000000002</v>
      </c>
      <c r="G139" s="4">
        <v>37.697499999999998</v>
      </c>
      <c r="H139" s="4">
        <v>168.15</v>
      </c>
      <c r="I139" s="4"/>
      <c r="J139" s="4">
        <v>11.81</v>
      </c>
      <c r="K139" s="4">
        <v>81.36</v>
      </c>
      <c r="AR139" s="2" t="s">
        <v>1</v>
      </c>
    </row>
    <row r="140" spans="1:44" x14ac:dyDescent="0.2">
      <c r="A140" s="7">
        <v>30049</v>
      </c>
      <c r="B140" s="4">
        <v>339.2</v>
      </c>
      <c r="C140" s="4">
        <v>350.7</v>
      </c>
      <c r="D140" s="4">
        <v>202.4</v>
      </c>
      <c r="E140" s="4">
        <v>2.4500000000000002</v>
      </c>
      <c r="F140" s="4"/>
      <c r="G140" s="4">
        <v>41.88</v>
      </c>
      <c r="H140" s="4">
        <v>175.9</v>
      </c>
      <c r="I140" s="4"/>
      <c r="J140" s="4">
        <v>5.88</v>
      </c>
      <c r="K140" s="4">
        <v>67.38</v>
      </c>
      <c r="AR140" s="2" t="s">
        <v>1</v>
      </c>
    </row>
    <row r="141" spans="1:44" x14ac:dyDescent="0.2">
      <c r="A141" s="7">
        <v>30049</v>
      </c>
      <c r="B141" s="4">
        <v>337.5</v>
      </c>
      <c r="C141" s="4">
        <v>350.7</v>
      </c>
      <c r="D141" s="4">
        <v>203</v>
      </c>
      <c r="E141" s="4">
        <v>0.57999999999999996</v>
      </c>
      <c r="F141" s="4">
        <v>21.17</v>
      </c>
      <c r="G141" s="4">
        <v>35.909999999999997</v>
      </c>
      <c r="H141" s="4"/>
      <c r="I141" s="4"/>
      <c r="J141" s="4"/>
      <c r="K141" s="4">
        <v>70.900000000000006</v>
      </c>
      <c r="AR141" s="2" t="s">
        <v>1</v>
      </c>
    </row>
    <row r="142" spans="1:44" x14ac:dyDescent="0.2">
      <c r="A142" s="7">
        <v>30053</v>
      </c>
      <c r="B142" s="4"/>
      <c r="C142" s="4">
        <v>346</v>
      </c>
      <c r="D142" s="4">
        <v>201.3</v>
      </c>
      <c r="E142" s="4">
        <v>0.95</v>
      </c>
      <c r="F142" s="4"/>
      <c r="G142" s="4">
        <v>42.09</v>
      </c>
      <c r="H142" s="4">
        <v>180.7</v>
      </c>
      <c r="I142" s="4"/>
      <c r="J142" s="4">
        <v>6.67</v>
      </c>
      <c r="K142" s="4">
        <v>84.78</v>
      </c>
      <c r="AR142" s="2" t="s">
        <v>1</v>
      </c>
    </row>
    <row r="143" spans="1:44" x14ac:dyDescent="0.2">
      <c r="A143" s="7">
        <v>30055</v>
      </c>
      <c r="B143" s="4">
        <v>339.45</v>
      </c>
      <c r="C143" s="4">
        <v>347.6</v>
      </c>
      <c r="D143" s="4">
        <v>202.15</v>
      </c>
      <c r="E143" s="4"/>
      <c r="F143" s="4">
        <v>22.855</v>
      </c>
      <c r="G143" s="4">
        <v>34.375</v>
      </c>
      <c r="H143" s="4">
        <v>173.35</v>
      </c>
      <c r="I143" s="4">
        <v>153.80000000000001</v>
      </c>
      <c r="J143" s="4">
        <v>8.5749999999999993</v>
      </c>
      <c r="K143" s="4">
        <v>50.814999999999998</v>
      </c>
      <c r="AR143" s="2" t="s">
        <v>1</v>
      </c>
    </row>
    <row r="144" spans="1:44" x14ac:dyDescent="0.2">
      <c r="A144" s="7">
        <v>30061</v>
      </c>
      <c r="B144" s="4">
        <v>330.2</v>
      </c>
      <c r="C144" s="4">
        <v>345.33333333333331</v>
      </c>
      <c r="D144" s="4">
        <v>203.2</v>
      </c>
      <c r="E144" s="4">
        <v>1.0133333333333334</v>
      </c>
      <c r="F144" s="4">
        <v>22.136666666666667</v>
      </c>
      <c r="G144" s="4">
        <v>53.556666666666665</v>
      </c>
      <c r="H144" s="4">
        <v>179.5</v>
      </c>
      <c r="I144" s="4">
        <v>146.46666666666667</v>
      </c>
      <c r="J144" s="4">
        <v>11.633333333333333</v>
      </c>
      <c r="K144" s="4">
        <v>59.706666666666663</v>
      </c>
      <c r="AR144" s="2" t="s">
        <v>1</v>
      </c>
    </row>
    <row r="145" spans="1:44" x14ac:dyDescent="0.2">
      <c r="A145" s="7">
        <v>30062</v>
      </c>
      <c r="B145" s="4">
        <v>340.1</v>
      </c>
      <c r="C145" s="4">
        <v>352.4</v>
      </c>
      <c r="D145" s="4">
        <v>197.3</v>
      </c>
      <c r="E145" s="4">
        <v>7.5</v>
      </c>
      <c r="F145" s="4">
        <v>21.75</v>
      </c>
      <c r="G145" s="4">
        <v>48.63</v>
      </c>
      <c r="H145" s="4">
        <v>168.9</v>
      </c>
      <c r="I145" s="4">
        <v>144.69999999999999</v>
      </c>
      <c r="J145" s="4">
        <v>8.6999999999999993</v>
      </c>
      <c r="K145" s="4">
        <v>81.739999999999995</v>
      </c>
      <c r="AR145" s="2" t="s">
        <v>1</v>
      </c>
    </row>
    <row r="146" spans="1:44" x14ac:dyDescent="0.2">
      <c r="A146" s="7">
        <v>30065</v>
      </c>
      <c r="B146" s="4">
        <v>336.06666666666666</v>
      </c>
      <c r="C146" s="4">
        <v>350.9</v>
      </c>
      <c r="D146" s="4">
        <v>203.13333333333333</v>
      </c>
      <c r="E146" s="4">
        <v>2.5566666666666666</v>
      </c>
      <c r="F146" s="4">
        <v>24.41</v>
      </c>
      <c r="G146" s="4">
        <v>49.36</v>
      </c>
      <c r="H146" s="4">
        <v>189.76666666666668</v>
      </c>
      <c r="I146" s="4">
        <v>144.23333333333332</v>
      </c>
      <c r="J146" s="4">
        <v>38.08</v>
      </c>
      <c r="K146" s="4">
        <v>74.243333333333339</v>
      </c>
      <c r="AR146" s="2" t="s">
        <v>1</v>
      </c>
    </row>
    <row r="147" spans="1:44" x14ac:dyDescent="0.2">
      <c r="A147" s="7">
        <v>30067</v>
      </c>
      <c r="B147" s="4">
        <v>333.83333333333331</v>
      </c>
      <c r="C147" s="4">
        <v>347.3</v>
      </c>
      <c r="D147" s="4">
        <v>201.63333333333333</v>
      </c>
      <c r="E147" s="4">
        <v>2.42</v>
      </c>
      <c r="F147" s="4">
        <v>23.786666666666665</v>
      </c>
      <c r="G147" s="4">
        <v>41.49</v>
      </c>
      <c r="H147" s="4">
        <v>175.43333333333334</v>
      </c>
      <c r="I147" s="4">
        <v>150.33333333333334</v>
      </c>
      <c r="J147" s="4">
        <v>8.1199999999999992</v>
      </c>
      <c r="K147" s="4">
        <v>73.66</v>
      </c>
      <c r="AR147" s="2" t="s">
        <v>1</v>
      </c>
    </row>
    <row r="148" spans="1:44" x14ac:dyDescent="0.2">
      <c r="A148" s="7">
        <v>30076</v>
      </c>
      <c r="B148" s="4">
        <v>334.2</v>
      </c>
      <c r="C148" s="4">
        <v>343.7</v>
      </c>
      <c r="D148" s="4">
        <v>192.4</v>
      </c>
      <c r="E148" s="4">
        <v>1.29</v>
      </c>
      <c r="F148" s="4">
        <v>20.68</v>
      </c>
      <c r="G148" s="4">
        <v>51.14</v>
      </c>
      <c r="H148" s="4">
        <v>157.19999999999999</v>
      </c>
      <c r="I148" s="4">
        <v>143.9</v>
      </c>
      <c r="J148" s="4">
        <v>23.04</v>
      </c>
      <c r="K148" s="4">
        <v>81.599999999999994</v>
      </c>
      <c r="AR148" s="2" t="s">
        <v>1</v>
      </c>
    </row>
    <row r="149" spans="1:44" x14ac:dyDescent="0.2">
      <c r="A149" s="7">
        <v>30078</v>
      </c>
      <c r="B149" s="4">
        <v>328.6</v>
      </c>
      <c r="C149" s="4">
        <v>354.03333333333336</v>
      </c>
      <c r="D149" s="4">
        <v>200.5</v>
      </c>
      <c r="E149" s="4">
        <v>0.82333333333333336</v>
      </c>
      <c r="F149" s="4">
        <v>22.88</v>
      </c>
      <c r="G149" s="4">
        <v>33.283333333333331</v>
      </c>
      <c r="H149" s="4">
        <v>183.16666666666666</v>
      </c>
      <c r="I149" s="4">
        <v>154.30000000000001</v>
      </c>
      <c r="J149" s="4">
        <v>7.5966666666666667</v>
      </c>
      <c r="K149" s="4">
        <v>69.516666666666666</v>
      </c>
      <c r="AR149" s="2" t="s">
        <v>1</v>
      </c>
    </row>
    <row r="150" spans="1:44" x14ac:dyDescent="0.2">
      <c r="A150" s="7">
        <v>30084</v>
      </c>
      <c r="B150" s="4">
        <v>336.06666666666666</v>
      </c>
      <c r="C150" s="4">
        <v>362</v>
      </c>
      <c r="D150" s="4">
        <v>201.9</v>
      </c>
      <c r="E150" s="4">
        <v>0.56333333333333335</v>
      </c>
      <c r="F150" s="4"/>
      <c r="G150" s="4">
        <v>32.49666666666667</v>
      </c>
      <c r="H150" s="4">
        <v>175.56666666666666</v>
      </c>
      <c r="I150" s="4">
        <v>154</v>
      </c>
      <c r="J150" s="4">
        <v>7.7549999999999999</v>
      </c>
      <c r="K150" s="4">
        <v>71.37</v>
      </c>
      <c r="AR150" s="2" t="s">
        <v>1</v>
      </c>
    </row>
    <row r="151" spans="1:44" x14ac:dyDescent="0.2">
      <c r="A151" s="7">
        <v>30086</v>
      </c>
      <c r="B151" s="4">
        <v>336.63333333333333</v>
      </c>
      <c r="C151" s="4">
        <v>370.26666666666665</v>
      </c>
      <c r="D151" s="4">
        <v>201.03333333333333</v>
      </c>
      <c r="E151" s="4">
        <v>0.9</v>
      </c>
      <c r="F151" s="4"/>
      <c r="G151" s="4">
        <v>37.986666666666665</v>
      </c>
      <c r="H151" s="4">
        <v>172.83333333333334</v>
      </c>
      <c r="I151" s="4">
        <v>149.80000000000001</v>
      </c>
      <c r="J151" s="4">
        <v>21.13</v>
      </c>
      <c r="K151" s="4">
        <v>67.63</v>
      </c>
      <c r="AR151" s="2" t="s">
        <v>1</v>
      </c>
    </row>
    <row r="152" spans="1:44" x14ac:dyDescent="0.2">
      <c r="A152" s="7">
        <v>30089</v>
      </c>
      <c r="B152" s="4">
        <v>338.83333333333331</v>
      </c>
      <c r="C152" s="4">
        <v>360</v>
      </c>
      <c r="D152" s="4">
        <v>194.1</v>
      </c>
      <c r="E152" s="4">
        <v>1.04</v>
      </c>
      <c r="F152" s="4">
        <v>22.323333333333334</v>
      </c>
      <c r="G152" s="4">
        <v>30.13</v>
      </c>
      <c r="H152" s="4"/>
      <c r="I152" s="4">
        <v>151.13333333333333</v>
      </c>
      <c r="J152" s="4">
        <v>9.35</v>
      </c>
      <c r="K152" s="4">
        <v>59.806666666666665</v>
      </c>
      <c r="AR152" s="2" t="s">
        <v>1</v>
      </c>
    </row>
    <row r="153" spans="1:44" x14ac:dyDescent="0.2">
      <c r="A153" s="7">
        <v>30090</v>
      </c>
      <c r="B153" s="4">
        <v>323.45</v>
      </c>
      <c r="C153" s="4">
        <v>341.2</v>
      </c>
      <c r="D153" s="4">
        <v>194.65</v>
      </c>
      <c r="E153" s="4">
        <v>0.95499999999999996</v>
      </c>
      <c r="F153" s="4">
        <v>24.93</v>
      </c>
      <c r="G153" s="4">
        <v>49.59</v>
      </c>
      <c r="H153" s="4">
        <v>165.45</v>
      </c>
      <c r="I153" s="4">
        <v>142.6</v>
      </c>
      <c r="J153" s="4">
        <v>14.67</v>
      </c>
      <c r="K153" s="4">
        <v>62.405000000000001</v>
      </c>
      <c r="AR153" s="2" t="s">
        <v>1</v>
      </c>
    </row>
    <row r="154" spans="1:44" x14ac:dyDescent="0.2">
      <c r="A154" s="7">
        <v>30095</v>
      </c>
      <c r="B154" s="4">
        <v>337.03333333333336</v>
      </c>
      <c r="C154" s="4">
        <v>355.6</v>
      </c>
      <c r="D154" s="4">
        <v>218.93333333333334</v>
      </c>
      <c r="E154" s="4"/>
      <c r="F154" s="4">
        <v>23.436666666666667</v>
      </c>
      <c r="G154" s="4">
        <v>36.393333333333331</v>
      </c>
      <c r="H154" s="4">
        <v>172.56666666666666</v>
      </c>
      <c r="I154" s="4">
        <v>149.73333333333332</v>
      </c>
      <c r="J154" s="4"/>
      <c r="K154" s="4">
        <v>65.73</v>
      </c>
      <c r="AR154" s="2" t="s">
        <v>1</v>
      </c>
    </row>
    <row r="155" spans="1:44" x14ac:dyDescent="0.2">
      <c r="A155" s="7">
        <v>30103</v>
      </c>
      <c r="B155" s="4"/>
      <c r="C155" s="4">
        <v>371</v>
      </c>
      <c r="D155" s="4">
        <v>191.55</v>
      </c>
      <c r="E155" s="4"/>
      <c r="F155" s="4">
        <v>21.36</v>
      </c>
      <c r="G155" s="4">
        <v>32.225000000000001</v>
      </c>
      <c r="H155" s="4">
        <v>171.85</v>
      </c>
      <c r="I155" s="4">
        <v>151.85</v>
      </c>
      <c r="J155" s="4">
        <v>9.3000000000000007</v>
      </c>
      <c r="K155" s="4">
        <v>52.634999999999998</v>
      </c>
      <c r="AR155" s="2" t="s">
        <v>1</v>
      </c>
    </row>
    <row r="156" spans="1:44" x14ac:dyDescent="0.2">
      <c r="A156" s="7">
        <v>30104</v>
      </c>
      <c r="B156" s="4">
        <v>336</v>
      </c>
      <c r="C156" s="4">
        <v>351.7</v>
      </c>
      <c r="D156" s="4">
        <v>208.33333333333334</v>
      </c>
      <c r="E156" s="4">
        <v>0.70666666666666667</v>
      </c>
      <c r="F156" s="4">
        <v>21.716666666666665</v>
      </c>
      <c r="G156" s="4">
        <v>30.503333333333334</v>
      </c>
      <c r="H156" s="4">
        <v>177.56666666666666</v>
      </c>
      <c r="I156" s="4">
        <v>157.06666666666666</v>
      </c>
      <c r="J156" s="4">
        <v>12.3</v>
      </c>
      <c r="K156" s="4">
        <v>51.23</v>
      </c>
      <c r="AR156" s="2" t="s">
        <v>1</v>
      </c>
    </row>
    <row r="157" spans="1:44" x14ac:dyDescent="0.2">
      <c r="A157" s="7">
        <v>30112</v>
      </c>
      <c r="B157" s="4">
        <v>332.13333333333333</v>
      </c>
      <c r="C157" s="4">
        <v>339.83333333333331</v>
      </c>
      <c r="D157" s="4">
        <v>219.26666666666668</v>
      </c>
      <c r="E157" s="4">
        <v>0.54</v>
      </c>
      <c r="F157" s="4">
        <v>23.903333333333332</v>
      </c>
      <c r="G157" s="4">
        <v>34.203333333333333</v>
      </c>
      <c r="H157" s="4">
        <v>178.5</v>
      </c>
      <c r="I157" s="4">
        <v>150.86666666666667</v>
      </c>
      <c r="J157" s="4">
        <v>6.94</v>
      </c>
      <c r="K157" s="4">
        <v>57.3</v>
      </c>
      <c r="AR157" s="2" t="s">
        <v>1</v>
      </c>
    </row>
    <row r="158" spans="1:44" x14ac:dyDescent="0.2">
      <c r="A158" s="7"/>
      <c r="B158" s="4"/>
      <c r="C158" s="4"/>
      <c r="D158" s="4"/>
      <c r="E158" s="4"/>
      <c r="F158" s="4"/>
      <c r="G158" s="4"/>
      <c r="H158" s="4"/>
      <c r="I158" s="4"/>
      <c r="J158" s="4"/>
      <c r="K158" s="4"/>
      <c r="AR158" s="2" t="s">
        <v>1</v>
      </c>
    </row>
    <row r="159" spans="1:44" ht="23.25" x14ac:dyDescent="0.35">
      <c r="A159" s="13" t="s">
        <v>276</v>
      </c>
      <c r="AR159" s="2" t="s">
        <v>1</v>
      </c>
    </row>
    <row r="160" spans="1:44" x14ac:dyDescent="0.2">
      <c r="AR160" s="2" t="s">
        <v>1</v>
      </c>
    </row>
    <row r="161" spans="1:44" ht="18" x14ac:dyDescent="0.25">
      <c r="A161" s="18" t="s">
        <v>244</v>
      </c>
      <c r="AR161" s="2" t="s">
        <v>1</v>
      </c>
    </row>
    <row r="162" spans="1:44" ht="18" x14ac:dyDescent="0.25">
      <c r="A162" s="18" t="s">
        <v>248</v>
      </c>
      <c r="AR162" s="2" t="s">
        <v>1</v>
      </c>
    </row>
    <row r="163" spans="1:44" ht="18" x14ac:dyDescent="0.25">
      <c r="A163" s="18" t="s">
        <v>250</v>
      </c>
      <c r="AR163" s="2" t="s">
        <v>1</v>
      </c>
    </row>
    <row r="164" spans="1:44" x14ac:dyDescent="0.2">
      <c r="AR164" s="2" t="s">
        <v>1</v>
      </c>
    </row>
    <row r="165" spans="1:44" x14ac:dyDescent="0.2">
      <c r="AR165" s="2" t="s">
        <v>1</v>
      </c>
    </row>
    <row r="166" spans="1:44" ht="18" x14ac:dyDescent="0.25">
      <c r="A166" s="18" t="s">
        <v>244</v>
      </c>
      <c r="M166" s="3" t="s">
        <v>248</v>
      </c>
      <c r="Z166" s="18" t="s">
        <v>250</v>
      </c>
      <c r="AR166" s="2" t="s">
        <v>1</v>
      </c>
    </row>
    <row r="167" spans="1:44" x14ac:dyDescent="0.2">
      <c r="AR167" s="2" t="s">
        <v>1</v>
      </c>
    </row>
    <row r="168" spans="1:44" x14ac:dyDescent="0.2">
      <c r="B168" s="8" t="s">
        <v>138</v>
      </c>
      <c r="C168" s="8" t="s">
        <v>136</v>
      </c>
      <c r="D168" s="8" t="s">
        <v>130</v>
      </c>
      <c r="E168" s="2" t="s">
        <v>265</v>
      </c>
      <c r="F168" s="8" t="s">
        <v>133</v>
      </c>
      <c r="G168" s="8" t="s">
        <v>127</v>
      </c>
      <c r="H168" s="8" t="s">
        <v>121</v>
      </c>
      <c r="I168" s="8" t="s">
        <v>112</v>
      </c>
      <c r="J168" s="8" t="s">
        <v>142</v>
      </c>
      <c r="K168" s="8" t="s">
        <v>140</v>
      </c>
      <c r="N168" s="8" t="s">
        <v>138</v>
      </c>
      <c r="O168" s="8" t="s">
        <v>136</v>
      </c>
      <c r="P168" s="8" t="s">
        <v>130</v>
      </c>
      <c r="Q168" s="8" t="s">
        <v>125</v>
      </c>
      <c r="R168" s="8" t="s">
        <v>133</v>
      </c>
      <c r="S168" s="8" t="s">
        <v>127</v>
      </c>
      <c r="T168" s="8" t="s">
        <v>121</v>
      </c>
      <c r="U168" s="8" t="s">
        <v>112</v>
      </c>
      <c r="V168" s="8" t="s">
        <v>142</v>
      </c>
      <c r="W168" s="8" t="s">
        <v>140</v>
      </c>
      <c r="Z168" s="2" t="s">
        <v>253</v>
      </c>
      <c r="AA168" s="8" t="s">
        <v>138</v>
      </c>
      <c r="AB168" s="8" t="s">
        <v>136</v>
      </c>
      <c r="AC168" s="8" t="s">
        <v>130</v>
      </c>
      <c r="AD168" s="8" t="s">
        <v>125</v>
      </c>
      <c r="AE168" s="8" t="s">
        <v>133</v>
      </c>
      <c r="AF168" s="8" t="s">
        <v>127</v>
      </c>
      <c r="AG168" s="8" t="s">
        <v>121</v>
      </c>
      <c r="AH168" s="8" t="s">
        <v>112</v>
      </c>
      <c r="AI168" s="8" t="s">
        <v>142</v>
      </c>
      <c r="AJ168" s="8" t="s">
        <v>140</v>
      </c>
      <c r="AR168" s="2" t="s">
        <v>1</v>
      </c>
    </row>
    <row r="169" spans="1:44" x14ac:dyDescent="0.2">
      <c r="B169" s="8" t="s">
        <v>266</v>
      </c>
      <c r="C169" s="8" t="s">
        <v>144</v>
      </c>
      <c r="D169" s="8" t="s">
        <v>144</v>
      </c>
      <c r="E169" s="8" t="s">
        <v>144</v>
      </c>
      <c r="F169" s="8" t="s">
        <v>144</v>
      </c>
      <c r="G169" s="8" t="s">
        <v>144</v>
      </c>
      <c r="H169" s="8" t="s">
        <v>144</v>
      </c>
      <c r="I169" s="8" t="s">
        <v>144</v>
      </c>
      <c r="J169" s="8" t="s">
        <v>144</v>
      </c>
      <c r="K169" s="8" t="s">
        <v>144</v>
      </c>
      <c r="N169" s="8" t="s">
        <v>266</v>
      </c>
      <c r="O169" s="8" t="s">
        <v>144</v>
      </c>
      <c r="P169" s="8" t="s">
        <v>144</v>
      </c>
      <c r="Q169" s="8" t="s">
        <v>144</v>
      </c>
      <c r="R169" s="8" t="s">
        <v>144</v>
      </c>
      <c r="S169" s="8" t="s">
        <v>144</v>
      </c>
      <c r="T169" s="8" t="s">
        <v>144</v>
      </c>
      <c r="U169" s="8" t="s">
        <v>144</v>
      </c>
      <c r="V169" s="8" t="s">
        <v>144</v>
      </c>
      <c r="W169" s="8" t="s">
        <v>144</v>
      </c>
      <c r="AA169" s="8" t="s">
        <v>266</v>
      </c>
      <c r="AB169" s="8" t="s">
        <v>144</v>
      </c>
      <c r="AC169" s="8" t="s">
        <v>144</v>
      </c>
      <c r="AD169" s="8" t="s">
        <v>144</v>
      </c>
      <c r="AE169" s="8" t="s">
        <v>144</v>
      </c>
      <c r="AF169" s="8" t="s">
        <v>144</v>
      </c>
      <c r="AG169" s="8" t="s">
        <v>144</v>
      </c>
      <c r="AH169" s="8" t="s">
        <v>144</v>
      </c>
      <c r="AI169" s="8" t="s">
        <v>144</v>
      </c>
      <c r="AJ169" s="8" t="s">
        <v>144</v>
      </c>
      <c r="AR169" s="2" t="s">
        <v>1</v>
      </c>
    </row>
    <row r="170" spans="1:44" x14ac:dyDescent="0.2">
      <c r="AR170" s="2" t="s">
        <v>1</v>
      </c>
    </row>
    <row r="171" spans="1:44" x14ac:dyDescent="0.2">
      <c r="AR171" s="2" t="s">
        <v>1</v>
      </c>
    </row>
    <row r="172" spans="1:44" x14ac:dyDescent="0.2">
      <c r="A172" s="7">
        <v>28586.5</v>
      </c>
      <c r="C172" s="4">
        <f>AVERAGE(C16:C17)</f>
        <v>280.8</v>
      </c>
      <c r="D172" s="4">
        <f>AVERAGE(D16:D17)</f>
        <v>153.5</v>
      </c>
      <c r="E172" s="4">
        <f>AVERAGE(E16:E17)</f>
        <v>4.4575000000000005</v>
      </c>
      <c r="F172" s="4">
        <f>AVERAGE(F16:F17)</f>
        <v>12.45</v>
      </c>
      <c r="H172" s="4">
        <f>AVERAGE(H16:H17)</f>
        <v>124.45</v>
      </c>
      <c r="I172" s="4">
        <f>AVERAGE(I16:I17)</f>
        <v>139.9</v>
      </c>
      <c r="J172" s="4">
        <f>AVERAGE(J16:J17)</f>
        <v>33.979999999999997</v>
      </c>
      <c r="K172" s="4">
        <f>AVERAGE(K16:K17)</f>
        <v>110.46000000000001</v>
      </c>
      <c r="AR172" s="2" t="s">
        <v>1</v>
      </c>
    </row>
    <row r="173" spans="1:44" x14ac:dyDescent="0.2">
      <c r="A173" s="7">
        <v>28651</v>
      </c>
      <c r="B173" s="4">
        <f t="shared" ref="B173:K173" si="0">AVERAGE(B18:B19)</f>
        <v>334.8</v>
      </c>
      <c r="C173" s="4">
        <f t="shared" si="0"/>
        <v>288.3</v>
      </c>
      <c r="D173" s="4">
        <f t="shared" si="0"/>
        <v>165.8</v>
      </c>
      <c r="E173" s="4">
        <f t="shared" si="0"/>
        <v>1.25</v>
      </c>
      <c r="F173" s="4">
        <f t="shared" si="0"/>
        <v>17.975000000000001</v>
      </c>
      <c r="G173" s="4">
        <f t="shared" si="0"/>
        <v>37.344999999999999</v>
      </c>
      <c r="H173" s="4">
        <f t="shared" si="0"/>
        <v>135.19999999999999</v>
      </c>
      <c r="I173" s="4">
        <f t="shared" si="0"/>
        <v>145.69999999999999</v>
      </c>
      <c r="J173" s="4">
        <f t="shared" si="0"/>
        <v>16.329999999999998</v>
      </c>
      <c r="K173" s="4">
        <f t="shared" si="0"/>
        <v>106.76</v>
      </c>
      <c r="AR173" s="2" t="s">
        <v>1</v>
      </c>
    </row>
    <row r="174" spans="1:44" x14ac:dyDescent="0.2">
      <c r="A174" s="7">
        <v>28768</v>
      </c>
      <c r="B174" s="4">
        <f t="shared" ref="B174:J174" si="1">AVERAGE(B20)</f>
        <v>331.2</v>
      </c>
      <c r="C174" s="4">
        <f t="shared" si="1"/>
        <v>282</v>
      </c>
      <c r="D174" s="4">
        <f t="shared" si="1"/>
        <v>160.35</v>
      </c>
      <c r="E174" s="4">
        <f t="shared" si="1"/>
        <v>1.33</v>
      </c>
      <c r="F174" s="4">
        <f t="shared" si="1"/>
        <v>15.67</v>
      </c>
      <c r="G174" s="4">
        <f t="shared" si="1"/>
        <v>53.515000000000001</v>
      </c>
      <c r="H174" s="4">
        <f t="shared" si="1"/>
        <v>156.4</v>
      </c>
      <c r="I174" s="4">
        <f t="shared" si="1"/>
        <v>144.6</v>
      </c>
      <c r="J174" s="4">
        <f t="shared" si="1"/>
        <v>29.54</v>
      </c>
      <c r="AR174" s="2" t="s">
        <v>1</v>
      </c>
    </row>
    <row r="175" spans="1:44" x14ac:dyDescent="0.2">
      <c r="A175" s="7">
        <v>28806.5</v>
      </c>
      <c r="C175" s="4">
        <f t="shared" ref="C175:K175" si="2">AVERAGE(C21:C22)</f>
        <v>286.7</v>
      </c>
      <c r="D175" s="4">
        <f t="shared" si="2"/>
        <v>165.09285714285716</v>
      </c>
      <c r="E175" s="4">
        <f t="shared" si="2"/>
        <v>2.0328571428571429</v>
      </c>
      <c r="F175" s="4">
        <f t="shared" si="2"/>
        <v>16.708928571428572</v>
      </c>
      <c r="G175" s="4">
        <f t="shared" si="2"/>
        <v>43.564999999999998</v>
      </c>
      <c r="H175" s="4">
        <f t="shared" si="2"/>
        <v>139.14642857142857</v>
      </c>
      <c r="I175" s="4">
        <f t="shared" si="2"/>
        <v>159.19999999999999</v>
      </c>
      <c r="J175" s="4">
        <f t="shared" si="2"/>
        <v>19.901071428571427</v>
      </c>
      <c r="K175" s="4">
        <f t="shared" si="2"/>
        <v>115.16499999999999</v>
      </c>
      <c r="AR175" s="2" t="s">
        <v>1</v>
      </c>
    </row>
    <row r="176" spans="1:44" x14ac:dyDescent="0.2">
      <c r="A176" s="7">
        <v>28839.5</v>
      </c>
      <c r="D176" s="4">
        <f>AVERAGE(D23:D24)</f>
        <v>166.52857142857141</v>
      </c>
      <c r="E176" s="4">
        <f>AVERAGE(E23:E24)</f>
        <v>1.4992857142857141</v>
      </c>
      <c r="F176" s="4">
        <f>AVERAGE(F23:F24)</f>
        <v>17.998571428571427</v>
      </c>
      <c r="G176" s="4">
        <f>AVERAGE(G23:G24)</f>
        <v>49.247857142857143</v>
      </c>
      <c r="H176" s="4">
        <f>AVERAGE(H23:H24)</f>
        <v>140.66428571428571</v>
      </c>
      <c r="J176" s="4">
        <f>AVERAGE(J23:J24)</f>
        <v>22.831428571428571</v>
      </c>
      <c r="K176" s="4">
        <f>AVERAGE(K23:K24)</f>
        <v>98.520714285714291</v>
      </c>
      <c r="AR176" s="2" t="s">
        <v>1</v>
      </c>
    </row>
    <row r="177" spans="1:44" x14ac:dyDescent="0.2">
      <c r="A177" s="7">
        <v>28869</v>
      </c>
      <c r="D177" s="4">
        <f>AVERAGE(D25:D26)</f>
        <v>171.72499999999999</v>
      </c>
      <c r="E177" s="4">
        <f>AVERAGE(E25:E26)</f>
        <v>1.04375</v>
      </c>
      <c r="F177" s="4">
        <f>AVERAGE(F25:F26)</f>
        <v>16.92625</v>
      </c>
      <c r="G177" s="4">
        <f>AVERAGE(G25:G26)</f>
        <v>56.305</v>
      </c>
      <c r="H177" s="4">
        <f>AVERAGE(H25:H26)</f>
        <v>144.82499999999999</v>
      </c>
      <c r="J177" s="4">
        <f>AVERAGE(J25:J26)</f>
        <v>31.614999999999998</v>
      </c>
      <c r="K177" s="4">
        <f>AVERAGE(K25:K26)</f>
        <v>119.75</v>
      </c>
      <c r="AR177" s="2" t="s">
        <v>1</v>
      </c>
    </row>
    <row r="178" spans="1:44" x14ac:dyDescent="0.2">
      <c r="A178" s="7">
        <v>28907</v>
      </c>
      <c r="B178" s="4">
        <f t="shared" ref="B178:K178" si="3">AVERAGE(B27:B28)</f>
        <v>327.5</v>
      </c>
      <c r="C178" s="4">
        <f t="shared" si="3"/>
        <v>294.7</v>
      </c>
      <c r="D178" s="4">
        <f t="shared" si="3"/>
        <v>170.60000000000002</v>
      </c>
      <c r="E178" s="4">
        <f t="shared" si="3"/>
        <v>2.7350000000000003</v>
      </c>
      <c r="F178" s="4">
        <f t="shared" si="3"/>
        <v>15.83</v>
      </c>
      <c r="G178" s="4">
        <f t="shared" si="3"/>
        <v>56.81</v>
      </c>
      <c r="H178" s="4">
        <f t="shared" si="3"/>
        <v>146.75</v>
      </c>
      <c r="I178" s="4">
        <f t="shared" si="3"/>
        <v>153.4</v>
      </c>
      <c r="J178" s="4">
        <f t="shared" si="3"/>
        <v>41.994999999999997</v>
      </c>
      <c r="K178" s="4">
        <f t="shared" si="3"/>
        <v>118.27</v>
      </c>
      <c r="AR178" s="2" t="s">
        <v>1</v>
      </c>
    </row>
    <row r="179" spans="1:44" x14ac:dyDescent="0.2">
      <c r="A179" s="7">
        <v>28967.5</v>
      </c>
      <c r="D179" s="4">
        <f>AVERAGE(D29:D30)</f>
        <v>167.2</v>
      </c>
      <c r="E179" s="4">
        <f>AVERAGE(E29:E30)</f>
        <v>0.9850000000000001</v>
      </c>
      <c r="F179" s="4">
        <f>AVERAGE(F29:F30)</f>
        <v>14.935</v>
      </c>
      <c r="G179" s="4">
        <f>AVERAGE(G29:G30)</f>
        <v>39.314999999999998</v>
      </c>
      <c r="H179" s="4">
        <f>AVERAGE(H29:H30)</f>
        <v>133.14999999999998</v>
      </c>
      <c r="J179" s="4">
        <f>AVERAGE(J29:J30)</f>
        <v>22.96</v>
      </c>
      <c r="K179" s="4">
        <f>AVERAGE(K29:K30)</f>
        <v>100.86</v>
      </c>
      <c r="AR179" s="2" t="s">
        <v>1</v>
      </c>
    </row>
    <row r="180" spans="1:44" x14ac:dyDescent="0.2">
      <c r="A180" s="7">
        <v>28993</v>
      </c>
      <c r="D180" s="4">
        <f t="shared" ref="D180:F181" si="4">AVERAGE(D31)</f>
        <v>165.6</v>
      </c>
      <c r="E180" s="4">
        <f t="shared" si="4"/>
        <v>1.1100000000000001</v>
      </c>
      <c r="F180" s="4">
        <f t="shared" si="4"/>
        <v>18.78</v>
      </c>
      <c r="H180" s="4">
        <f>AVERAGE(H31)</f>
        <v>148</v>
      </c>
      <c r="J180" s="4">
        <f>AVERAGE(J31)</f>
        <v>51.85</v>
      </c>
      <c r="K180" s="4">
        <f>AVERAGE(K31)</f>
        <v>117.25700000000001</v>
      </c>
      <c r="AR180" s="2" t="s">
        <v>1</v>
      </c>
    </row>
    <row r="181" spans="1:44" x14ac:dyDescent="0.2">
      <c r="A181" s="7">
        <v>29048</v>
      </c>
      <c r="D181" s="4">
        <f t="shared" si="4"/>
        <v>171.8</v>
      </c>
      <c r="E181" s="4">
        <f t="shared" si="4"/>
        <v>1.0900000000000001</v>
      </c>
      <c r="F181" s="4">
        <f t="shared" si="4"/>
        <v>17.53</v>
      </c>
      <c r="H181" s="4">
        <f>AVERAGE(H32)</f>
        <v>146.5</v>
      </c>
      <c r="J181" s="4">
        <f>AVERAGE(J32)</f>
        <v>16.91</v>
      </c>
      <c r="K181" s="4">
        <f>AVERAGE(K32)</f>
        <v>107.95</v>
      </c>
      <c r="AR181" s="2" t="s">
        <v>1</v>
      </c>
    </row>
    <row r="182" spans="1:44" x14ac:dyDescent="0.2">
      <c r="A182" s="7">
        <v>29077</v>
      </c>
      <c r="C182" s="4">
        <f t="shared" ref="C182:K182" si="5">AVERAGE(C33:C34)</f>
        <v>300.60000000000002</v>
      </c>
      <c r="D182" s="4">
        <f t="shared" si="5"/>
        <v>183.1</v>
      </c>
      <c r="E182" s="4">
        <f t="shared" si="5"/>
        <v>1.5099999999999998</v>
      </c>
      <c r="F182" s="4">
        <f t="shared" si="5"/>
        <v>17.683500000000002</v>
      </c>
      <c r="G182" s="4">
        <f t="shared" si="5"/>
        <v>53.404999999999994</v>
      </c>
      <c r="H182" s="4">
        <f t="shared" si="5"/>
        <v>140.5</v>
      </c>
      <c r="I182" s="4">
        <f t="shared" si="5"/>
        <v>150.69999999999999</v>
      </c>
      <c r="J182" s="4">
        <f t="shared" si="5"/>
        <v>18.044999999999998</v>
      </c>
      <c r="K182" s="4">
        <f t="shared" si="5"/>
        <v>83.835000000000008</v>
      </c>
      <c r="AR182" s="2" t="s">
        <v>1</v>
      </c>
    </row>
    <row r="183" spans="1:44" x14ac:dyDescent="0.2">
      <c r="A183" s="7">
        <v>29142.5</v>
      </c>
      <c r="C183" s="4">
        <f t="shared" ref="C183:K183" si="6">AVERAGE(C35:C36)</f>
        <v>306.2</v>
      </c>
      <c r="D183" s="4">
        <f t="shared" si="6"/>
        <v>173.42500000000001</v>
      </c>
      <c r="E183" s="4">
        <f t="shared" si="6"/>
        <v>2.29</v>
      </c>
      <c r="F183" s="4">
        <f t="shared" si="6"/>
        <v>19.004999999999999</v>
      </c>
      <c r="G183" s="4">
        <f t="shared" si="6"/>
        <v>40.787499999999994</v>
      </c>
      <c r="H183" s="4">
        <f t="shared" si="6"/>
        <v>141.32499999999999</v>
      </c>
      <c r="I183" s="4">
        <f t="shared" si="6"/>
        <v>150.30000000000001</v>
      </c>
      <c r="J183" s="4">
        <f t="shared" si="6"/>
        <v>10.5975</v>
      </c>
      <c r="K183" s="4">
        <f t="shared" si="6"/>
        <v>51.644999999999996</v>
      </c>
      <c r="AR183" s="2" t="s">
        <v>1</v>
      </c>
    </row>
    <row r="184" spans="1:44" x14ac:dyDescent="0.2">
      <c r="A184" s="7">
        <v>29172</v>
      </c>
      <c r="B184" s="4">
        <f t="shared" ref="B184:K184" si="7">AVERAGE(B37)</f>
        <v>340.9</v>
      </c>
      <c r="C184" s="4">
        <f t="shared" si="7"/>
        <v>332.6</v>
      </c>
      <c r="D184" s="4">
        <f t="shared" si="7"/>
        <v>172.16</v>
      </c>
      <c r="E184" s="4">
        <f t="shared" si="7"/>
        <v>2.202</v>
      </c>
      <c r="F184" s="4">
        <f t="shared" si="7"/>
        <v>20.622</v>
      </c>
      <c r="G184" s="4">
        <f t="shared" si="7"/>
        <v>85.808000000000007</v>
      </c>
      <c r="H184" s="4">
        <f t="shared" si="7"/>
        <v>168.46</v>
      </c>
      <c r="I184" s="4">
        <f t="shared" si="7"/>
        <v>153.9</v>
      </c>
      <c r="J184" s="4">
        <f t="shared" si="7"/>
        <v>31.942</v>
      </c>
      <c r="K184" s="4">
        <f t="shared" si="7"/>
        <v>148.68199999999999</v>
      </c>
      <c r="AR184" s="2" t="s">
        <v>1</v>
      </c>
    </row>
    <row r="185" spans="1:44" x14ac:dyDescent="0.2">
      <c r="A185" s="7">
        <v>29208</v>
      </c>
      <c r="D185" s="4">
        <f>AVERAGE(D38)</f>
        <v>174.3</v>
      </c>
      <c r="E185" s="4">
        <f>AVERAGE(E38)</f>
        <v>1.99</v>
      </c>
      <c r="F185" s="4">
        <f>AVERAGE(F38)</f>
        <v>17.739999999999998</v>
      </c>
      <c r="G185" s="4">
        <f>AVERAGE(G38)</f>
        <v>61.42</v>
      </c>
      <c r="H185" s="4">
        <f>AVERAGE(H38)</f>
        <v>147.5</v>
      </c>
      <c r="J185" s="4">
        <f>AVERAGE(J38)</f>
        <v>14.28</v>
      </c>
      <c r="K185" s="4">
        <f>AVERAGE(K38)</f>
        <v>107.22</v>
      </c>
      <c r="AR185" s="2" t="s">
        <v>1</v>
      </c>
    </row>
    <row r="186" spans="1:44" x14ac:dyDescent="0.2">
      <c r="A186" s="7">
        <v>29241</v>
      </c>
      <c r="E186" s="4">
        <f>AVERAGE(E39)</f>
        <v>1.34</v>
      </c>
      <c r="K186" s="4">
        <f>AVERAGE(K39)</f>
        <v>73.73</v>
      </c>
      <c r="AR186" s="2" t="s">
        <v>1</v>
      </c>
    </row>
    <row r="187" spans="1:44" x14ac:dyDescent="0.2">
      <c r="A187" s="7">
        <v>29258.5</v>
      </c>
      <c r="B187" s="4">
        <f t="shared" ref="B187:K187" si="8">AVERAGE(B40:B41)</f>
        <v>334.7</v>
      </c>
      <c r="C187" s="4">
        <f t="shared" si="8"/>
        <v>317.8</v>
      </c>
      <c r="D187" s="4">
        <f t="shared" si="8"/>
        <v>180.05</v>
      </c>
      <c r="E187" s="4">
        <f t="shared" si="8"/>
        <v>2.96</v>
      </c>
      <c r="F187" s="4">
        <f t="shared" si="8"/>
        <v>18.515000000000001</v>
      </c>
      <c r="G187" s="4">
        <f t="shared" si="8"/>
        <v>43.524999999999999</v>
      </c>
      <c r="H187" s="4">
        <f t="shared" si="8"/>
        <v>148.10000000000002</v>
      </c>
      <c r="I187" s="4">
        <f t="shared" si="8"/>
        <v>150.30000000000001</v>
      </c>
      <c r="J187" s="4">
        <f t="shared" si="8"/>
        <v>39.195</v>
      </c>
      <c r="K187" s="4">
        <f t="shared" si="8"/>
        <v>92.44</v>
      </c>
      <c r="AR187" s="2" t="s">
        <v>1</v>
      </c>
    </row>
    <row r="188" spans="1:44" x14ac:dyDescent="0.2">
      <c r="A188" s="7">
        <v>29305</v>
      </c>
      <c r="B188" s="4">
        <f t="shared" ref="B188:H188" si="9">AVERAGE(B42)</f>
        <v>333.8</v>
      </c>
      <c r="C188" s="4">
        <f t="shared" si="9"/>
        <v>311</v>
      </c>
      <c r="D188" s="4">
        <f t="shared" si="9"/>
        <v>188</v>
      </c>
      <c r="E188" s="4">
        <f t="shared" si="9"/>
        <v>3.02</v>
      </c>
      <c r="F188" s="4">
        <f t="shared" si="9"/>
        <v>18.489999999999998</v>
      </c>
      <c r="G188" s="4">
        <f t="shared" si="9"/>
        <v>70.36</v>
      </c>
      <c r="H188" s="4">
        <f t="shared" si="9"/>
        <v>159.69999999999999</v>
      </c>
      <c r="J188" s="4">
        <f>AVERAGE(J42)</f>
        <v>35.43</v>
      </c>
      <c r="K188" s="4">
        <f>AVERAGE(K42)</f>
        <v>126.99</v>
      </c>
      <c r="AR188" s="2" t="s">
        <v>1</v>
      </c>
    </row>
    <row r="189" spans="1:44" x14ac:dyDescent="0.2">
      <c r="A189" s="7">
        <v>29331.666666666668</v>
      </c>
      <c r="B189" s="4">
        <f t="shared" ref="B189:K189" si="10">AVERAGE(B43:B45)</f>
        <v>325.25</v>
      </c>
      <c r="C189" s="4">
        <f t="shared" si="10"/>
        <v>319.53333333333336</v>
      </c>
      <c r="D189" s="4">
        <f t="shared" si="10"/>
        <v>180.91666666666666</v>
      </c>
      <c r="E189" s="4">
        <f t="shared" si="10"/>
        <v>0.96111111111111114</v>
      </c>
      <c r="F189" s="4">
        <f t="shared" si="10"/>
        <v>19.176111111111112</v>
      </c>
      <c r="G189" s="4">
        <f t="shared" si="10"/>
        <v>80.512499999999989</v>
      </c>
      <c r="H189" s="4">
        <f t="shared" si="10"/>
        <v>161.64444444444442</v>
      </c>
      <c r="I189" s="4">
        <f t="shared" si="10"/>
        <v>147.15</v>
      </c>
      <c r="J189" s="4">
        <f t="shared" si="10"/>
        <v>27.690555555555559</v>
      </c>
      <c r="K189" s="4">
        <f t="shared" si="10"/>
        <v>123.79388888888889</v>
      </c>
      <c r="AR189" s="2" t="s">
        <v>1</v>
      </c>
    </row>
    <row r="190" spans="1:44" x14ac:dyDescent="0.2">
      <c r="A190" s="7">
        <v>29382</v>
      </c>
      <c r="D190" s="4">
        <f>AVERAGE(D46)</f>
        <v>191.05</v>
      </c>
      <c r="E190" s="4">
        <f>AVERAGE(E46)</f>
        <v>1.28</v>
      </c>
      <c r="F190" s="4">
        <f>AVERAGE(F46)</f>
        <v>19.475000000000001</v>
      </c>
      <c r="G190" s="4">
        <f>AVERAGE(G46)</f>
        <v>43.634999999999998</v>
      </c>
      <c r="H190" s="4">
        <f>AVERAGE(H46)</f>
        <v>161.75</v>
      </c>
      <c r="J190" s="4">
        <f>AVERAGE(J46)</f>
        <v>9.98</v>
      </c>
      <c r="K190" s="4">
        <f>AVERAGE(K46)</f>
        <v>68.239999999999995</v>
      </c>
      <c r="AR190" s="2" t="s">
        <v>1</v>
      </c>
    </row>
    <row r="191" spans="1:44" x14ac:dyDescent="0.2">
      <c r="A191" s="7">
        <v>29421.5</v>
      </c>
      <c r="B191" s="4">
        <f t="shared" ref="B191:K191" si="11">AVERAGE(B47:B50)</f>
        <v>329.375</v>
      </c>
      <c r="C191" s="4">
        <f t="shared" si="11"/>
        <v>314.98333333333335</v>
      </c>
      <c r="D191" s="4">
        <f t="shared" si="11"/>
        <v>187.5</v>
      </c>
      <c r="E191" s="4">
        <f t="shared" si="11"/>
        <v>1.46875</v>
      </c>
      <c r="F191" s="4">
        <f t="shared" si="11"/>
        <v>19.903750000000002</v>
      </c>
      <c r="G191" s="4">
        <f t="shared" si="11"/>
        <v>78.752499999999998</v>
      </c>
      <c r="H191" s="4">
        <f t="shared" si="11"/>
        <v>148.76000000000002</v>
      </c>
      <c r="I191" s="4">
        <f t="shared" si="11"/>
        <v>145.46666666666667</v>
      </c>
      <c r="J191" s="4">
        <f t="shared" si="11"/>
        <v>18.936250000000001</v>
      </c>
      <c r="K191" s="4">
        <f t="shared" si="11"/>
        <v>51.774999999999999</v>
      </c>
      <c r="AR191" s="2" t="s">
        <v>1</v>
      </c>
    </row>
    <row r="192" spans="1:44" x14ac:dyDescent="0.2">
      <c r="A192" s="7">
        <v>29446</v>
      </c>
      <c r="B192" s="4">
        <f t="shared" ref="B192:K192" si="12">AVERAGE(B51)</f>
        <v>332.8</v>
      </c>
      <c r="C192" s="4">
        <f t="shared" si="12"/>
        <v>307.5</v>
      </c>
      <c r="D192" s="4">
        <f t="shared" si="12"/>
        <v>181.8</v>
      </c>
      <c r="E192" s="4">
        <f t="shared" si="12"/>
        <v>1.58</v>
      </c>
      <c r="F192" s="4">
        <f t="shared" si="12"/>
        <v>20.015000000000001</v>
      </c>
      <c r="G192" s="4">
        <f t="shared" si="12"/>
        <v>69.805000000000007</v>
      </c>
      <c r="H192" s="4">
        <f t="shared" si="12"/>
        <v>144.4</v>
      </c>
      <c r="I192" s="4">
        <f t="shared" si="12"/>
        <v>142.9</v>
      </c>
      <c r="J192" s="4">
        <f t="shared" si="12"/>
        <v>18.805</v>
      </c>
      <c r="K192" s="4">
        <f t="shared" si="12"/>
        <v>37.265000000000001</v>
      </c>
      <c r="AR192" s="2" t="s">
        <v>1</v>
      </c>
    </row>
    <row r="193" spans="1:44" x14ac:dyDescent="0.2">
      <c r="A193" s="7">
        <v>29474</v>
      </c>
      <c r="B193" s="4">
        <f t="shared" ref="B193:K193" si="13">AVERAGE(B52:B53)</f>
        <v>334.9</v>
      </c>
      <c r="C193" s="4">
        <f t="shared" si="13"/>
        <v>330.55</v>
      </c>
      <c r="D193" s="4">
        <f t="shared" si="13"/>
        <v>186.77500000000001</v>
      </c>
      <c r="E193" s="4">
        <f t="shared" si="13"/>
        <v>1.5449999999999999</v>
      </c>
      <c r="F193" s="4">
        <f t="shared" si="13"/>
        <v>19.715</v>
      </c>
      <c r="G193" s="4">
        <f t="shared" si="13"/>
        <v>58.16</v>
      </c>
      <c r="H193" s="4">
        <f t="shared" si="13"/>
        <v>154.05000000000001</v>
      </c>
      <c r="I193" s="4">
        <f t="shared" si="13"/>
        <v>150.5</v>
      </c>
      <c r="J193" s="4">
        <f t="shared" si="13"/>
        <v>18.7225</v>
      </c>
      <c r="K193" s="4">
        <f t="shared" si="13"/>
        <v>73.199999999999989</v>
      </c>
      <c r="AR193" s="2" t="s">
        <v>1</v>
      </c>
    </row>
    <row r="194" spans="1:44" x14ac:dyDescent="0.2">
      <c r="A194" s="7">
        <v>29502</v>
      </c>
      <c r="D194" s="4">
        <f>AVERAGE(D54:D55)</f>
        <v>184.375</v>
      </c>
      <c r="E194" s="4">
        <f>AVERAGE(E54:E55)</f>
        <v>1.3725000000000001</v>
      </c>
      <c r="F194" s="4">
        <f>AVERAGE(F54:F55)</f>
        <v>20.884999999999998</v>
      </c>
      <c r="G194" s="4">
        <f>AVERAGE(G54:G55)</f>
        <v>93.875</v>
      </c>
      <c r="H194" s="4">
        <f>AVERAGE(H54:H55)</f>
        <v>165.07499999999999</v>
      </c>
      <c r="J194" s="4">
        <f>AVERAGE(J54:J55)</f>
        <v>24.452500000000001</v>
      </c>
      <c r="K194" s="4">
        <f>AVERAGE(K54:K55)</f>
        <v>90.33</v>
      </c>
      <c r="AR194" s="2" t="s">
        <v>1</v>
      </c>
    </row>
    <row r="195" spans="1:44" x14ac:dyDescent="0.2">
      <c r="A195" s="7">
        <v>29544</v>
      </c>
      <c r="D195" s="4">
        <f>AVERAGE(D56:D57)</f>
        <v>181.17500000000001</v>
      </c>
      <c r="E195" s="4">
        <f>AVERAGE(E56:E57)</f>
        <v>1.1324999999999998</v>
      </c>
      <c r="F195" s="4">
        <f>AVERAGE(F56:F57)</f>
        <v>20.46</v>
      </c>
      <c r="G195" s="4">
        <f>AVERAGE(G56:G57)</f>
        <v>80.27</v>
      </c>
      <c r="H195" s="4">
        <f>AVERAGE(H56:H57)</f>
        <v>175.39999999999998</v>
      </c>
      <c r="J195" s="4">
        <f>AVERAGE(J56:J57)</f>
        <v>33.267499999999998</v>
      </c>
      <c r="K195" s="4">
        <f>AVERAGE(K56:K57)</f>
        <v>127.62</v>
      </c>
      <c r="AR195" s="2" t="s">
        <v>1</v>
      </c>
    </row>
    <row r="196" spans="1:44" x14ac:dyDescent="0.2">
      <c r="A196" s="7">
        <v>29575.5</v>
      </c>
      <c r="D196" s="4">
        <f>AVERAGE(D58:D59)</f>
        <v>182.6</v>
      </c>
      <c r="E196" s="4">
        <f>AVERAGE(E58:E59)</f>
        <v>1.4350000000000001</v>
      </c>
      <c r="F196" s="4">
        <f>AVERAGE(F58:F59)</f>
        <v>19.392499999999998</v>
      </c>
      <c r="G196" s="4">
        <f>AVERAGE(G58:G59)</f>
        <v>75.77</v>
      </c>
      <c r="H196" s="4">
        <f>AVERAGE(H58:H59)</f>
        <v>155.69999999999999</v>
      </c>
      <c r="J196" s="4">
        <f>AVERAGE(J58:J59)</f>
        <v>21.755000000000003</v>
      </c>
      <c r="K196" s="4">
        <f>AVERAGE(K58:K59)</f>
        <v>81.902500000000003</v>
      </c>
      <c r="AR196" s="2" t="s">
        <v>1</v>
      </c>
    </row>
    <row r="197" spans="1:44" x14ac:dyDescent="0.2">
      <c r="A197" s="7">
        <v>29601</v>
      </c>
      <c r="D197" s="4">
        <f>AVERAGE(D60)</f>
        <v>182.55</v>
      </c>
      <c r="E197" s="4">
        <f>AVERAGE(E60)</f>
        <v>1.3</v>
      </c>
      <c r="F197" s="4">
        <f>AVERAGE(F60)</f>
        <v>20.04</v>
      </c>
      <c r="G197" s="4">
        <f>AVERAGE(G60)</f>
        <v>60.2</v>
      </c>
      <c r="H197" s="4">
        <f>AVERAGE(H60)</f>
        <v>160.35</v>
      </c>
      <c r="J197" s="4">
        <f>AVERAGE(J60)</f>
        <v>22.27</v>
      </c>
      <c r="K197" s="4">
        <f>AVERAGE(K60)</f>
        <v>93.73</v>
      </c>
      <c r="AR197" s="2" t="s">
        <v>1</v>
      </c>
    </row>
    <row r="198" spans="1:44" x14ac:dyDescent="0.2">
      <c r="A198" s="7">
        <v>29633.666666666668</v>
      </c>
      <c r="D198" s="4">
        <f>AVERAGE(D61:D63)</f>
        <v>196.08333333333334</v>
      </c>
      <c r="E198" s="4">
        <f>AVERAGE(E61:E63)</f>
        <v>0.8566666666666668</v>
      </c>
      <c r="F198" s="4">
        <f>AVERAGE(F61:F63)</f>
        <v>18.880555555555556</v>
      </c>
      <c r="G198" s="4">
        <f>AVERAGE(G61:G63)</f>
        <v>35.157222222222224</v>
      </c>
      <c r="H198" s="4">
        <f>AVERAGE(H61:H63)</f>
        <v>162.45555555555555</v>
      </c>
      <c r="J198" s="4">
        <f>AVERAGE(J61:J63)</f>
        <v>31.72666666666667</v>
      </c>
      <c r="K198" s="4">
        <f>AVERAGE(K61:K63)</f>
        <v>137.30277777777778</v>
      </c>
      <c r="M198" s="7">
        <v>29633.333333333332</v>
      </c>
      <c r="P198" s="4">
        <f>AVERAGE(P15:P17)</f>
        <v>187.30555555555554</v>
      </c>
      <c r="Q198" s="4">
        <f>AVERAGE(Q15:Q17)</f>
        <v>2.2466666666666666</v>
      </c>
      <c r="R198" s="4">
        <f>AVERAGE(R15:R17)</f>
        <v>19.529444444444447</v>
      </c>
      <c r="S198" s="4">
        <f>AVERAGE(S15:S17)</f>
        <v>27.567222222222224</v>
      </c>
      <c r="T198" s="4">
        <f>AVERAGE(T15:T17)</f>
        <v>144.36666666666665</v>
      </c>
      <c r="V198" s="4">
        <f>AVERAGE(V15:V17)</f>
        <v>7.0755555555555558</v>
      </c>
      <c r="W198" s="4">
        <f>AVERAGE(W15:W17)</f>
        <v>56.995555555555562</v>
      </c>
      <c r="AR198" s="2" t="s">
        <v>1</v>
      </c>
    </row>
    <row r="199" spans="1:44" x14ac:dyDescent="0.2">
      <c r="A199" s="7">
        <v>29657.5</v>
      </c>
      <c r="D199" s="4">
        <f>AVERAGE(D64:D71)</f>
        <v>190.08888888888887</v>
      </c>
      <c r="E199" s="4">
        <f>AVERAGE(E64:E71)</f>
        <v>1.0841666666666665</v>
      </c>
      <c r="F199" s="4">
        <f>AVERAGE(F64:F71)</f>
        <v>20.435000000000002</v>
      </c>
      <c r="G199" s="4">
        <f>AVERAGE(G64:G71)</f>
        <v>41.034791666666671</v>
      </c>
      <c r="H199" s="4">
        <f>AVERAGE(H64:H71)</f>
        <v>162.51250000000002</v>
      </c>
      <c r="J199" s="4">
        <f>AVERAGE(J64:J71)</f>
        <v>23.540952380952383</v>
      </c>
      <c r="K199" s="4">
        <f>AVERAGE(K64:K71)</f>
        <v>120.99958333333333</v>
      </c>
      <c r="M199" s="7">
        <v>29662</v>
      </c>
      <c r="P199" s="4">
        <f>AVERAGE(P18:P20)</f>
        <v>186.19444444444443</v>
      </c>
      <c r="Q199" s="4">
        <f>AVERAGE(Q18:Q20)</f>
        <v>3.2149999999999999</v>
      </c>
      <c r="R199" s="4">
        <f>AVERAGE(R18:R20)</f>
        <v>22.478333333333335</v>
      </c>
      <c r="S199" s="4">
        <f>AVERAGE(S18:S20)</f>
        <v>31.380555555555556</v>
      </c>
      <c r="T199" s="4">
        <f>AVERAGE(T18:T20)</f>
        <v>147.39999999999998</v>
      </c>
      <c r="V199" s="4">
        <f>AVERAGE(V18:V20)</f>
        <v>10.617777777777777</v>
      </c>
      <c r="W199" s="4">
        <f>AVERAGE(W18:W20)</f>
        <v>71.291666666666671</v>
      </c>
      <c r="AR199" s="2" t="s">
        <v>1</v>
      </c>
    </row>
    <row r="200" spans="1:44" x14ac:dyDescent="0.2">
      <c r="A200" s="7">
        <v>29690.166666666668</v>
      </c>
      <c r="C200" s="4">
        <f t="shared" ref="C200:K200" si="14">AVERAGE(C72:C77)</f>
        <v>336.9</v>
      </c>
      <c r="D200" s="4">
        <f t="shared" si="14"/>
        <v>191.83333333333334</v>
      </c>
      <c r="E200" s="4">
        <f t="shared" si="14"/>
        <v>1.536</v>
      </c>
      <c r="F200" s="4">
        <f t="shared" si="14"/>
        <v>19.714444444444442</v>
      </c>
      <c r="G200" s="4">
        <f t="shared" si="14"/>
        <v>49.49666666666667</v>
      </c>
      <c r="H200" s="4">
        <f t="shared" si="14"/>
        <v>163.92666666666668</v>
      </c>
      <c r="I200" s="4">
        <f t="shared" si="14"/>
        <v>147</v>
      </c>
      <c r="J200" s="4">
        <f t="shared" si="14"/>
        <v>15.205277777777775</v>
      </c>
      <c r="K200" s="4">
        <f t="shared" si="14"/>
        <v>98.626944444444447</v>
      </c>
      <c r="M200" s="7">
        <v>29688.25</v>
      </c>
      <c r="P200" s="4">
        <f>AVERAGE(P21:P24)</f>
        <v>188.24166666666665</v>
      </c>
      <c r="Q200" s="4">
        <f>AVERAGE(Q21:Q24)</f>
        <v>2.5554166666666669</v>
      </c>
      <c r="R200" s="4">
        <f>AVERAGE(R21:R24)</f>
        <v>22.78125</v>
      </c>
      <c r="S200" s="4">
        <f>AVERAGE(S21:S24)</f>
        <v>37.088333333333331</v>
      </c>
      <c r="T200" s="4">
        <f>AVERAGE(T21:T24)</f>
        <v>148.5</v>
      </c>
      <c r="V200" s="4">
        <f>AVERAGE(V21:V24)</f>
        <v>8.4829166666666662</v>
      </c>
      <c r="W200" s="4">
        <f>AVERAGE(W21:W24)</f>
        <v>55.193750000000001</v>
      </c>
      <c r="AR200" s="2" t="s">
        <v>1</v>
      </c>
    </row>
    <row r="201" spans="1:44" x14ac:dyDescent="0.2">
      <c r="A201" s="7">
        <v>29722.333333333332</v>
      </c>
      <c r="B201" s="4">
        <f t="shared" ref="B201:K201" si="15">AVERAGE(B78:B83)</f>
        <v>327.3</v>
      </c>
      <c r="C201" s="4">
        <f t="shared" si="15"/>
        <v>326.3</v>
      </c>
      <c r="D201" s="4">
        <f t="shared" si="15"/>
        <v>192.21944444444443</v>
      </c>
      <c r="E201" s="4">
        <f t="shared" si="15"/>
        <v>2.7719444444444448</v>
      </c>
      <c r="F201" s="4">
        <f t="shared" si="15"/>
        <v>20.330277777777777</v>
      </c>
      <c r="G201" s="4">
        <f t="shared" si="15"/>
        <v>51.394333333333336</v>
      </c>
      <c r="H201" s="4">
        <f t="shared" si="15"/>
        <v>167.08611111111114</v>
      </c>
      <c r="I201" s="4">
        <f t="shared" si="15"/>
        <v>153</v>
      </c>
      <c r="J201" s="4">
        <f t="shared" si="15"/>
        <v>10.399333333333335</v>
      </c>
      <c r="K201" s="4">
        <f t="shared" si="15"/>
        <v>81.006944444444443</v>
      </c>
      <c r="M201" s="7">
        <v>29721</v>
      </c>
      <c r="P201" s="4">
        <f>AVERAGE(P25:P29)</f>
        <v>189.845</v>
      </c>
      <c r="Q201" s="4">
        <f>AVERAGE(Q25:Q29)</f>
        <v>3.1550000000000002</v>
      </c>
      <c r="R201" s="4">
        <f>AVERAGE(R25:R29)</f>
        <v>20.792333333333335</v>
      </c>
      <c r="S201" s="4">
        <f>AVERAGE(S25:S29)</f>
        <v>33.094666666666669</v>
      </c>
      <c r="T201" s="4">
        <f>AVERAGE(T25:T29)</f>
        <v>150.03666666666669</v>
      </c>
      <c r="V201" s="4">
        <f>AVERAGE(V25:V29)</f>
        <v>6.4804166666666667</v>
      </c>
      <c r="W201" s="4">
        <f>AVERAGE(W25:W29)</f>
        <v>51.25</v>
      </c>
      <c r="AR201" s="2" t="s">
        <v>1</v>
      </c>
    </row>
    <row r="202" spans="1:44" x14ac:dyDescent="0.2">
      <c r="A202" s="7">
        <v>29753.166666666668</v>
      </c>
      <c r="B202" s="4">
        <f t="shared" ref="B202:K202" si="16">AVERAGE(B84:B89)</f>
        <v>337.23333333333335</v>
      </c>
      <c r="C202" s="4">
        <f t="shared" si="16"/>
        <v>330.86666666666662</v>
      </c>
      <c r="D202" s="4">
        <f t="shared" si="16"/>
        <v>193.44166666666669</v>
      </c>
      <c r="E202" s="4">
        <f t="shared" si="16"/>
        <v>2.7986111111111112</v>
      </c>
      <c r="F202" s="4">
        <f t="shared" si="16"/>
        <v>19.355555555555558</v>
      </c>
      <c r="G202" s="4">
        <f t="shared" si="16"/>
        <v>47.028055555555547</v>
      </c>
      <c r="H202" s="4">
        <f t="shared" si="16"/>
        <v>161.46666666666667</v>
      </c>
      <c r="I202" s="4">
        <f t="shared" si="16"/>
        <v>151.1</v>
      </c>
      <c r="J202" s="4">
        <f t="shared" si="16"/>
        <v>7.0863333333333332</v>
      </c>
      <c r="K202" s="4">
        <f t="shared" si="16"/>
        <v>70.139166666666668</v>
      </c>
      <c r="M202" s="7">
        <v>29748</v>
      </c>
      <c r="P202" s="4">
        <f>AVERAGE(P30:P31)</f>
        <v>187.96666666666667</v>
      </c>
      <c r="Q202" s="4">
        <f>AVERAGE(Q30:Q31)</f>
        <v>2.7283333333333335</v>
      </c>
      <c r="R202" s="4">
        <f>AVERAGE(R30:R31)</f>
        <v>20.551666666666666</v>
      </c>
      <c r="S202" s="4">
        <f>AVERAGE(S30:S31)</f>
        <v>28.285</v>
      </c>
      <c r="T202" s="4">
        <f>AVERAGE(T30:T31)</f>
        <v>159.21666666666667</v>
      </c>
      <c r="V202" s="4">
        <f>AVERAGE(V30:V31)</f>
        <v>7.3641666666666659</v>
      </c>
      <c r="W202" s="4">
        <f>AVERAGE(W30:W31)</f>
        <v>57.691666666666663</v>
      </c>
      <c r="AR202" s="2" t="s">
        <v>1</v>
      </c>
    </row>
    <row r="203" spans="1:44" x14ac:dyDescent="0.2">
      <c r="A203" s="7">
        <v>29784.285714285714</v>
      </c>
      <c r="B203" s="4">
        <f t="shared" ref="B203:K203" si="17">AVERAGE(B90:B96)</f>
        <v>332.34047619047618</v>
      </c>
      <c r="C203" s="4">
        <f t="shared" si="17"/>
        <v>329.5333333333333</v>
      </c>
      <c r="D203" s="4">
        <f t="shared" si="17"/>
        <v>195.30714285714288</v>
      </c>
      <c r="E203" s="4">
        <f t="shared" si="17"/>
        <v>2.119761904761905</v>
      </c>
      <c r="F203" s="4">
        <f t="shared" si="17"/>
        <v>20.09</v>
      </c>
      <c r="G203" s="4">
        <f t="shared" si="17"/>
        <v>42.623055555555553</v>
      </c>
      <c r="H203" s="4">
        <f t="shared" si="17"/>
        <v>158.66666666666669</v>
      </c>
      <c r="I203" s="4">
        <f t="shared" si="17"/>
        <v>151.6142857142857</v>
      </c>
      <c r="J203" s="4">
        <f t="shared" si="17"/>
        <v>9.7719047619047625</v>
      </c>
      <c r="K203" s="4">
        <f t="shared" si="17"/>
        <v>64.510714285714286</v>
      </c>
      <c r="M203" s="7">
        <v>29783</v>
      </c>
      <c r="N203" s="4">
        <f t="shared" ref="N203:W203" si="18">AVERAGE(N32:N36)</f>
        <v>337.34666666666664</v>
      </c>
      <c r="O203" s="4">
        <f t="shared" si="18"/>
        <v>326.53999999999996</v>
      </c>
      <c r="P203" s="4">
        <f t="shared" si="18"/>
        <v>195.10666666666665</v>
      </c>
      <c r="Q203" s="4">
        <f t="shared" si="18"/>
        <v>5.5693333333333328</v>
      </c>
      <c r="R203" s="4">
        <f t="shared" si="18"/>
        <v>24.45</v>
      </c>
      <c r="S203" s="4">
        <f t="shared" si="18"/>
        <v>46.916000000000004</v>
      </c>
      <c r="T203" s="4">
        <f t="shared" si="18"/>
        <v>151.12666666666669</v>
      </c>
      <c r="U203" s="4">
        <f t="shared" si="18"/>
        <v>148.75833333333333</v>
      </c>
      <c r="V203" s="4">
        <f t="shared" si="18"/>
        <v>10.701333333333334</v>
      </c>
      <c r="W203" s="4">
        <f t="shared" si="18"/>
        <v>42.483333333333334</v>
      </c>
      <c r="AR203" s="2" t="s">
        <v>1</v>
      </c>
    </row>
    <row r="204" spans="1:44" x14ac:dyDescent="0.2">
      <c r="A204" s="7">
        <v>29814.2</v>
      </c>
      <c r="B204" s="4">
        <f t="shared" ref="B204:K204" si="19">AVERAGE(B97:B101)</f>
        <v>334.01333333333332</v>
      </c>
      <c r="C204" s="4">
        <f t="shared" si="19"/>
        <v>338.64</v>
      </c>
      <c r="D204" s="4">
        <f t="shared" si="19"/>
        <v>188.48666666666665</v>
      </c>
      <c r="E204" s="4">
        <f t="shared" si="19"/>
        <v>1.3404166666666666</v>
      </c>
      <c r="F204" s="4">
        <f t="shared" si="19"/>
        <v>20.321999999999996</v>
      </c>
      <c r="G204" s="4">
        <f t="shared" si="19"/>
        <v>48.31583333333333</v>
      </c>
      <c r="H204" s="4">
        <f t="shared" si="19"/>
        <v>161.16</v>
      </c>
      <c r="I204" s="4">
        <f t="shared" si="19"/>
        <v>148.29333333333335</v>
      </c>
      <c r="J204" s="4">
        <f t="shared" si="19"/>
        <v>12.485666666666667</v>
      </c>
      <c r="K204" s="4">
        <f t="shared" si="19"/>
        <v>54.052</v>
      </c>
      <c r="M204" s="7">
        <v>29813</v>
      </c>
      <c r="N204" s="4">
        <f t="shared" ref="N204:W204" si="20">AVERAGE(N37:N39)</f>
        <v>335.2</v>
      </c>
      <c r="O204" s="4">
        <f t="shared" si="20"/>
        <v>328.18888888888887</v>
      </c>
      <c r="P204" s="4">
        <f t="shared" si="20"/>
        <v>194.82222222222219</v>
      </c>
      <c r="Q204" s="4">
        <f t="shared" si="20"/>
        <v>2.0555555555555558</v>
      </c>
      <c r="R204" s="4">
        <f t="shared" si="20"/>
        <v>30.599999999999998</v>
      </c>
      <c r="S204" s="4">
        <f t="shared" si="20"/>
        <v>21.322222222222223</v>
      </c>
      <c r="T204" s="4">
        <f t="shared" si="20"/>
        <v>142.71111111111111</v>
      </c>
      <c r="U204" s="4">
        <f t="shared" si="20"/>
        <v>148.32222222222222</v>
      </c>
      <c r="V204" s="4">
        <f t="shared" si="20"/>
        <v>4.8533333333333335</v>
      </c>
      <c r="W204" s="4">
        <f t="shared" si="20"/>
        <v>24.933333333333334</v>
      </c>
      <c r="AR204" s="2" t="s">
        <v>1</v>
      </c>
    </row>
    <row r="205" spans="1:44" x14ac:dyDescent="0.2">
      <c r="A205" s="7">
        <v>29842.857142857141</v>
      </c>
      <c r="B205" s="4">
        <f t="shared" ref="B205:K205" si="21">AVERAGE(B102:B108)</f>
        <v>335.07142857142856</v>
      </c>
      <c r="C205" s="4">
        <f t="shared" si="21"/>
        <v>344.39761904761906</v>
      </c>
      <c r="D205" s="4">
        <f t="shared" si="21"/>
        <v>201.73666666666668</v>
      </c>
      <c r="E205" s="4">
        <f t="shared" si="21"/>
        <v>1.3540476190476187</v>
      </c>
      <c r="F205" s="4">
        <f t="shared" si="21"/>
        <v>21.142619047619046</v>
      </c>
      <c r="G205" s="4">
        <f t="shared" si="21"/>
        <v>45.800714285714285</v>
      </c>
      <c r="H205" s="4">
        <f t="shared" si="21"/>
        <v>168.04285714285712</v>
      </c>
      <c r="I205" s="4">
        <f t="shared" si="21"/>
        <v>146.09444444444443</v>
      </c>
      <c r="J205" s="4">
        <f t="shared" si="21"/>
        <v>16.422619047619047</v>
      </c>
      <c r="K205" s="4">
        <f t="shared" si="21"/>
        <v>82.275238095238109</v>
      </c>
      <c r="M205" s="7">
        <v>29842.333333333332</v>
      </c>
      <c r="N205" s="4">
        <f t="shared" ref="N205:W205" si="22">AVERAGE(N40:N42)</f>
        <v>329.18888888888887</v>
      </c>
      <c r="O205" s="4">
        <f t="shared" si="22"/>
        <v>327.32777777777778</v>
      </c>
      <c r="P205" s="4">
        <f t="shared" si="22"/>
        <v>188.81666666666669</v>
      </c>
      <c r="Q205" s="4">
        <f t="shared" si="22"/>
        <v>2.1094444444444442</v>
      </c>
      <c r="R205" s="4">
        <f t="shared" si="22"/>
        <v>24.04111111111111</v>
      </c>
      <c r="S205" s="4">
        <f t="shared" si="22"/>
        <v>30.997777777777781</v>
      </c>
      <c r="T205" s="4">
        <f t="shared" si="22"/>
        <v>146.62222222222223</v>
      </c>
      <c r="U205" s="4">
        <f t="shared" si="22"/>
        <v>148.42222222222222</v>
      </c>
      <c r="V205" s="4">
        <f t="shared" si="22"/>
        <v>6.0872222222222225</v>
      </c>
      <c r="W205" s="4">
        <f t="shared" si="22"/>
        <v>31.98277777777778</v>
      </c>
      <c r="AR205" s="2" t="s">
        <v>1</v>
      </c>
    </row>
    <row r="206" spans="1:44" x14ac:dyDescent="0.2">
      <c r="A206" s="7">
        <v>29879.666666666668</v>
      </c>
      <c r="B206" s="4">
        <f t="shared" ref="B206:K206" si="23">AVERAGE(B109:B111)</f>
        <v>331.5333333333333</v>
      </c>
      <c r="C206" s="4">
        <f t="shared" si="23"/>
        <v>343.9444444444444</v>
      </c>
      <c r="D206" s="4">
        <f t="shared" si="23"/>
        <v>200.05555555555557</v>
      </c>
      <c r="E206" s="4">
        <f t="shared" si="23"/>
        <v>1.0444444444444445</v>
      </c>
      <c r="F206" s="4">
        <f t="shared" si="23"/>
        <v>21.06111111111111</v>
      </c>
      <c r="G206" s="4">
        <f t="shared" si="23"/>
        <v>38.786666666666669</v>
      </c>
      <c r="H206" s="4">
        <f t="shared" si="23"/>
        <v>171.74444444444444</v>
      </c>
      <c r="I206" s="4">
        <f t="shared" si="23"/>
        <v>154.5</v>
      </c>
      <c r="J206" s="4">
        <f t="shared" si="23"/>
        <v>46.358888888888885</v>
      </c>
      <c r="K206" s="4">
        <f t="shared" si="23"/>
        <v>107.24222222222221</v>
      </c>
      <c r="AR206" s="2" t="s">
        <v>1</v>
      </c>
    </row>
    <row r="207" spans="1:44" x14ac:dyDescent="0.2">
      <c r="A207" s="7">
        <v>29910</v>
      </c>
      <c r="B207" s="4">
        <f t="shared" ref="B207:G207" si="24">AVERAGE(B112)</f>
        <v>335.13333333333333</v>
      </c>
      <c r="C207" s="4">
        <f t="shared" si="24"/>
        <v>345</v>
      </c>
      <c r="D207" s="4">
        <f t="shared" si="24"/>
        <v>202.2</v>
      </c>
      <c r="E207" s="4">
        <f t="shared" si="24"/>
        <v>1.0433333333333332</v>
      </c>
      <c r="F207" s="4">
        <f t="shared" si="24"/>
        <v>20.963333333333335</v>
      </c>
      <c r="G207" s="4">
        <f t="shared" si="24"/>
        <v>35.626666666666665</v>
      </c>
      <c r="I207" s="4">
        <f>AVERAGE(I112)</f>
        <v>147.1</v>
      </c>
      <c r="J207" s="4">
        <f>AVERAGE(J112)</f>
        <v>31.17</v>
      </c>
      <c r="K207" s="4">
        <f>AVERAGE(K112)</f>
        <v>103.6</v>
      </c>
      <c r="AR207" s="2" t="s">
        <v>1</v>
      </c>
    </row>
    <row r="208" spans="1:44" x14ac:dyDescent="0.2">
      <c r="A208" s="7">
        <v>29938.833333333332</v>
      </c>
      <c r="B208" s="4">
        <f t="shared" ref="B208:K208" si="25">AVERAGE(B113:B118)</f>
        <v>335.23888888888888</v>
      </c>
      <c r="C208" s="4">
        <f t="shared" si="25"/>
        <v>347.56111111111107</v>
      </c>
      <c r="D208" s="4">
        <f t="shared" si="25"/>
        <v>200.57083333333333</v>
      </c>
      <c r="E208" s="4">
        <f t="shared" si="25"/>
        <v>1.0283333333333333</v>
      </c>
      <c r="F208" s="4">
        <f t="shared" si="25"/>
        <v>20.858333333333331</v>
      </c>
      <c r="G208" s="4">
        <f t="shared" si="25"/>
        <v>35.610666666666667</v>
      </c>
      <c r="H208" s="4">
        <f t="shared" si="25"/>
        <v>168.41666666666669</v>
      </c>
      <c r="I208" s="4">
        <f t="shared" si="25"/>
        <v>146.42500000000001</v>
      </c>
      <c r="J208" s="4">
        <f t="shared" si="25"/>
        <v>32.193888888888885</v>
      </c>
      <c r="K208" s="4">
        <f t="shared" si="25"/>
        <v>113.45888888888889</v>
      </c>
      <c r="M208" s="7">
        <v>29935.25</v>
      </c>
      <c r="N208" s="4">
        <f t="shared" ref="N208:W208" si="26">AVERAGE(N43:N46)</f>
        <v>331.17916666666667</v>
      </c>
      <c r="O208" s="4">
        <f t="shared" si="26"/>
        <v>338.11666666666667</v>
      </c>
      <c r="P208" s="4">
        <f t="shared" si="26"/>
        <v>191.48333333333332</v>
      </c>
      <c r="Q208" s="4">
        <f t="shared" si="26"/>
        <v>1.9266666666666667</v>
      </c>
      <c r="R208" s="4">
        <f t="shared" si="26"/>
        <v>22.909583333333334</v>
      </c>
      <c r="S208" s="4">
        <f t="shared" si="26"/>
        <v>32.113749999999996</v>
      </c>
      <c r="T208" s="4">
        <f t="shared" si="26"/>
        <v>152.07916666666668</v>
      </c>
      <c r="U208" s="4">
        <f t="shared" si="26"/>
        <v>149.47083333333333</v>
      </c>
      <c r="V208" s="4">
        <f t="shared" si="26"/>
        <v>9.4820833333333336</v>
      </c>
      <c r="W208" s="4">
        <f t="shared" si="26"/>
        <v>74.867916666666673</v>
      </c>
      <c r="AR208" s="2" t="s">
        <v>1</v>
      </c>
    </row>
    <row r="209" spans="1:44" x14ac:dyDescent="0.2">
      <c r="A209" s="7">
        <v>29963</v>
      </c>
      <c r="B209" s="4">
        <f t="shared" ref="B209:K209" si="27">AVERAGE(B119:B121)</f>
        <v>336.85</v>
      </c>
      <c r="C209" s="4">
        <f t="shared" si="27"/>
        <v>351.15555555555557</v>
      </c>
      <c r="D209" s="4">
        <f t="shared" si="27"/>
        <v>203.41666666666669</v>
      </c>
      <c r="E209" s="4">
        <f t="shared" si="27"/>
        <v>1.1155555555555556</v>
      </c>
      <c r="F209" s="4">
        <f t="shared" si="27"/>
        <v>22.346666666666668</v>
      </c>
      <c r="G209" s="4">
        <f t="shared" si="27"/>
        <v>42.035555555555554</v>
      </c>
      <c r="H209" s="4">
        <f t="shared" si="27"/>
        <v>168.62222222222223</v>
      </c>
      <c r="I209" s="4">
        <f t="shared" si="27"/>
        <v>153.1</v>
      </c>
      <c r="J209" s="4">
        <f t="shared" si="27"/>
        <v>33.835555555555551</v>
      </c>
      <c r="K209" s="4">
        <f t="shared" si="27"/>
        <v>115.89999999999999</v>
      </c>
      <c r="M209" s="7">
        <v>29962.5</v>
      </c>
      <c r="N209" s="4">
        <f t="shared" ref="N209:W209" si="28">AVERAGE(N47:N48)</f>
        <v>334.1</v>
      </c>
      <c r="O209" s="4">
        <f t="shared" si="28"/>
        <v>333.81666666666666</v>
      </c>
      <c r="P209" s="4">
        <f t="shared" si="28"/>
        <v>189.36666666666667</v>
      </c>
      <c r="Q209" s="4">
        <f t="shared" si="28"/>
        <v>2.2766666666666664</v>
      </c>
      <c r="R209" s="4">
        <f t="shared" si="28"/>
        <v>24.341666666666669</v>
      </c>
      <c r="S209" s="4">
        <f t="shared" si="28"/>
        <v>38.634999999999998</v>
      </c>
      <c r="T209" s="4">
        <f t="shared" si="28"/>
        <v>151.83333333333334</v>
      </c>
      <c r="U209" s="4">
        <f t="shared" si="28"/>
        <v>151.81666666666666</v>
      </c>
      <c r="V209" s="4">
        <f t="shared" si="28"/>
        <v>16.145</v>
      </c>
      <c r="W209" s="4">
        <f t="shared" si="28"/>
        <v>54.618333333333332</v>
      </c>
      <c r="AR209" s="2" t="s">
        <v>1</v>
      </c>
    </row>
    <row r="210" spans="1:44" x14ac:dyDescent="0.2">
      <c r="A210" s="7">
        <v>29995.5</v>
      </c>
      <c r="B210" s="4">
        <f t="shared" ref="B210:K210" si="29">AVERAGE(B122:B127)</f>
        <v>337.38944444444445</v>
      </c>
      <c r="C210" s="4">
        <f t="shared" si="29"/>
        <v>347.88944444444445</v>
      </c>
      <c r="D210" s="4">
        <f t="shared" si="29"/>
        <v>206.34366666666665</v>
      </c>
      <c r="E210" s="4">
        <f t="shared" si="29"/>
        <v>0.89390000000000003</v>
      </c>
      <c r="F210" s="4">
        <f t="shared" si="29"/>
        <v>21.692972222222224</v>
      </c>
      <c r="G210" s="4">
        <f t="shared" si="29"/>
        <v>39.640388888888886</v>
      </c>
      <c r="H210" s="4">
        <f t="shared" si="29"/>
        <v>172.20194444444448</v>
      </c>
      <c r="I210" s="4">
        <f t="shared" si="29"/>
        <v>153.77500000000001</v>
      </c>
      <c r="J210" s="4">
        <f t="shared" si="29"/>
        <v>16.681555555555551</v>
      </c>
      <c r="K210" s="4">
        <f t="shared" si="29"/>
        <v>112.49027777777779</v>
      </c>
      <c r="M210" s="7">
        <v>29994</v>
      </c>
      <c r="N210" s="4">
        <f t="shared" ref="N210:W210" si="30">AVERAGE(N49)</f>
        <v>331.03333333333336</v>
      </c>
      <c r="O210" s="4">
        <f t="shared" si="30"/>
        <v>329.83333333333331</v>
      </c>
      <c r="P210" s="4">
        <f t="shared" si="30"/>
        <v>190.56666666666666</v>
      </c>
      <c r="Q210" s="4">
        <f t="shared" si="30"/>
        <v>1.58</v>
      </c>
      <c r="R210" s="4">
        <f t="shared" si="30"/>
        <v>22.82</v>
      </c>
      <c r="S210" s="4">
        <f t="shared" si="30"/>
        <v>26.65</v>
      </c>
      <c r="T210" s="4">
        <f t="shared" si="30"/>
        <v>138.03333333333333</v>
      </c>
      <c r="U210" s="4">
        <f t="shared" si="30"/>
        <v>148.5</v>
      </c>
      <c r="V210" s="4">
        <f t="shared" si="30"/>
        <v>10.403333333333334</v>
      </c>
      <c r="W210" s="4">
        <f t="shared" si="30"/>
        <v>37.97</v>
      </c>
      <c r="AR210" s="2" t="s">
        <v>1</v>
      </c>
    </row>
    <row r="211" spans="1:44" x14ac:dyDescent="0.2">
      <c r="A211" s="7">
        <v>30031.727272727272</v>
      </c>
      <c r="B211" s="4">
        <f t="shared" ref="B211:K211" si="31">AVERAGE(B128:B138)</f>
        <v>336.55037037037033</v>
      </c>
      <c r="C211" s="4">
        <f t="shared" si="31"/>
        <v>349.05899999999997</v>
      </c>
      <c r="D211" s="4">
        <f t="shared" si="31"/>
        <v>204.72363636363636</v>
      </c>
      <c r="E211" s="4">
        <f t="shared" si="31"/>
        <v>1.1055555555555554</v>
      </c>
      <c r="F211" s="4">
        <f t="shared" si="31"/>
        <v>21.363393939393937</v>
      </c>
      <c r="G211" s="4">
        <f t="shared" si="31"/>
        <v>37.840515151515149</v>
      </c>
      <c r="H211" s="4">
        <f t="shared" si="31"/>
        <v>171.26878787878786</v>
      </c>
      <c r="I211" s="4">
        <f t="shared" si="31"/>
        <v>152.82833333333335</v>
      </c>
      <c r="J211" s="4">
        <f t="shared" si="31"/>
        <v>14.579962962962965</v>
      </c>
      <c r="K211" s="4">
        <f t="shared" si="31"/>
        <v>107.66793939393938</v>
      </c>
      <c r="M211" s="7">
        <v>30022.666666666668</v>
      </c>
      <c r="N211" s="4">
        <f t="shared" ref="N211:W211" si="32">AVERAGE(N50:N52)</f>
        <v>327.86666666666662</v>
      </c>
      <c r="O211" s="4">
        <f t="shared" si="32"/>
        <v>332.84444444444443</v>
      </c>
      <c r="P211" s="4">
        <f t="shared" si="32"/>
        <v>192.67777777777778</v>
      </c>
      <c r="Q211" s="4">
        <f t="shared" si="32"/>
        <v>1.391111111111111</v>
      </c>
      <c r="R211" s="4">
        <f t="shared" si="32"/>
        <v>22.695555555555554</v>
      </c>
      <c r="S211" s="4">
        <f t="shared" si="32"/>
        <v>30.937777777777779</v>
      </c>
      <c r="T211" s="4">
        <f t="shared" si="32"/>
        <v>150.52222222222224</v>
      </c>
      <c r="U211" s="4">
        <f t="shared" si="32"/>
        <v>154.35555555555553</v>
      </c>
      <c r="V211" s="4">
        <f t="shared" si="32"/>
        <v>18.815000000000001</v>
      </c>
      <c r="W211" s="4">
        <f t="shared" si="32"/>
        <v>57.418888888888887</v>
      </c>
      <c r="AR211" s="2" t="s">
        <v>1</v>
      </c>
    </row>
    <row r="212" spans="1:44" x14ac:dyDescent="0.2">
      <c r="A212" s="7">
        <v>30056.555555555555</v>
      </c>
      <c r="B212" s="4">
        <f t="shared" ref="B212:K212" si="33">AVERAGE(B139:B147)</f>
        <v>336.48750000000001</v>
      </c>
      <c r="C212" s="4">
        <f t="shared" si="33"/>
        <v>348.83703703703708</v>
      </c>
      <c r="D212" s="4">
        <f t="shared" si="33"/>
        <v>201.80185185185181</v>
      </c>
      <c r="E212" s="4">
        <f t="shared" si="33"/>
        <v>2.4957142857142856</v>
      </c>
      <c r="F212" s="4">
        <f t="shared" si="33"/>
        <v>22.42761904761905</v>
      </c>
      <c r="G212" s="4">
        <f t="shared" si="33"/>
        <v>42.776574074074077</v>
      </c>
      <c r="H212" s="4">
        <f t="shared" si="33"/>
        <v>176.46250000000001</v>
      </c>
      <c r="I212" s="4">
        <f t="shared" si="33"/>
        <v>147.90666666666667</v>
      </c>
      <c r="J212" s="4">
        <f t="shared" si="33"/>
        <v>12.433541666666667</v>
      </c>
      <c r="K212" s="4">
        <f t="shared" si="33"/>
        <v>71.620555555555541</v>
      </c>
      <c r="M212" s="7">
        <v>30051</v>
      </c>
      <c r="N212" s="4">
        <f t="shared" ref="N212:W212" si="34">AVERAGE(N53:N55)</f>
        <v>333.66666666666669</v>
      </c>
      <c r="O212" s="4">
        <f t="shared" si="34"/>
        <v>340.36666666666662</v>
      </c>
      <c r="P212" s="4">
        <f t="shared" si="34"/>
        <v>196.53333333333333</v>
      </c>
      <c r="Q212" s="4">
        <f t="shared" si="34"/>
        <v>1.7533333333333332</v>
      </c>
      <c r="R212" s="4">
        <f t="shared" si="34"/>
        <v>23.804444444444442</v>
      </c>
      <c r="S212" s="4">
        <f t="shared" si="34"/>
        <v>34.226666666666667</v>
      </c>
      <c r="T212" s="4">
        <f t="shared" si="34"/>
        <v>167.42222222222222</v>
      </c>
      <c r="U212" s="4">
        <f t="shared" si="34"/>
        <v>153.52222222222221</v>
      </c>
      <c r="V212" s="4">
        <f t="shared" si="34"/>
        <v>20.643333333333334</v>
      </c>
      <c r="W212" s="4">
        <f t="shared" si="34"/>
        <v>70.350000000000009</v>
      </c>
      <c r="AR212" s="2" t="s">
        <v>1</v>
      </c>
    </row>
    <row r="213" spans="1:44" x14ac:dyDescent="0.2">
      <c r="A213" s="7">
        <v>30085.428571428572</v>
      </c>
      <c r="B213" s="4">
        <f t="shared" ref="B213:K213" si="35">AVERAGE(B148:B154)</f>
        <v>333.54523809523806</v>
      </c>
      <c r="C213" s="4">
        <f t="shared" si="35"/>
        <v>355.25714285714281</v>
      </c>
      <c r="D213" s="4">
        <f t="shared" si="35"/>
        <v>200.50238095238095</v>
      </c>
      <c r="E213" s="4">
        <f t="shared" si="35"/>
        <v>0.92861111111111116</v>
      </c>
      <c r="F213" s="4">
        <f t="shared" si="35"/>
        <v>22.85</v>
      </c>
      <c r="G213" s="4">
        <f t="shared" si="35"/>
        <v>38.717142857142854</v>
      </c>
      <c r="H213" s="4">
        <f t="shared" si="35"/>
        <v>171.13055555555556</v>
      </c>
      <c r="I213" s="4">
        <f t="shared" si="35"/>
        <v>149.35238095238097</v>
      </c>
      <c r="J213" s="4">
        <f t="shared" si="35"/>
        <v>13.923611111111109</v>
      </c>
      <c r="K213" s="4">
        <f t="shared" si="35"/>
        <v>68.294047619047632</v>
      </c>
      <c r="M213" s="7">
        <v>30090.5</v>
      </c>
      <c r="N213" s="4">
        <f t="shared" ref="N213:W213" si="36">AVERAGE(N56:N59)</f>
        <v>339.18333333333334</v>
      </c>
      <c r="O213" s="4">
        <f t="shared" si="36"/>
        <v>348.44166666666666</v>
      </c>
      <c r="P213" s="4">
        <f t="shared" si="36"/>
        <v>197.98333333333335</v>
      </c>
      <c r="Q213" s="4">
        <f t="shared" si="36"/>
        <v>2.1241666666666665</v>
      </c>
      <c r="R213" s="4">
        <f t="shared" si="36"/>
        <v>24.841666666666665</v>
      </c>
      <c r="S213" s="4">
        <f t="shared" si="36"/>
        <v>33.024999999999999</v>
      </c>
      <c r="T213" s="4">
        <f t="shared" si="36"/>
        <v>157.40833333333333</v>
      </c>
      <c r="U213" s="4">
        <f t="shared" si="36"/>
        <v>153.04166666666669</v>
      </c>
      <c r="V213" s="4">
        <f t="shared" si="36"/>
        <v>4.5691666666666668</v>
      </c>
      <c r="W213" s="4">
        <f t="shared" si="36"/>
        <v>53.108333333333334</v>
      </c>
      <c r="Z213" s="7">
        <f t="shared" ref="Z213:AJ213" si="37">AVERAGE(Y14:Y15)</f>
        <v>30093.5</v>
      </c>
      <c r="AA213" s="4">
        <f t="shared" si="37"/>
        <v>339.15</v>
      </c>
      <c r="AB213" s="4">
        <f t="shared" si="37"/>
        <v>334.1</v>
      </c>
      <c r="AC213" s="4">
        <f t="shared" si="37"/>
        <v>183.25</v>
      </c>
      <c r="AD213" s="4">
        <f t="shared" si="37"/>
        <v>1.74</v>
      </c>
      <c r="AE213" s="4">
        <f t="shared" si="37"/>
        <v>20.350000000000001</v>
      </c>
      <c r="AF213" s="4">
        <f t="shared" si="37"/>
        <v>23.75</v>
      </c>
      <c r="AG213" s="4">
        <f t="shared" si="37"/>
        <v>126.8</v>
      </c>
      <c r="AH213" s="4">
        <f t="shared" si="37"/>
        <v>147.85000000000002</v>
      </c>
      <c r="AI213" s="4">
        <f t="shared" si="37"/>
        <v>9.39</v>
      </c>
      <c r="AJ213" s="4">
        <f t="shared" si="37"/>
        <v>14.66</v>
      </c>
      <c r="AK213" s="4"/>
      <c r="AR213" s="2" t="s">
        <v>1</v>
      </c>
    </row>
    <row r="214" spans="1:44" x14ac:dyDescent="0.2">
      <c r="A214" s="7">
        <v>30106.333333333332</v>
      </c>
      <c r="B214" s="4">
        <f t="shared" ref="B214:K214" si="38">AVERAGE(B155:B157)</f>
        <v>334.06666666666666</v>
      </c>
      <c r="C214" s="4">
        <f t="shared" si="38"/>
        <v>354.17777777777775</v>
      </c>
      <c r="D214" s="4">
        <f t="shared" si="38"/>
        <v>206.38333333333333</v>
      </c>
      <c r="E214" s="4">
        <f t="shared" si="38"/>
        <v>0.62333333333333329</v>
      </c>
      <c r="F214" s="4">
        <f t="shared" si="38"/>
        <v>22.326666666666668</v>
      </c>
      <c r="G214" s="4">
        <f t="shared" si="38"/>
        <v>32.31055555555556</v>
      </c>
      <c r="H214" s="4">
        <f t="shared" si="38"/>
        <v>175.9722222222222</v>
      </c>
      <c r="I214" s="4">
        <f t="shared" si="38"/>
        <v>153.26111111111109</v>
      </c>
      <c r="J214" s="4">
        <f t="shared" si="38"/>
        <v>9.5133333333333336</v>
      </c>
      <c r="K214" s="4">
        <f t="shared" si="38"/>
        <v>53.721666666666664</v>
      </c>
      <c r="Z214" s="7">
        <f t="shared" ref="Z214:AJ214" si="39">AVERAGE(Y16:Y18)</f>
        <v>30120.333333333332</v>
      </c>
      <c r="AA214" s="4">
        <f t="shared" si="39"/>
        <v>329.56666666666666</v>
      </c>
      <c r="AB214" s="4">
        <f t="shared" si="39"/>
        <v>322.16666666666669</v>
      </c>
      <c r="AC214" s="4">
        <f t="shared" si="39"/>
        <v>259.5</v>
      </c>
      <c r="AD214" s="4">
        <f t="shared" si="39"/>
        <v>3.5466666666666669</v>
      </c>
      <c r="AE214" s="4">
        <f t="shared" si="39"/>
        <v>20.416666666666668</v>
      </c>
      <c r="AF214" s="4">
        <f t="shared" si="39"/>
        <v>19.850000000000001</v>
      </c>
      <c r="AG214" s="4">
        <f t="shared" si="39"/>
        <v>123.26666666666667</v>
      </c>
      <c r="AH214" s="4">
        <f t="shared" si="39"/>
        <v>143.23333333333332</v>
      </c>
      <c r="AI214" s="4">
        <f t="shared" si="39"/>
        <v>7.25</v>
      </c>
      <c r="AJ214" s="4">
        <f t="shared" si="39"/>
        <v>13.846666666666666</v>
      </c>
      <c r="AK214" s="4"/>
      <c r="AR214" s="2" t="s">
        <v>1</v>
      </c>
    </row>
    <row r="215" spans="1:44" x14ac:dyDescent="0.2">
      <c r="A215" s="7">
        <v>30149.666666666668</v>
      </c>
      <c r="M215" s="7">
        <v>30149.666666666668</v>
      </c>
      <c r="Z215" s="7">
        <f t="shared" ref="Z215:AJ215" si="40">AVERAGE(Y19:Y21)</f>
        <v>30149.666666666668</v>
      </c>
      <c r="AA215" s="4">
        <f t="shared" si="40"/>
        <v>337.0333333333333</v>
      </c>
      <c r="AB215" s="4">
        <f t="shared" si="40"/>
        <v>332.8</v>
      </c>
      <c r="AC215" s="4">
        <f t="shared" si="40"/>
        <v>186.83333333333334</v>
      </c>
      <c r="AD215" s="4">
        <f t="shared" si="40"/>
        <v>1.1266666666666667</v>
      </c>
      <c r="AE215" s="4">
        <f t="shared" si="40"/>
        <v>19.87</v>
      </c>
      <c r="AF215" s="4">
        <f t="shared" si="40"/>
        <v>17.503333333333334</v>
      </c>
      <c r="AG215" s="4">
        <f t="shared" si="40"/>
        <v>135.43333333333334</v>
      </c>
      <c r="AH215" s="4">
        <f t="shared" si="40"/>
        <v>149.06666666666666</v>
      </c>
      <c r="AI215" s="4">
        <f t="shared" si="40"/>
        <v>92.185000000000002</v>
      </c>
      <c r="AJ215" s="4">
        <f t="shared" si="40"/>
        <v>21.146666666666668</v>
      </c>
      <c r="AK215" s="4"/>
      <c r="AR215" s="2" t="s">
        <v>1</v>
      </c>
    </row>
    <row r="216" spans="1:44" x14ac:dyDescent="0.2">
      <c r="A216" s="7">
        <v>30178.666666666668</v>
      </c>
      <c r="M216" s="7">
        <v>30178.666666666668</v>
      </c>
      <c r="Z216" s="7">
        <f t="shared" ref="Z216:AJ216" si="41">AVERAGE(Y22:Y24)</f>
        <v>30178.666666666668</v>
      </c>
      <c r="AA216" s="4">
        <f t="shared" si="41"/>
        <v>332.7</v>
      </c>
      <c r="AB216" s="4">
        <f t="shared" si="41"/>
        <v>330.56666666666666</v>
      </c>
      <c r="AC216" s="4">
        <f t="shared" si="41"/>
        <v>198.76666666666665</v>
      </c>
      <c r="AD216" s="4">
        <f t="shared" si="41"/>
        <v>2</v>
      </c>
      <c r="AE216" s="4">
        <f t="shared" si="41"/>
        <v>22.226666666666663</v>
      </c>
      <c r="AF216" s="4">
        <f t="shared" si="41"/>
        <v>26.87</v>
      </c>
      <c r="AG216" s="4">
        <f t="shared" si="41"/>
        <v>131.43333333333334</v>
      </c>
      <c r="AH216" s="4">
        <f t="shared" si="41"/>
        <v>149.13333333333333</v>
      </c>
      <c r="AI216" s="4">
        <f t="shared" si="41"/>
        <v>5.0999999999999996</v>
      </c>
      <c r="AJ216" s="4">
        <f t="shared" si="41"/>
        <v>43.300000000000004</v>
      </c>
      <c r="AK216" s="4"/>
      <c r="AR216" s="2" t="s">
        <v>1</v>
      </c>
    </row>
    <row r="217" spans="1:44" x14ac:dyDescent="0.2">
      <c r="AR217" s="2" t="s">
        <v>1</v>
      </c>
    </row>
    <row r="218" spans="1:44" x14ac:dyDescent="0.2">
      <c r="AR218" s="2" t="s">
        <v>1</v>
      </c>
    </row>
    <row r="219" spans="1:44" x14ac:dyDescent="0.2">
      <c r="AR219" s="2" t="s">
        <v>1</v>
      </c>
    </row>
    <row r="220" spans="1:44" x14ac:dyDescent="0.2">
      <c r="AR220" s="2" t="s">
        <v>1</v>
      </c>
    </row>
    <row r="221" spans="1:44" x14ac:dyDescent="0.2">
      <c r="AR221" s="2" t="s">
        <v>1</v>
      </c>
    </row>
    <row r="222" spans="1:44" x14ac:dyDescent="0.2">
      <c r="A222" s="2" t="s">
        <v>277</v>
      </c>
      <c r="AR222" s="2" t="s">
        <v>1</v>
      </c>
    </row>
    <row r="223" spans="1:44" x14ac:dyDescent="0.2">
      <c r="AR223" s="2" t="s">
        <v>1</v>
      </c>
    </row>
    <row r="224" spans="1:44" x14ac:dyDescent="0.2">
      <c r="A224" s="7">
        <v>28586.5</v>
      </c>
      <c r="D224" s="4">
        <v>13.717871555019022</v>
      </c>
      <c r="E224" s="4">
        <v>4.9391408665880343</v>
      </c>
      <c r="H224" s="4">
        <v>11.101576464628796</v>
      </c>
      <c r="K224" s="4">
        <v>10.210621920333747</v>
      </c>
      <c r="AR224" s="2" t="s">
        <v>1</v>
      </c>
    </row>
    <row r="225" spans="1:44" x14ac:dyDescent="0.2">
      <c r="A225" s="7">
        <v>28651</v>
      </c>
      <c r="D225" s="4">
        <v>2.545584412271571</v>
      </c>
      <c r="E225" s="4">
        <v>0.43840620433565947</v>
      </c>
      <c r="F225" s="4">
        <v>2.8213560569343246</v>
      </c>
      <c r="G225" s="4">
        <v>1.4778531726798843</v>
      </c>
      <c r="J225" s="4">
        <v>10.705596667164329</v>
      </c>
      <c r="K225" s="4">
        <v>30.334880912902889</v>
      </c>
      <c r="AR225" s="2" t="s">
        <v>1</v>
      </c>
    </row>
    <row r="226" spans="1:44" x14ac:dyDescent="0.2">
      <c r="A226" s="7">
        <v>28768</v>
      </c>
      <c r="AR226" s="2" t="s">
        <v>1</v>
      </c>
    </row>
    <row r="227" spans="1:44" x14ac:dyDescent="0.2">
      <c r="A227" s="7">
        <v>28806.5</v>
      </c>
      <c r="D227" s="4">
        <v>12.596602230566068</v>
      </c>
      <c r="E227" s="4">
        <v>1.1556145109677292</v>
      </c>
      <c r="F227" s="4">
        <v>0.10455078836115381</v>
      </c>
      <c r="G227" s="4">
        <v>3.8113055505954914</v>
      </c>
      <c r="H227" s="4">
        <v>3.9547472119219051</v>
      </c>
      <c r="J227" s="4">
        <v>11.322294795613454</v>
      </c>
      <c r="K227" s="4">
        <v>30.172246353229983</v>
      </c>
      <c r="AR227" s="2" t="s">
        <v>1</v>
      </c>
    </row>
    <row r="228" spans="1:44" x14ac:dyDescent="0.2">
      <c r="A228" s="7">
        <v>28839.5</v>
      </c>
      <c r="D228" s="4">
        <v>5.8386817075117783</v>
      </c>
      <c r="E228" s="4">
        <v>4.1416254326640638E-2</v>
      </c>
      <c r="F228" s="4">
        <v>2.6425590565485835</v>
      </c>
      <c r="G228" s="4">
        <v>18.452456531335233</v>
      </c>
      <c r="H228" s="4">
        <v>6.1720320472140076</v>
      </c>
      <c r="K228" s="4">
        <v>22.317300166791991</v>
      </c>
      <c r="AR228" s="2" t="s">
        <v>1</v>
      </c>
    </row>
    <row r="229" spans="1:44" x14ac:dyDescent="0.2">
      <c r="A229" s="7">
        <v>28869</v>
      </c>
      <c r="D229" s="4">
        <v>6.3993163697382549</v>
      </c>
      <c r="E229" s="4">
        <v>0.20682873349706515</v>
      </c>
      <c r="F229" s="4">
        <v>9.0156114601284809E-2</v>
      </c>
      <c r="G229" s="4">
        <v>3.7547370081005673</v>
      </c>
      <c r="H229" s="4">
        <v>6.8235804384501835</v>
      </c>
      <c r="J229" s="4">
        <v>3.4860364312496794</v>
      </c>
      <c r="K229" s="4">
        <v>22.691056608276309</v>
      </c>
      <c r="AR229" s="2" t="s">
        <v>1</v>
      </c>
    </row>
    <row r="230" spans="1:44" x14ac:dyDescent="0.2">
      <c r="A230" s="7">
        <v>28907</v>
      </c>
      <c r="D230" s="4">
        <v>0.98994949366116658</v>
      </c>
      <c r="E230" s="4">
        <v>2.5950818869546293</v>
      </c>
      <c r="F230" s="4">
        <v>0.43840620433565947</v>
      </c>
      <c r="G230" s="4">
        <v>8.6832712729708028</v>
      </c>
      <c r="H230" s="4">
        <v>7.8488852711706771</v>
      </c>
      <c r="J230" s="4">
        <v>21.729391385862606</v>
      </c>
      <c r="K230" s="4">
        <v>0.63639610306789274</v>
      </c>
      <c r="AR230" s="2" t="s">
        <v>1</v>
      </c>
    </row>
    <row r="231" spans="1:44" x14ac:dyDescent="0.2">
      <c r="A231" s="7">
        <v>28967.5</v>
      </c>
      <c r="D231" s="4">
        <v>10.889444430272832</v>
      </c>
      <c r="E231" s="4">
        <v>0.10606601717798213</v>
      </c>
      <c r="F231" s="4">
        <v>0.43133513652379402</v>
      </c>
      <c r="G231" s="4">
        <v>2.2415284963613558</v>
      </c>
      <c r="H231" s="4">
        <v>0.7778174593052023</v>
      </c>
      <c r="J231" s="4">
        <v>3.5921024484276614</v>
      </c>
      <c r="K231" s="4">
        <v>2.8567113959936519</v>
      </c>
      <c r="AR231" s="2" t="s">
        <v>1</v>
      </c>
    </row>
    <row r="232" spans="1:44" x14ac:dyDescent="0.2">
      <c r="A232" s="7">
        <v>28993</v>
      </c>
      <c r="AR232" s="2" t="s">
        <v>1</v>
      </c>
    </row>
    <row r="233" spans="1:44" x14ac:dyDescent="0.2">
      <c r="A233" s="7">
        <v>29048</v>
      </c>
      <c r="AR233" s="2" t="s">
        <v>1</v>
      </c>
    </row>
    <row r="234" spans="1:44" x14ac:dyDescent="0.2">
      <c r="A234" s="7">
        <v>29077</v>
      </c>
      <c r="D234" s="4">
        <v>4.3840620433565949</v>
      </c>
      <c r="E234" s="4">
        <v>0.70710678118654757</v>
      </c>
      <c r="F234" s="4">
        <v>0.96661496988201046</v>
      </c>
      <c r="G234" s="4">
        <v>32.40670378177947</v>
      </c>
      <c r="H234" s="4">
        <v>0.70710678118654757</v>
      </c>
      <c r="J234" s="4">
        <v>11.462200923033935</v>
      </c>
      <c r="K234" s="4">
        <v>18.25042602242479</v>
      </c>
      <c r="AR234" s="2" t="s">
        <v>1</v>
      </c>
    </row>
    <row r="235" spans="1:44" x14ac:dyDescent="0.2">
      <c r="A235" s="7">
        <v>29142.5</v>
      </c>
      <c r="D235" s="4">
        <v>0.8131727983645296</v>
      </c>
      <c r="E235" s="4">
        <v>0.72124891681027847</v>
      </c>
      <c r="G235" s="4">
        <v>0.43487067042972671</v>
      </c>
      <c r="H235" s="4">
        <v>2.439518395093589</v>
      </c>
      <c r="J235" s="4">
        <v>1.6086679271993956</v>
      </c>
      <c r="K235" s="4">
        <v>17.33118720688228</v>
      </c>
      <c r="AR235" s="2" t="s">
        <v>1</v>
      </c>
    </row>
    <row r="236" spans="1:44" x14ac:dyDescent="0.2">
      <c r="A236" s="7">
        <v>29172</v>
      </c>
      <c r="AR236" s="2" t="s">
        <v>1</v>
      </c>
    </row>
    <row r="237" spans="1:44" x14ac:dyDescent="0.2">
      <c r="A237" s="7">
        <v>29208</v>
      </c>
      <c r="AR237" s="2" t="s">
        <v>1</v>
      </c>
    </row>
    <row r="238" spans="1:44" x14ac:dyDescent="0.2">
      <c r="A238" s="7">
        <v>29241</v>
      </c>
      <c r="AR238" s="2" t="s">
        <v>1</v>
      </c>
    </row>
    <row r="239" spans="1:44" x14ac:dyDescent="0.2">
      <c r="A239" s="7">
        <v>29258.5</v>
      </c>
      <c r="D239" s="4">
        <v>0.35355339059327379</v>
      </c>
      <c r="E239" s="4">
        <v>2.4324473272817233</v>
      </c>
      <c r="F239" s="4">
        <v>0.60104076400856543</v>
      </c>
      <c r="G239" s="4">
        <v>1.2232947314527272</v>
      </c>
      <c r="H239" s="4">
        <v>3.8183766184073566</v>
      </c>
      <c r="J239" s="4">
        <v>11.716759364261092</v>
      </c>
      <c r="K239" s="4">
        <v>9.5035151391471988</v>
      </c>
      <c r="AR239" s="2" t="s">
        <v>1</v>
      </c>
    </row>
    <row r="240" spans="1:44" x14ac:dyDescent="0.2">
      <c r="A240" s="7">
        <v>29305</v>
      </c>
      <c r="AR240" s="2" t="s">
        <v>1</v>
      </c>
    </row>
    <row r="241" spans="1:44" x14ac:dyDescent="0.2">
      <c r="A241" s="7">
        <v>29331.666666666668</v>
      </c>
      <c r="B241" s="4">
        <v>3.8890872965260113</v>
      </c>
      <c r="C241" s="4">
        <v>8.7323154623120054</v>
      </c>
      <c r="D241" s="4">
        <v>8.885975216910948</v>
      </c>
      <c r="E241" s="4">
        <v>0.14833645439912505</v>
      </c>
      <c r="F241" s="4">
        <v>0.43957786989759129</v>
      </c>
      <c r="G241" s="4">
        <v>11.593015677553447</v>
      </c>
      <c r="H241" s="4">
        <v>5.40671735830463</v>
      </c>
      <c r="I241" s="4">
        <v>1.7677669529663689</v>
      </c>
      <c r="J241" s="4">
        <v>13.652820255387747</v>
      </c>
      <c r="K241" s="4">
        <v>19.315592027436548</v>
      </c>
      <c r="AR241" s="2" t="s">
        <v>1</v>
      </c>
    </row>
    <row r="242" spans="1:44" x14ac:dyDescent="0.2">
      <c r="A242" s="7">
        <v>29382</v>
      </c>
      <c r="AR242" s="2" t="s">
        <v>1</v>
      </c>
    </row>
    <row r="243" spans="1:44" x14ac:dyDescent="0.2">
      <c r="A243" s="7">
        <v>29421.5</v>
      </c>
      <c r="B243" s="4">
        <v>0.88388347648318444</v>
      </c>
      <c r="C243" s="4">
        <v>11.313303378471442</v>
      </c>
      <c r="D243" s="4">
        <v>6.477139286238434</v>
      </c>
      <c r="E243" s="4">
        <v>8.6059572390292521E-2</v>
      </c>
      <c r="F243" s="4">
        <v>0.33509637917072954</v>
      </c>
      <c r="G243" s="4">
        <v>13.613212638217819</v>
      </c>
      <c r="H243" s="4">
        <v>5.3674078163175443</v>
      </c>
      <c r="I243" s="4">
        <v>2.2810816147900832</v>
      </c>
      <c r="J243" s="4">
        <v>8.2920658614123415</v>
      </c>
      <c r="K243" s="4">
        <v>6.8956483862408957</v>
      </c>
      <c r="AR243" s="2" t="s">
        <v>1</v>
      </c>
    </row>
    <row r="244" spans="1:44" x14ac:dyDescent="0.2">
      <c r="A244" s="7">
        <v>29446</v>
      </c>
      <c r="AR244" s="2" t="s">
        <v>1</v>
      </c>
    </row>
    <row r="245" spans="1:44" x14ac:dyDescent="0.2">
      <c r="A245" s="7">
        <v>29474</v>
      </c>
      <c r="B245" s="4">
        <v>1.5556349186104046</v>
      </c>
      <c r="C245" s="4">
        <v>7.8488852711706771</v>
      </c>
      <c r="D245" s="4">
        <v>2.5102290732122436</v>
      </c>
      <c r="E245" s="4">
        <v>0.20506096654409878</v>
      </c>
      <c r="F245" s="4">
        <v>0.55861435713737251</v>
      </c>
      <c r="H245" s="4">
        <v>6.1518289963229638</v>
      </c>
      <c r="I245" s="4">
        <v>0.42426406871192851</v>
      </c>
      <c r="J245" s="4">
        <v>13.990107665775843</v>
      </c>
      <c r="K245" s="4">
        <v>10.111626970967629</v>
      </c>
      <c r="AR245" s="2" t="s">
        <v>1</v>
      </c>
    </row>
    <row r="246" spans="1:44" x14ac:dyDescent="0.2">
      <c r="A246" s="7">
        <v>29502</v>
      </c>
      <c r="D246" s="4">
        <v>5.9043416229076717</v>
      </c>
      <c r="E246" s="4">
        <v>0.16617009357883866</v>
      </c>
      <c r="F246" s="4">
        <v>1.6475588001646557</v>
      </c>
      <c r="H246" s="4">
        <v>11.207642481806777</v>
      </c>
      <c r="J246" s="4">
        <v>14.577006294160677</v>
      </c>
      <c r="K246" s="4">
        <v>16.949349545041546</v>
      </c>
      <c r="AR246" s="2" t="s">
        <v>1</v>
      </c>
    </row>
    <row r="247" spans="1:44" x14ac:dyDescent="0.2">
      <c r="A247" s="7">
        <v>29544</v>
      </c>
      <c r="D247" s="4">
        <v>4.277996026178613</v>
      </c>
      <c r="E247" s="4">
        <v>0.22980970388562794</v>
      </c>
      <c r="F247" s="4">
        <v>0.18384776310850234</v>
      </c>
      <c r="H247" s="4">
        <v>3.1112698372208092</v>
      </c>
      <c r="J247" s="4">
        <v>8.0362685681851129</v>
      </c>
      <c r="K247" s="4">
        <v>10.309616869699862</v>
      </c>
      <c r="AR247" s="2" t="s">
        <v>1</v>
      </c>
    </row>
    <row r="248" spans="1:44" x14ac:dyDescent="0.2">
      <c r="A248" s="7">
        <v>29575.5</v>
      </c>
      <c r="E248" s="4">
        <v>9.1923881554251172E-2</v>
      </c>
      <c r="F248" s="4">
        <v>1.1844038584874672</v>
      </c>
      <c r="G248" s="4">
        <v>24.727524138093568</v>
      </c>
      <c r="H248" s="4">
        <v>12.445079348883237</v>
      </c>
      <c r="J248" s="4">
        <v>13.597663402217309</v>
      </c>
      <c r="K248" s="4">
        <v>22.807729227172089</v>
      </c>
      <c r="AR248" s="2" t="s">
        <v>1</v>
      </c>
    </row>
    <row r="249" spans="1:44" x14ac:dyDescent="0.2">
      <c r="A249" s="7">
        <v>29601</v>
      </c>
      <c r="AR249" s="2" t="s">
        <v>1</v>
      </c>
    </row>
    <row r="250" spans="1:44" x14ac:dyDescent="0.2">
      <c r="A250" s="7">
        <v>29633.666666666668</v>
      </c>
      <c r="D250" s="4">
        <v>5.1735706560685273</v>
      </c>
      <c r="E250" s="4">
        <v>0.19035055380358978</v>
      </c>
      <c r="F250" s="4">
        <v>0.16350614440827371</v>
      </c>
      <c r="G250" s="4">
        <v>8.55508366303226</v>
      </c>
      <c r="H250" s="4">
        <v>8.4100689211955491</v>
      </c>
      <c r="J250" s="4">
        <v>7.378226977623644</v>
      </c>
      <c r="K250" s="4">
        <v>31.523508262059732</v>
      </c>
      <c r="M250" s="7">
        <v>29633.333333333332</v>
      </c>
      <c r="P250" s="4">
        <v>6.0180361630069372</v>
      </c>
      <c r="Q250" s="4">
        <v>1.3191706148603792</v>
      </c>
      <c r="R250" s="4">
        <v>1.8226311363683161</v>
      </c>
      <c r="S250" s="4">
        <v>1.9380304530726644</v>
      </c>
      <c r="T250" s="4">
        <v>4.4094595284834321</v>
      </c>
      <c r="V250" s="4">
        <v>1.8717975119990746</v>
      </c>
      <c r="W250" s="4">
        <v>9.5671465230021742</v>
      </c>
      <c r="AR250" s="2" t="s">
        <v>1</v>
      </c>
    </row>
    <row r="251" spans="1:44" x14ac:dyDescent="0.2">
      <c r="A251" s="7">
        <v>29657.5</v>
      </c>
      <c r="D251" s="4">
        <v>4.1449657104420945</v>
      </c>
      <c r="E251" s="4">
        <v>0.40509454118956884</v>
      </c>
      <c r="F251" s="4">
        <v>1.5476765740224208</v>
      </c>
      <c r="G251" s="4">
        <v>10.852559987566535</v>
      </c>
      <c r="H251" s="4">
        <v>10.492536084858774</v>
      </c>
      <c r="J251" s="4">
        <v>10.543802763689044</v>
      </c>
      <c r="K251" s="4">
        <v>38.319718428460668</v>
      </c>
      <c r="M251" s="7">
        <v>29662</v>
      </c>
      <c r="P251" s="4">
        <v>6.0175284085867133</v>
      </c>
      <c r="Q251" s="4">
        <v>1.3090719783283287</v>
      </c>
      <c r="R251" s="4">
        <v>0.5855647796026594</v>
      </c>
      <c r="S251" s="4">
        <v>4.908173549559204</v>
      </c>
      <c r="T251" s="4">
        <v>5.0150883452947381</v>
      </c>
      <c r="V251" s="4">
        <v>4.0670277617462629</v>
      </c>
      <c r="W251" s="4">
        <v>13.840719012312105</v>
      </c>
      <c r="AR251" s="2" t="s">
        <v>1</v>
      </c>
    </row>
    <row r="252" spans="1:44" x14ac:dyDescent="0.2">
      <c r="A252" s="7">
        <v>29690.166666666668</v>
      </c>
      <c r="D252" s="4">
        <v>6.4217944878705397</v>
      </c>
      <c r="E252" s="4">
        <v>0.89620620147126606</v>
      </c>
      <c r="F252" s="4">
        <v>0.76637071582496819</v>
      </c>
      <c r="G252" s="4">
        <v>22.335881322312858</v>
      </c>
      <c r="H252" s="4">
        <v>1.3777296138534909</v>
      </c>
      <c r="J252" s="4">
        <v>8.7450464973458395</v>
      </c>
      <c r="K252" s="4">
        <v>10.703562512685343</v>
      </c>
      <c r="M252" s="7">
        <v>29688.25</v>
      </c>
      <c r="P252" s="4">
        <v>12.019286199302384</v>
      </c>
      <c r="Q252" s="4">
        <v>1.1728387333493231</v>
      </c>
      <c r="R252" s="4">
        <v>2.0104787411257345</v>
      </c>
      <c r="S252" s="4">
        <v>14.871660969777384</v>
      </c>
      <c r="T252" s="4">
        <v>5.2256489938961082</v>
      </c>
      <c r="V252" s="4">
        <v>2.0629996027898576</v>
      </c>
      <c r="W252" s="4">
        <v>15.552872925925936</v>
      </c>
      <c r="AR252" s="2" t="s">
        <v>1</v>
      </c>
    </row>
    <row r="253" spans="1:44" x14ac:dyDescent="0.2">
      <c r="A253" s="7">
        <v>29722.333333333332</v>
      </c>
      <c r="D253" s="4">
        <v>3.3941193697771292</v>
      </c>
      <c r="E253" s="4">
        <v>2.0858172969597066</v>
      </c>
      <c r="F253" s="4">
        <v>0.58521830368074013</v>
      </c>
      <c r="G253" s="4">
        <v>21.256661491818932</v>
      </c>
      <c r="H253" s="4">
        <v>4.2677396654261672</v>
      </c>
      <c r="J253" s="4">
        <v>6.4372860913759471</v>
      </c>
      <c r="K253" s="4">
        <v>21.99558739628036</v>
      </c>
      <c r="M253" s="7">
        <v>29721</v>
      </c>
      <c r="P253" s="4">
        <v>5.0464908049499551</v>
      </c>
      <c r="Q253" s="4">
        <v>1.7135457066821675</v>
      </c>
      <c r="R253" s="4">
        <v>0.86418683679450292</v>
      </c>
      <c r="S253" s="4">
        <v>6.6520179060358986</v>
      </c>
      <c r="T253" s="4">
        <v>5.8987098401072231</v>
      </c>
      <c r="V253" s="4">
        <v>3.1060127992748612</v>
      </c>
      <c r="W253" s="4">
        <v>20.849518113269561</v>
      </c>
      <c r="AR253" s="2" t="s">
        <v>1</v>
      </c>
    </row>
    <row r="254" spans="1:44" x14ac:dyDescent="0.2">
      <c r="A254" s="7">
        <v>29753.166666666668</v>
      </c>
      <c r="B254" s="4">
        <v>2.9632939629930592</v>
      </c>
      <c r="C254" s="4">
        <v>3.2630932836463282</v>
      </c>
      <c r="D254" s="4">
        <v>3.0598066387709317</v>
      </c>
      <c r="E254" s="4">
        <v>2.6276483818270888</v>
      </c>
      <c r="F254" s="4">
        <v>0.54453922077565997</v>
      </c>
      <c r="G254" s="4">
        <v>22.710856347097934</v>
      </c>
      <c r="H254" s="4">
        <v>2.4701776814184395</v>
      </c>
      <c r="I254" s="4">
        <v>3.8431757701151272</v>
      </c>
      <c r="J254" s="4">
        <v>3.2719838528533929</v>
      </c>
      <c r="K254" s="4">
        <v>10.562652957472379</v>
      </c>
      <c r="M254" s="7">
        <v>29748</v>
      </c>
      <c r="P254" s="4">
        <v>5.8454160578087926</v>
      </c>
      <c r="Q254" s="4">
        <v>0.20034692133618848</v>
      </c>
      <c r="R254" s="4">
        <v>0.21448905695991941</v>
      </c>
      <c r="S254" s="4">
        <v>2.943921232339993</v>
      </c>
      <c r="T254" s="4">
        <v>3.8890872965260113</v>
      </c>
      <c r="V254" s="4">
        <v>4.0293301414613429</v>
      </c>
      <c r="W254" s="4">
        <v>5.2538033842160479</v>
      </c>
      <c r="AR254" s="2" t="s">
        <v>1</v>
      </c>
    </row>
    <row r="255" spans="1:44" x14ac:dyDescent="0.2">
      <c r="A255" s="7">
        <v>29784.285714285714</v>
      </c>
      <c r="B255" s="4">
        <v>4.0934439129885574</v>
      </c>
      <c r="C255" s="4">
        <v>4.0006943841732721</v>
      </c>
      <c r="D255" s="4">
        <v>6.3938762452172497</v>
      </c>
      <c r="E255" s="4">
        <v>1.547860658795752</v>
      </c>
      <c r="F255" s="4">
        <v>0.56513190856124385</v>
      </c>
      <c r="G255" s="4">
        <v>12.814158767059483</v>
      </c>
      <c r="H255" s="4">
        <v>6.0452001161619489</v>
      </c>
      <c r="I255" s="4">
        <v>3.6404546492038672</v>
      </c>
      <c r="J255" s="4">
        <v>4.5454352793001993</v>
      </c>
      <c r="K255" s="4">
        <v>11.249084730551738</v>
      </c>
      <c r="M255" s="7">
        <v>29783</v>
      </c>
      <c r="N255" s="4">
        <v>10.552635268553116</v>
      </c>
      <c r="O255" s="4">
        <v>4.3588607074173256</v>
      </c>
      <c r="P255" s="4">
        <v>4.2251495700020953</v>
      </c>
      <c r="Q255" s="4">
        <v>3.2451325944490397</v>
      </c>
      <c r="R255" s="4">
        <v>2.5357926659024086</v>
      </c>
      <c r="S255" s="4">
        <v>21.288204271640929</v>
      </c>
      <c r="T255" s="4">
        <v>6.9585039899232495</v>
      </c>
      <c r="U255" s="4">
        <v>2.068167018114063</v>
      </c>
      <c r="V255" s="4">
        <v>5.9830764104541849</v>
      </c>
      <c r="W255" s="4">
        <v>7.8461869720266035</v>
      </c>
      <c r="AR255" s="2" t="s">
        <v>1</v>
      </c>
    </row>
    <row r="256" spans="1:44" x14ac:dyDescent="0.2">
      <c r="A256" s="7">
        <v>29814.2</v>
      </c>
      <c r="B256" s="4">
        <v>4.756843024060764</v>
      </c>
      <c r="C256" s="4">
        <v>4.9266508795416879</v>
      </c>
      <c r="D256" s="4">
        <v>7.3684613198565563</v>
      </c>
      <c r="E256" s="4">
        <v>0.65125857497731376</v>
      </c>
      <c r="F256" s="4">
        <v>1.2987913184530027</v>
      </c>
      <c r="G256" s="4">
        <v>23.655127918737872</v>
      </c>
      <c r="H256" s="4">
        <v>4.8982649989562628</v>
      </c>
      <c r="I256" s="4">
        <v>4.8115832460151129</v>
      </c>
      <c r="J256" s="4">
        <v>8.6322824006426266</v>
      </c>
      <c r="K256" s="4">
        <v>4.8855180550957611</v>
      </c>
      <c r="M256" s="7">
        <v>29813</v>
      </c>
      <c r="N256" s="4">
        <v>5.5949381885176654</v>
      </c>
      <c r="O256" s="4">
        <v>5.2409004032739483</v>
      </c>
      <c r="P256" s="4">
        <v>2.7733520298515084</v>
      </c>
      <c r="Q256" s="4">
        <v>0.19385943743207726</v>
      </c>
      <c r="R256" s="4">
        <v>2.1433411093689942</v>
      </c>
      <c r="S256" s="4">
        <v>2.3730297870802994</v>
      </c>
      <c r="T256" s="4">
        <v>6.5098500864573028</v>
      </c>
      <c r="U256" s="4">
        <v>1.464139236447034</v>
      </c>
      <c r="V256" s="4">
        <v>2.8136709907955559</v>
      </c>
      <c r="W256" s="4">
        <v>5.6676009033805475</v>
      </c>
      <c r="AR256" s="2" t="s">
        <v>1</v>
      </c>
    </row>
    <row r="257" spans="1:44" x14ac:dyDescent="0.2">
      <c r="A257" s="7">
        <v>29842.857142857141</v>
      </c>
      <c r="B257" s="4">
        <v>3.8428591097731046</v>
      </c>
      <c r="C257" s="4">
        <v>3.8978439977361625</v>
      </c>
      <c r="D257" s="4">
        <v>7.5824434154267282</v>
      </c>
      <c r="E257" s="4">
        <v>0.61940821304817584</v>
      </c>
      <c r="F257" s="4">
        <v>1.8960128381790253</v>
      </c>
      <c r="G257" s="4">
        <v>13.94002888889691</v>
      </c>
      <c r="H257" s="4">
        <v>5.749773402482413</v>
      </c>
      <c r="I257" s="4">
        <v>4.7132633972494951</v>
      </c>
      <c r="J257" s="4">
        <v>11.365462458904252</v>
      </c>
      <c r="K257" s="4">
        <v>34.240822985584892</v>
      </c>
      <c r="M257" s="7">
        <v>29842.333333333332</v>
      </c>
      <c r="N257" s="4">
        <v>1.761417779117888</v>
      </c>
      <c r="O257" s="4">
        <v>0.69208488025782033</v>
      </c>
      <c r="P257" s="4">
        <v>2.7407926671757652</v>
      </c>
      <c r="Q257" s="4">
        <v>0.8906962528352832</v>
      </c>
      <c r="R257" s="4">
        <v>1.5027764428008037</v>
      </c>
      <c r="S257" s="4">
        <v>4.9481650171590923</v>
      </c>
      <c r="T257" s="4">
        <v>5.4904293834649049</v>
      </c>
      <c r="U257" s="4">
        <v>1.4530937621094797</v>
      </c>
      <c r="V257" s="4">
        <v>1.3624531932157169</v>
      </c>
      <c r="W257" s="4">
        <v>3.2582477965470495</v>
      </c>
      <c r="AR257" s="2" t="s">
        <v>1</v>
      </c>
    </row>
    <row r="258" spans="1:44" x14ac:dyDescent="0.2">
      <c r="A258" s="7">
        <v>29879.666666666668</v>
      </c>
      <c r="B258" s="4">
        <v>7.5896127847356105</v>
      </c>
      <c r="C258" s="4">
        <v>6.5117273125179764</v>
      </c>
      <c r="D258" s="4">
        <v>4.1054615836486423</v>
      </c>
      <c r="E258" s="4">
        <v>0.2883156706215011</v>
      </c>
      <c r="F258" s="4">
        <v>0.66641106211084444</v>
      </c>
      <c r="G258" s="4">
        <v>6.071217157850457</v>
      </c>
      <c r="H258" s="4">
        <v>11.912660554279277</v>
      </c>
      <c r="J258" s="4">
        <v>13.67493097010135</v>
      </c>
      <c r="K258" s="4">
        <v>10.353056625049506</v>
      </c>
      <c r="AR258" s="2" t="s">
        <v>1</v>
      </c>
    </row>
    <row r="259" spans="1:44" x14ac:dyDescent="0.2">
      <c r="A259" s="7">
        <v>29910</v>
      </c>
      <c r="AR259" s="2" t="s">
        <v>1</v>
      </c>
    </row>
    <row r="260" spans="1:44" x14ac:dyDescent="0.2">
      <c r="A260" s="7">
        <v>29938.833333333332</v>
      </c>
      <c r="B260" s="4">
        <v>2.666784719609129</v>
      </c>
      <c r="C260" s="4">
        <v>2.9885274461340146</v>
      </c>
      <c r="D260" s="4">
        <v>2.3218915899661541</v>
      </c>
      <c r="E260" s="4">
        <v>0.15490140233207847</v>
      </c>
      <c r="F260" s="4">
        <v>1.255669365539972</v>
      </c>
      <c r="G260" s="4">
        <v>5.1625873143006284</v>
      </c>
      <c r="H260" s="4">
        <v>3.7541088600802897</v>
      </c>
      <c r="I260" s="4">
        <v>5.8336309447890171</v>
      </c>
      <c r="J260" s="4">
        <v>7.8300862537229268</v>
      </c>
      <c r="K260" s="4">
        <v>9.8022924000611358</v>
      </c>
      <c r="M260" s="7">
        <v>29935.25</v>
      </c>
      <c r="N260" s="4">
        <v>4.6328412008823046</v>
      </c>
      <c r="O260" s="4">
        <v>1.4607202688070375</v>
      </c>
      <c r="P260" s="4">
        <v>4.0468094428409485</v>
      </c>
      <c r="Q260" s="4">
        <v>0.21185249935150985</v>
      </c>
      <c r="R260" s="4">
        <v>0.68327150804325487</v>
      </c>
      <c r="S260" s="4">
        <v>2.2500544746492004</v>
      </c>
      <c r="T260" s="4">
        <v>7.6399458864672694</v>
      </c>
      <c r="U260" s="4">
        <v>1.2302043642329423</v>
      </c>
      <c r="V260" s="4">
        <v>5.6585666577650535</v>
      </c>
      <c r="W260" s="4">
        <v>37.08628051646992</v>
      </c>
      <c r="AR260" s="2" t="s">
        <v>1</v>
      </c>
    </row>
    <row r="261" spans="1:44" x14ac:dyDescent="0.2">
      <c r="A261" s="7">
        <v>29963</v>
      </c>
      <c r="B261" s="4">
        <v>0.63639610306789274</v>
      </c>
      <c r="C261" s="4">
        <v>1.8631912090500753</v>
      </c>
      <c r="D261" s="4">
        <v>5.8218458317692416</v>
      </c>
      <c r="E261" s="4">
        <v>0.47312593265234165</v>
      </c>
      <c r="F261" s="4">
        <v>0.78658191633873142</v>
      </c>
      <c r="G261" s="4">
        <v>2.6313290544119701</v>
      </c>
      <c r="H261" s="4">
        <v>10.498800636968721</v>
      </c>
      <c r="J261" s="4">
        <v>3.57935024105607</v>
      </c>
      <c r="K261" s="4">
        <v>14.885960201179872</v>
      </c>
      <c r="M261" s="7">
        <v>29962.5</v>
      </c>
      <c r="N261" s="4">
        <v>2.2627416997969521</v>
      </c>
      <c r="O261" s="4">
        <v>2.5691546383111228</v>
      </c>
      <c r="P261" s="4">
        <v>5.9868374140461027</v>
      </c>
      <c r="Q261" s="4">
        <v>0.41483597829610785</v>
      </c>
      <c r="R261" s="4">
        <v>1.1148716916707899</v>
      </c>
      <c r="S261" s="4">
        <v>4.6174072811481555</v>
      </c>
      <c r="T261" s="4">
        <v>15.509208734024943</v>
      </c>
      <c r="U261" s="4">
        <v>1.8149074050454719</v>
      </c>
      <c r="V261" s="4">
        <v>6.130615792887367</v>
      </c>
      <c r="W261" s="4">
        <v>25.840038807160401</v>
      </c>
      <c r="AR261" s="2" t="s">
        <v>1</v>
      </c>
    </row>
    <row r="262" spans="1:44" x14ac:dyDescent="0.2">
      <c r="A262" s="7">
        <v>29995.5</v>
      </c>
      <c r="B262" s="4">
        <v>2.0894341782370618</v>
      </c>
      <c r="C262" s="4">
        <v>6.9076287671809045</v>
      </c>
      <c r="D262" s="4">
        <v>2.9115775601705836</v>
      </c>
      <c r="E262" s="4">
        <v>0.29909831159670563</v>
      </c>
      <c r="F262" s="4">
        <v>0.72564247713983066</v>
      </c>
      <c r="G262" s="4">
        <v>4.3527373273310141</v>
      </c>
      <c r="H262" s="4">
        <v>9.657918479250684</v>
      </c>
      <c r="I262" s="4">
        <v>6.1871843353822911</v>
      </c>
      <c r="J262" s="4">
        <v>8.093842176938292</v>
      </c>
      <c r="K262" s="4">
        <v>16.272227888736165</v>
      </c>
      <c r="M262" s="7">
        <v>29994</v>
      </c>
      <c r="AR262" s="2" t="s">
        <v>1</v>
      </c>
    </row>
    <row r="263" spans="1:44" x14ac:dyDescent="0.2">
      <c r="A263" s="7">
        <v>30031.727272727272</v>
      </c>
      <c r="B263" s="4">
        <v>3.8822031418471523</v>
      </c>
      <c r="C263" s="4">
        <v>4.0791726497137679</v>
      </c>
      <c r="D263" s="4">
        <v>3.3678689122501502</v>
      </c>
      <c r="E263" s="4">
        <v>0.36482999592402748</v>
      </c>
      <c r="F263" s="4">
        <v>0.69632072460551653</v>
      </c>
      <c r="G263" s="4">
        <v>4.1581742771548091</v>
      </c>
      <c r="H263" s="4">
        <v>4.4470502764884685</v>
      </c>
      <c r="I263" s="4">
        <v>3.4246748967089049</v>
      </c>
      <c r="J263" s="4">
        <v>6.8357187634034275</v>
      </c>
      <c r="K263" s="4">
        <v>13.644411437832286</v>
      </c>
      <c r="M263" s="7">
        <v>30022.666666666668</v>
      </c>
      <c r="N263" s="4">
        <v>1.5567059238447489</v>
      </c>
      <c r="O263" s="4">
        <v>3.0957557564678297</v>
      </c>
      <c r="P263" s="4">
        <v>2.5656563668177763</v>
      </c>
      <c r="Q263" s="4">
        <v>0.17994855231838205</v>
      </c>
      <c r="R263" s="4">
        <v>1.082211384841927</v>
      </c>
      <c r="S263" s="4">
        <v>1.3395950189571528</v>
      </c>
      <c r="T263" s="4">
        <v>11.004308920364551</v>
      </c>
      <c r="U263" s="4">
        <v>5.592687023975877</v>
      </c>
      <c r="V263" s="4">
        <v>17.113924885893358</v>
      </c>
      <c r="W263" s="4">
        <v>12.798969287204919</v>
      </c>
      <c r="AR263" s="2" t="s">
        <v>1</v>
      </c>
    </row>
    <row r="264" spans="1:44" x14ac:dyDescent="0.2">
      <c r="A264" s="7">
        <v>30056.555555555555</v>
      </c>
      <c r="B264" s="4">
        <v>3.3347229246411141</v>
      </c>
      <c r="C264" s="4">
        <v>2.4537071977613136</v>
      </c>
      <c r="D264" s="4">
        <v>1.8123887790481801</v>
      </c>
      <c r="E264" s="4">
        <v>2.356235002338134</v>
      </c>
      <c r="F264" s="4">
        <v>1.3206437323233196</v>
      </c>
      <c r="G264" s="4">
        <v>6.5218696520028709</v>
      </c>
      <c r="H264" s="4">
        <v>6.9850449658254297</v>
      </c>
      <c r="I264" s="4">
        <v>4.0764499806135781</v>
      </c>
      <c r="J264" s="4">
        <v>10.572008880803764</v>
      </c>
      <c r="K264" s="4">
        <v>11.038470292068956</v>
      </c>
      <c r="M264" s="7">
        <v>30051</v>
      </c>
      <c r="N264" s="4">
        <v>1.3345827479445069</v>
      </c>
      <c r="O264" s="4">
        <v>4.0801688418223305</v>
      </c>
      <c r="P264" s="4">
        <v>1.1200198410940962</v>
      </c>
      <c r="Q264" s="4">
        <v>0.58669507506975982</v>
      </c>
      <c r="R264" s="4">
        <v>1.1021410140335106</v>
      </c>
      <c r="S264" s="4">
        <v>1.7106561444207438</v>
      </c>
      <c r="T264" s="4">
        <v>15.22951568987498</v>
      </c>
      <c r="U264" s="4">
        <v>1.9667608263711549</v>
      </c>
      <c r="V264" s="4">
        <v>16.082938164402673</v>
      </c>
      <c r="W264" s="4">
        <v>8.5044485091300572</v>
      </c>
      <c r="AR264" s="2" t="s">
        <v>1</v>
      </c>
    </row>
    <row r="265" spans="1:44" x14ac:dyDescent="0.2">
      <c r="A265" s="7">
        <v>30085.428571428572</v>
      </c>
      <c r="B265" s="4">
        <v>5.5200033068773164</v>
      </c>
      <c r="C265" s="4">
        <v>10.21463572863874</v>
      </c>
      <c r="D265" s="4">
        <v>8.9705507313252753</v>
      </c>
      <c r="E265" s="4">
        <v>0.24043113282108378</v>
      </c>
      <c r="F265" s="4">
        <v>1.5538464817635265</v>
      </c>
      <c r="G265" s="4">
        <v>8.3709788419567026</v>
      </c>
      <c r="H265" s="4">
        <v>8.897617762741433</v>
      </c>
      <c r="I265" s="4">
        <v>4.5628880207547375</v>
      </c>
      <c r="J265" s="4">
        <v>6.8497823498809609</v>
      </c>
      <c r="K265" s="4">
        <v>7.0915027306513796</v>
      </c>
      <c r="M265" s="7">
        <v>30090.5</v>
      </c>
      <c r="N265" s="4">
        <v>2.080865204668481</v>
      </c>
      <c r="O265" s="4">
        <v>4.8198951118140414</v>
      </c>
      <c r="P265" s="4">
        <v>3.6379175972586908</v>
      </c>
      <c r="Q265" s="4">
        <v>0.72869937407533003</v>
      </c>
      <c r="R265" s="4">
        <v>0.99583019525307515</v>
      </c>
      <c r="S265" s="4">
        <v>4.0140212588707929</v>
      </c>
      <c r="T265" s="4">
        <v>2.4703238654071251</v>
      </c>
      <c r="U265" s="4">
        <v>2.95489236502599</v>
      </c>
      <c r="V265" s="4">
        <v>3.284682041097907</v>
      </c>
      <c r="W265" s="4">
        <v>5.5560287576249596</v>
      </c>
      <c r="Z265" s="7">
        <v>7.7781745930520225</v>
      </c>
      <c r="AA265" s="4">
        <v>3.747665940288702</v>
      </c>
      <c r="AB265" s="4">
        <v>1.131370849898476</v>
      </c>
      <c r="AC265" s="4">
        <v>0.63639610306789274</v>
      </c>
      <c r="AD265" s="4">
        <v>1.4142135623730951E-2</v>
      </c>
      <c r="AE265" s="4">
        <v>0.86267027304758803</v>
      </c>
      <c r="AF265" s="4">
        <v>0.69296464556281656</v>
      </c>
      <c r="AG265" s="4">
        <v>1.9798989873223332</v>
      </c>
      <c r="AH265" s="4">
        <v>3.4648232278140827</v>
      </c>
      <c r="AI265" s="4">
        <v>1.5414927829866736</v>
      </c>
      <c r="AJ265" s="4">
        <v>0.5374011537017761</v>
      </c>
      <c r="AK265" s="4"/>
      <c r="AR265" s="2" t="s">
        <v>1</v>
      </c>
    </row>
    <row r="266" spans="1:44" x14ac:dyDescent="0.2">
      <c r="A266" s="7">
        <v>30106.333333333332</v>
      </c>
      <c r="B266" s="4">
        <v>2.7341462205879838</v>
      </c>
      <c r="C266" s="4">
        <v>15.7303787244559</v>
      </c>
      <c r="D266" s="4">
        <v>13.960848032185501</v>
      </c>
      <c r="E266" s="4">
        <v>0.11785113019775792</v>
      </c>
      <c r="F266" s="4">
        <v>1.3770298148954914</v>
      </c>
      <c r="G266" s="4">
        <v>1.8514831392196947</v>
      </c>
      <c r="H266" s="4">
        <v>3.6003214877028431</v>
      </c>
      <c r="I266" s="4">
        <v>3.3321803561520986</v>
      </c>
      <c r="J266" s="4">
        <v>2.686360611186319</v>
      </c>
      <c r="K266" s="4">
        <v>3.1775554020871661</v>
      </c>
      <c r="Z266" s="7">
        <v>11.930353445448853</v>
      </c>
      <c r="AA266" s="4">
        <v>2.8867513459481287</v>
      </c>
      <c r="AB266" s="4">
        <v>7.5698965206489666</v>
      </c>
      <c r="AD266" s="4">
        <v>3.6250011494251053</v>
      </c>
      <c r="AE266" s="4">
        <v>1.345523442134448</v>
      </c>
      <c r="AF266" s="4">
        <v>3.2359388127713418</v>
      </c>
      <c r="AG266" s="4">
        <v>6.1002732179250243</v>
      </c>
      <c r="AH266" s="4">
        <v>4.7500877184882944</v>
      </c>
      <c r="AI266" s="4">
        <v>2.9415642097360375</v>
      </c>
      <c r="AJ266" s="4">
        <v>5.3988177718212835</v>
      </c>
      <c r="AK266" s="4"/>
      <c r="AR266" s="2" t="s">
        <v>1</v>
      </c>
    </row>
    <row r="267" spans="1:44" x14ac:dyDescent="0.2">
      <c r="A267" s="7">
        <v>30149.666666666668</v>
      </c>
      <c r="M267" s="7">
        <v>30149.666666666668</v>
      </c>
      <c r="Z267" s="7">
        <v>8.0208062770106423</v>
      </c>
      <c r="AA267" s="4">
        <v>6.7099428710931166</v>
      </c>
      <c r="AB267" s="4">
        <v>7.8255990186055406</v>
      </c>
      <c r="AC267" s="4">
        <v>8.5582319046245363</v>
      </c>
      <c r="AD267" s="4">
        <v>0.36828431046317101</v>
      </c>
      <c r="AE267" s="4">
        <v>0.3843175770115127</v>
      </c>
      <c r="AF267" s="4">
        <v>0.91139087845629296</v>
      </c>
      <c r="AG267" s="4">
        <v>14.641152049389191</v>
      </c>
      <c r="AH267" s="4">
        <v>2.8112867753634339</v>
      </c>
      <c r="AI267" s="4">
        <v>9.9065660044235315</v>
      </c>
      <c r="AJ267" s="4">
        <v>3.0728217216970681</v>
      </c>
      <c r="AK267" s="4"/>
      <c r="AR267" s="2" t="s">
        <v>1</v>
      </c>
    </row>
    <row r="268" spans="1:44" x14ac:dyDescent="0.2">
      <c r="A268" s="7">
        <v>30178.666666666668</v>
      </c>
      <c r="M268" s="7">
        <v>30178.666666666668</v>
      </c>
      <c r="Z268" s="7">
        <v>9.5043849529221678</v>
      </c>
      <c r="AA268" s="4">
        <v>4.6357307945997039</v>
      </c>
      <c r="AB268" s="4">
        <v>10.408329997330664</v>
      </c>
      <c r="AC268" s="4">
        <v>19.039257688611006</v>
      </c>
      <c r="AD268" s="4">
        <v>1.1663189958154674</v>
      </c>
      <c r="AE268" s="4">
        <v>3.0228683949741071</v>
      </c>
      <c r="AF268" s="4">
        <v>14.506305525529234</v>
      </c>
      <c r="AG268" s="4">
        <v>4.4410959608336915</v>
      </c>
      <c r="AH268" s="4">
        <v>1.7039170558842744</v>
      </c>
      <c r="AJ268" s="4">
        <v>46.615058725695071</v>
      </c>
      <c r="AK268" s="4"/>
      <c r="AR268" s="2" t="s">
        <v>1</v>
      </c>
    </row>
    <row r="269" spans="1:44" x14ac:dyDescent="0.2">
      <c r="AR269" s="2" t="s">
        <v>1</v>
      </c>
    </row>
    <row r="270" spans="1:44" x14ac:dyDescent="0.2">
      <c r="A270" s="2" t="s">
        <v>278</v>
      </c>
      <c r="B270" s="2">
        <f>SUM(B273:K315,N299:W314,AA314:AJ317)</f>
        <v>1676</v>
      </c>
      <c r="AR270" s="2" t="s">
        <v>1</v>
      </c>
    </row>
    <row r="271" spans="1:44" x14ac:dyDescent="0.2">
      <c r="A271" s="2" t="s">
        <v>279</v>
      </c>
      <c r="AR271" s="2" t="s">
        <v>1</v>
      </c>
    </row>
    <row r="272" spans="1:44" x14ac:dyDescent="0.2">
      <c r="AR272" s="2" t="s">
        <v>1</v>
      </c>
    </row>
    <row r="273" spans="1:44" x14ac:dyDescent="0.2">
      <c r="A273" s="7">
        <v>28586.5</v>
      </c>
      <c r="C273" s="4">
        <v>1</v>
      </c>
      <c r="D273" s="4">
        <v>2</v>
      </c>
      <c r="E273" s="4">
        <v>2</v>
      </c>
      <c r="F273" s="4">
        <v>1</v>
      </c>
      <c r="H273" s="4">
        <v>2</v>
      </c>
      <c r="I273" s="4">
        <v>1</v>
      </c>
      <c r="J273" s="4">
        <v>1</v>
      </c>
      <c r="K273" s="4">
        <v>2</v>
      </c>
      <c r="AR273" s="2" t="s">
        <v>1</v>
      </c>
    </row>
    <row r="274" spans="1:44" x14ac:dyDescent="0.2">
      <c r="A274" s="7">
        <v>28651</v>
      </c>
      <c r="B274" s="4">
        <v>1</v>
      </c>
      <c r="C274" s="4">
        <v>1</v>
      </c>
      <c r="D274" s="4">
        <v>2</v>
      </c>
      <c r="E274" s="4">
        <v>2</v>
      </c>
      <c r="F274" s="4">
        <v>2</v>
      </c>
      <c r="G274" s="4">
        <v>2</v>
      </c>
      <c r="H274" s="4">
        <v>1</v>
      </c>
      <c r="I274" s="4">
        <v>1</v>
      </c>
      <c r="J274" s="4">
        <v>2</v>
      </c>
      <c r="K274" s="4">
        <v>2</v>
      </c>
      <c r="AR274" s="2" t="s">
        <v>1</v>
      </c>
    </row>
    <row r="275" spans="1:44" x14ac:dyDescent="0.2">
      <c r="A275" s="7">
        <v>28768</v>
      </c>
      <c r="B275" s="4">
        <v>1</v>
      </c>
      <c r="C275" s="4">
        <v>1</v>
      </c>
      <c r="D275" s="4">
        <v>1</v>
      </c>
      <c r="E275" s="4">
        <v>1</v>
      </c>
      <c r="F275" s="4">
        <v>1</v>
      </c>
      <c r="G275" s="4">
        <v>1</v>
      </c>
      <c r="H275" s="4">
        <v>1</v>
      </c>
      <c r="I275" s="4">
        <v>1</v>
      </c>
      <c r="J275" s="4">
        <v>1</v>
      </c>
      <c r="K275" s="4">
        <v>1</v>
      </c>
      <c r="AR275" s="2" t="s">
        <v>1</v>
      </c>
    </row>
    <row r="276" spans="1:44" x14ac:dyDescent="0.2">
      <c r="A276" s="7">
        <v>28806.5</v>
      </c>
      <c r="C276" s="4">
        <v>1</v>
      </c>
      <c r="D276" s="4">
        <v>2</v>
      </c>
      <c r="E276" s="4">
        <v>2</v>
      </c>
      <c r="F276" s="4">
        <v>2</v>
      </c>
      <c r="G276" s="4">
        <v>2</v>
      </c>
      <c r="H276" s="4">
        <v>2</v>
      </c>
      <c r="I276" s="4">
        <v>1</v>
      </c>
      <c r="J276" s="4">
        <v>2</v>
      </c>
      <c r="K276" s="4">
        <v>2</v>
      </c>
      <c r="AR276" s="2" t="s">
        <v>1</v>
      </c>
    </row>
    <row r="277" spans="1:44" x14ac:dyDescent="0.2">
      <c r="A277" s="7">
        <v>28839.5</v>
      </c>
      <c r="D277" s="4">
        <v>2</v>
      </c>
      <c r="E277" s="4">
        <v>2</v>
      </c>
      <c r="F277" s="4">
        <v>2</v>
      </c>
      <c r="G277" s="4">
        <v>2</v>
      </c>
      <c r="H277" s="4">
        <v>2</v>
      </c>
      <c r="J277" s="4">
        <v>1</v>
      </c>
      <c r="K277" s="4">
        <v>2</v>
      </c>
      <c r="AR277" s="2" t="s">
        <v>1</v>
      </c>
    </row>
    <row r="278" spans="1:44" x14ac:dyDescent="0.2">
      <c r="A278" s="7">
        <v>28869</v>
      </c>
      <c r="D278" s="4">
        <v>2</v>
      </c>
      <c r="E278" s="4">
        <v>2</v>
      </c>
      <c r="F278" s="4">
        <v>2</v>
      </c>
      <c r="G278" s="4">
        <v>2</v>
      </c>
      <c r="H278" s="4">
        <v>2</v>
      </c>
      <c r="J278" s="4">
        <v>2</v>
      </c>
      <c r="K278" s="4">
        <v>2</v>
      </c>
      <c r="AR278" s="2" t="s">
        <v>1</v>
      </c>
    </row>
    <row r="279" spans="1:44" x14ac:dyDescent="0.2">
      <c r="A279" s="7">
        <v>28907</v>
      </c>
      <c r="B279" s="4">
        <v>1</v>
      </c>
      <c r="C279" s="4">
        <v>1</v>
      </c>
      <c r="D279" s="4">
        <v>2</v>
      </c>
      <c r="E279" s="4">
        <v>2</v>
      </c>
      <c r="F279" s="4">
        <v>2</v>
      </c>
      <c r="G279" s="4">
        <v>2</v>
      </c>
      <c r="H279" s="4">
        <v>2</v>
      </c>
      <c r="I279" s="4">
        <v>1</v>
      </c>
      <c r="J279" s="4">
        <v>2</v>
      </c>
      <c r="K279" s="4">
        <v>2</v>
      </c>
      <c r="AR279" s="2" t="s">
        <v>1</v>
      </c>
    </row>
    <row r="280" spans="1:44" x14ac:dyDescent="0.2">
      <c r="A280" s="7">
        <v>28967.5</v>
      </c>
      <c r="D280" s="4">
        <v>2</v>
      </c>
      <c r="E280" s="4">
        <v>2</v>
      </c>
      <c r="F280" s="4">
        <v>2</v>
      </c>
      <c r="G280" s="4">
        <v>2</v>
      </c>
      <c r="H280" s="4">
        <v>2</v>
      </c>
      <c r="J280" s="4">
        <v>2</v>
      </c>
      <c r="K280" s="4">
        <v>2</v>
      </c>
      <c r="AR280" s="2" t="s">
        <v>1</v>
      </c>
    </row>
    <row r="281" spans="1:44" x14ac:dyDescent="0.2">
      <c r="A281" s="7">
        <v>28993</v>
      </c>
      <c r="D281" s="4">
        <v>1</v>
      </c>
      <c r="E281" s="4">
        <v>1</v>
      </c>
      <c r="F281" s="4">
        <v>1</v>
      </c>
      <c r="H281" s="4">
        <v>1</v>
      </c>
      <c r="J281" s="4">
        <v>1</v>
      </c>
      <c r="K281" s="4">
        <v>1</v>
      </c>
      <c r="AR281" s="2" t="s">
        <v>1</v>
      </c>
    </row>
    <row r="282" spans="1:44" x14ac:dyDescent="0.2">
      <c r="A282" s="7">
        <v>29048</v>
      </c>
      <c r="D282" s="4">
        <v>1</v>
      </c>
      <c r="E282" s="4">
        <v>1</v>
      </c>
      <c r="F282" s="4">
        <v>1</v>
      </c>
      <c r="H282" s="4">
        <v>1</v>
      </c>
      <c r="J282" s="4">
        <v>1</v>
      </c>
      <c r="K282" s="4">
        <v>1</v>
      </c>
      <c r="AR282" s="2" t="s">
        <v>1</v>
      </c>
    </row>
    <row r="283" spans="1:44" x14ac:dyDescent="0.2">
      <c r="A283" s="7">
        <v>29077</v>
      </c>
      <c r="C283" s="4">
        <v>1</v>
      </c>
      <c r="D283" s="4">
        <v>2</v>
      </c>
      <c r="E283" s="4">
        <v>2</v>
      </c>
      <c r="F283" s="4">
        <v>2</v>
      </c>
      <c r="G283" s="4">
        <v>2</v>
      </c>
      <c r="H283" s="4">
        <v>2</v>
      </c>
      <c r="I283" s="4">
        <v>1</v>
      </c>
      <c r="J283" s="4">
        <v>2</v>
      </c>
      <c r="K283" s="4">
        <v>2</v>
      </c>
      <c r="AR283" s="2" t="s">
        <v>1</v>
      </c>
    </row>
    <row r="284" spans="1:44" x14ac:dyDescent="0.2">
      <c r="A284" s="7">
        <v>29142.5</v>
      </c>
      <c r="C284" s="4">
        <v>1</v>
      </c>
      <c r="D284" s="4">
        <v>2</v>
      </c>
      <c r="E284" s="4">
        <v>2</v>
      </c>
      <c r="F284" s="4">
        <v>1</v>
      </c>
      <c r="G284" s="4">
        <v>2</v>
      </c>
      <c r="H284" s="4">
        <v>2</v>
      </c>
      <c r="I284" s="4">
        <v>1</v>
      </c>
      <c r="J284" s="4">
        <v>2</v>
      </c>
      <c r="K284" s="4">
        <v>2</v>
      </c>
      <c r="AR284" s="2" t="s">
        <v>1</v>
      </c>
    </row>
    <row r="285" spans="1:44" x14ac:dyDescent="0.2">
      <c r="A285" s="7">
        <v>29172</v>
      </c>
      <c r="B285" s="4">
        <v>1</v>
      </c>
      <c r="C285" s="4">
        <v>1</v>
      </c>
      <c r="D285" s="4">
        <v>1</v>
      </c>
      <c r="E285" s="4">
        <v>1</v>
      </c>
      <c r="F285" s="4">
        <v>1</v>
      </c>
      <c r="G285" s="4">
        <v>1</v>
      </c>
      <c r="H285" s="4">
        <v>1</v>
      </c>
      <c r="I285" s="4">
        <v>1</v>
      </c>
      <c r="J285" s="4">
        <v>1</v>
      </c>
      <c r="K285" s="4">
        <v>1</v>
      </c>
      <c r="AR285" s="2" t="s">
        <v>1</v>
      </c>
    </row>
    <row r="286" spans="1:44" x14ac:dyDescent="0.2">
      <c r="A286" s="7">
        <v>29208</v>
      </c>
      <c r="D286" s="4">
        <v>1</v>
      </c>
      <c r="E286" s="4">
        <v>1</v>
      </c>
      <c r="F286" s="4">
        <v>1</v>
      </c>
      <c r="G286" s="4">
        <v>1</v>
      </c>
      <c r="H286" s="4">
        <v>1</v>
      </c>
      <c r="J286" s="4">
        <v>1</v>
      </c>
      <c r="K286" s="4">
        <v>1</v>
      </c>
      <c r="AR286" s="2" t="s">
        <v>1</v>
      </c>
    </row>
    <row r="287" spans="1:44" x14ac:dyDescent="0.2">
      <c r="A287" s="7">
        <v>29241</v>
      </c>
      <c r="E287" s="4">
        <v>1</v>
      </c>
      <c r="K287" s="4">
        <v>1</v>
      </c>
      <c r="AR287" s="2" t="s">
        <v>1</v>
      </c>
    </row>
    <row r="288" spans="1:44" x14ac:dyDescent="0.2">
      <c r="A288" s="7">
        <v>29258.5</v>
      </c>
      <c r="B288" s="4">
        <v>1</v>
      </c>
      <c r="C288" s="4">
        <v>1</v>
      </c>
      <c r="D288" s="4">
        <v>2</v>
      </c>
      <c r="E288" s="4">
        <v>2</v>
      </c>
      <c r="F288" s="4">
        <v>2</v>
      </c>
      <c r="G288" s="4">
        <v>2</v>
      </c>
      <c r="H288" s="4">
        <v>2</v>
      </c>
      <c r="I288" s="4">
        <v>1</v>
      </c>
      <c r="J288" s="4">
        <v>2</v>
      </c>
      <c r="K288" s="4">
        <v>2</v>
      </c>
      <c r="AR288" s="2" t="s">
        <v>1</v>
      </c>
    </row>
    <row r="289" spans="1:44" x14ac:dyDescent="0.2">
      <c r="A289" s="7">
        <v>29305</v>
      </c>
      <c r="B289" s="4">
        <v>1</v>
      </c>
      <c r="C289" s="4">
        <v>1</v>
      </c>
      <c r="D289" s="4">
        <v>1</v>
      </c>
      <c r="E289" s="4">
        <v>1</v>
      </c>
      <c r="F289" s="4">
        <v>1</v>
      </c>
      <c r="G289" s="4">
        <v>1</v>
      </c>
      <c r="H289" s="4">
        <v>1</v>
      </c>
      <c r="J289" s="4">
        <v>1</v>
      </c>
      <c r="K289" s="4">
        <v>1</v>
      </c>
      <c r="AR289" s="2" t="s">
        <v>1</v>
      </c>
    </row>
    <row r="290" spans="1:44" x14ac:dyDescent="0.2">
      <c r="A290" s="7">
        <v>29331.666666666668</v>
      </c>
      <c r="B290" s="4">
        <v>2</v>
      </c>
      <c r="C290" s="4">
        <v>3</v>
      </c>
      <c r="D290" s="4">
        <v>2</v>
      </c>
      <c r="E290" s="4">
        <v>3</v>
      </c>
      <c r="F290" s="4">
        <v>3</v>
      </c>
      <c r="G290" s="4">
        <v>2</v>
      </c>
      <c r="H290" s="4">
        <v>3</v>
      </c>
      <c r="I290" s="4">
        <v>2</v>
      </c>
      <c r="J290" s="4">
        <v>3</v>
      </c>
      <c r="K290" s="4">
        <v>3</v>
      </c>
      <c r="AR290" s="2" t="s">
        <v>1</v>
      </c>
    </row>
    <row r="291" spans="1:44" x14ac:dyDescent="0.2">
      <c r="A291" s="7">
        <v>29382</v>
      </c>
      <c r="D291" s="4">
        <v>1</v>
      </c>
      <c r="E291" s="4">
        <v>1</v>
      </c>
      <c r="F291" s="4">
        <v>1</v>
      </c>
      <c r="G291" s="4">
        <v>1</v>
      </c>
      <c r="H291" s="4">
        <v>1</v>
      </c>
      <c r="J291" s="4">
        <v>1</v>
      </c>
      <c r="K291" s="4">
        <v>1</v>
      </c>
      <c r="AR291" s="2" t="s">
        <v>1</v>
      </c>
    </row>
    <row r="292" spans="1:44" x14ac:dyDescent="0.2">
      <c r="A292" s="7">
        <v>29421.5</v>
      </c>
      <c r="B292" s="4">
        <v>2</v>
      </c>
      <c r="C292" s="4">
        <v>3</v>
      </c>
      <c r="D292" s="4">
        <v>4</v>
      </c>
      <c r="E292" s="4">
        <v>4</v>
      </c>
      <c r="F292" s="4">
        <v>4</v>
      </c>
      <c r="G292" s="4">
        <v>4</v>
      </c>
      <c r="H292" s="4">
        <v>4</v>
      </c>
      <c r="I292" s="4">
        <v>3</v>
      </c>
      <c r="J292" s="4">
        <v>4</v>
      </c>
      <c r="K292" s="4">
        <v>4</v>
      </c>
      <c r="AR292" s="2" t="s">
        <v>1</v>
      </c>
    </row>
    <row r="293" spans="1:44" x14ac:dyDescent="0.2">
      <c r="A293" s="7">
        <v>29446</v>
      </c>
      <c r="B293" s="4">
        <v>1</v>
      </c>
      <c r="C293" s="4">
        <v>1</v>
      </c>
      <c r="D293" s="4">
        <v>1</v>
      </c>
      <c r="E293" s="4">
        <v>1</v>
      </c>
      <c r="F293" s="4">
        <v>1</v>
      </c>
      <c r="G293" s="4">
        <v>1</v>
      </c>
      <c r="H293" s="4">
        <v>1</v>
      </c>
      <c r="I293" s="4">
        <v>1</v>
      </c>
      <c r="J293" s="4">
        <v>1</v>
      </c>
      <c r="K293" s="4">
        <v>1</v>
      </c>
      <c r="AR293" s="2" t="s">
        <v>1</v>
      </c>
    </row>
    <row r="294" spans="1:44" x14ac:dyDescent="0.2">
      <c r="A294" s="7">
        <v>29474</v>
      </c>
      <c r="B294" s="4">
        <v>2</v>
      </c>
      <c r="C294" s="4">
        <v>2</v>
      </c>
      <c r="D294" s="4">
        <v>2</v>
      </c>
      <c r="E294" s="4">
        <v>2</v>
      </c>
      <c r="F294" s="4">
        <v>2</v>
      </c>
      <c r="G294" s="4">
        <v>1</v>
      </c>
      <c r="H294" s="4">
        <v>2</v>
      </c>
      <c r="I294" s="4">
        <v>2</v>
      </c>
      <c r="J294" s="4">
        <v>2</v>
      </c>
      <c r="K294" s="4">
        <v>2</v>
      </c>
      <c r="AR294" s="2" t="s">
        <v>1</v>
      </c>
    </row>
    <row r="295" spans="1:44" x14ac:dyDescent="0.2">
      <c r="A295" s="7">
        <v>29502</v>
      </c>
      <c r="D295" s="4">
        <v>2</v>
      </c>
      <c r="E295" s="4">
        <v>2</v>
      </c>
      <c r="F295" s="4">
        <v>2</v>
      </c>
      <c r="G295" s="4">
        <v>1</v>
      </c>
      <c r="H295" s="4">
        <v>2</v>
      </c>
      <c r="J295" s="4">
        <v>2</v>
      </c>
      <c r="K295" s="4">
        <v>2</v>
      </c>
      <c r="AR295" s="2" t="s">
        <v>1</v>
      </c>
    </row>
    <row r="296" spans="1:44" x14ac:dyDescent="0.2">
      <c r="A296" s="7">
        <v>29544</v>
      </c>
      <c r="D296" s="4">
        <v>2</v>
      </c>
      <c r="E296" s="4">
        <v>2</v>
      </c>
      <c r="F296" s="4">
        <v>2</v>
      </c>
      <c r="G296" s="4">
        <v>1</v>
      </c>
      <c r="H296" s="4">
        <v>2</v>
      </c>
      <c r="J296" s="4">
        <v>2</v>
      </c>
      <c r="K296" s="4">
        <v>2</v>
      </c>
      <c r="AR296" s="2" t="s">
        <v>1</v>
      </c>
    </row>
    <row r="297" spans="1:44" x14ac:dyDescent="0.2">
      <c r="A297" s="7">
        <v>29575.5</v>
      </c>
      <c r="D297" s="4">
        <v>1</v>
      </c>
      <c r="E297" s="4">
        <v>2</v>
      </c>
      <c r="F297" s="4">
        <v>2</v>
      </c>
      <c r="G297" s="4">
        <v>2</v>
      </c>
      <c r="H297" s="4">
        <v>2</v>
      </c>
      <c r="J297" s="4">
        <v>2</v>
      </c>
      <c r="K297" s="4">
        <v>2</v>
      </c>
      <c r="AR297" s="2" t="s">
        <v>1</v>
      </c>
    </row>
    <row r="298" spans="1:44" x14ac:dyDescent="0.2">
      <c r="A298" s="7">
        <v>29601</v>
      </c>
      <c r="D298" s="4">
        <v>1</v>
      </c>
      <c r="E298" s="4">
        <v>1</v>
      </c>
      <c r="F298" s="4">
        <v>1</v>
      </c>
      <c r="G298" s="4">
        <v>1</v>
      </c>
      <c r="H298" s="4">
        <v>1</v>
      </c>
      <c r="J298" s="4">
        <v>1</v>
      </c>
      <c r="K298" s="4">
        <v>1</v>
      </c>
      <c r="AR298" s="2" t="s">
        <v>1</v>
      </c>
    </row>
    <row r="299" spans="1:44" x14ac:dyDescent="0.2">
      <c r="A299" s="7">
        <v>29633.666666666668</v>
      </c>
      <c r="D299" s="4">
        <v>3</v>
      </c>
      <c r="E299" s="4">
        <v>3</v>
      </c>
      <c r="F299" s="4">
        <v>3</v>
      </c>
      <c r="G299" s="4">
        <v>3</v>
      </c>
      <c r="H299" s="4">
        <v>3</v>
      </c>
      <c r="J299" s="4">
        <v>3</v>
      </c>
      <c r="K299" s="4">
        <v>3</v>
      </c>
      <c r="M299" s="7">
        <v>29633.333333333332</v>
      </c>
      <c r="N299" s="4">
        <v>0</v>
      </c>
      <c r="O299" s="4">
        <v>0</v>
      </c>
      <c r="P299" s="4">
        <v>3</v>
      </c>
      <c r="Q299" s="4">
        <v>3</v>
      </c>
      <c r="R299" s="4">
        <v>3</v>
      </c>
      <c r="S299" s="4">
        <v>3</v>
      </c>
      <c r="T299" s="4">
        <v>3</v>
      </c>
      <c r="U299" s="4">
        <v>0</v>
      </c>
      <c r="V299" s="4">
        <v>3</v>
      </c>
      <c r="W299" s="4">
        <v>3</v>
      </c>
      <c r="AR299" s="2" t="s">
        <v>1</v>
      </c>
    </row>
    <row r="300" spans="1:44" x14ac:dyDescent="0.2">
      <c r="A300" s="7">
        <v>29657.5</v>
      </c>
      <c r="D300" s="4">
        <v>6</v>
      </c>
      <c r="E300" s="4">
        <v>8</v>
      </c>
      <c r="F300" s="4">
        <v>7</v>
      </c>
      <c r="G300" s="4">
        <v>8</v>
      </c>
      <c r="H300" s="4">
        <v>8</v>
      </c>
      <c r="J300" s="4">
        <v>7</v>
      </c>
      <c r="K300" s="4">
        <v>8</v>
      </c>
      <c r="M300" s="7">
        <v>29662</v>
      </c>
      <c r="N300" s="4">
        <v>0</v>
      </c>
      <c r="O300" s="4">
        <v>0</v>
      </c>
      <c r="P300" s="4">
        <v>3</v>
      </c>
      <c r="Q300" s="4">
        <v>3</v>
      </c>
      <c r="R300" s="4">
        <v>3</v>
      </c>
      <c r="S300" s="4">
        <v>3</v>
      </c>
      <c r="T300" s="4">
        <v>3</v>
      </c>
      <c r="U300" s="4">
        <v>0</v>
      </c>
      <c r="V300" s="4">
        <v>3</v>
      </c>
      <c r="W300" s="4">
        <v>3</v>
      </c>
      <c r="AR300" s="2" t="s">
        <v>1</v>
      </c>
    </row>
    <row r="301" spans="1:44" x14ac:dyDescent="0.2">
      <c r="A301" s="7">
        <v>29690.166666666668</v>
      </c>
      <c r="C301" s="4">
        <v>1</v>
      </c>
      <c r="D301" s="4">
        <v>6</v>
      </c>
      <c r="E301" s="4">
        <v>5</v>
      </c>
      <c r="F301" s="4">
        <v>6</v>
      </c>
      <c r="G301" s="4">
        <v>5</v>
      </c>
      <c r="H301" s="4">
        <v>5</v>
      </c>
      <c r="I301" s="4">
        <v>1</v>
      </c>
      <c r="J301" s="4">
        <v>6</v>
      </c>
      <c r="K301" s="4">
        <v>6</v>
      </c>
      <c r="M301" s="7">
        <v>29688.25</v>
      </c>
      <c r="N301" s="4">
        <v>0</v>
      </c>
      <c r="O301" s="4">
        <v>0</v>
      </c>
      <c r="P301" s="4">
        <v>4</v>
      </c>
      <c r="Q301" s="4">
        <v>4</v>
      </c>
      <c r="R301" s="4">
        <v>4</v>
      </c>
      <c r="S301" s="4">
        <v>4</v>
      </c>
      <c r="T301" s="4">
        <v>4</v>
      </c>
      <c r="U301" s="4">
        <v>0</v>
      </c>
      <c r="V301" s="4">
        <v>4</v>
      </c>
      <c r="W301" s="4">
        <v>4</v>
      </c>
      <c r="AR301" s="2" t="s">
        <v>1</v>
      </c>
    </row>
    <row r="302" spans="1:44" x14ac:dyDescent="0.2">
      <c r="A302" s="7">
        <v>29722.333333333332</v>
      </c>
      <c r="B302" s="4">
        <v>1</v>
      </c>
      <c r="C302" s="4">
        <v>1</v>
      </c>
      <c r="D302" s="4">
        <v>6</v>
      </c>
      <c r="E302" s="4">
        <v>6</v>
      </c>
      <c r="F302" s="4">
        <v>6</v>
      </c>
      <c r="G302" s="4">
        <v>5</v>
      </c>
      <c r="H302" s="4">
        <v>6</v>
      </c>
      <c r="I302" s="4">
        <v>1</v>
      </c>
      <c r="J302" s="4">
        <v>5</v>
      </c>
      <c r="K302" s="4">
        <v>6</v>
      </c>
      <c r="M302" s="7">
        <v>29721</v>
      </c>
      <c r="N302" s="4">
        <v>0</v>
      </c>
      <c r="O302" s="4">
        <v>0</v>
      </c>
      <c r="P302" s="4">
        <v>5</v>
      </c>
      <c r="Q302" s="4">
        <v>5</v>
      </c>
      <c r="R302" s="4">
        <v>5</v>
      </c>
      <c r="S302" s="4">
        <v>5</v>
      </c>
      <c r="T302" s="4">
        <v>5</v>
      </c>
      <c r="U302" s="4">
        <v>0</v>
      </c>
      <c r="V302" s="4">
        <v>4</v>
      </c>
      <c r="W302" s="4">
        <v>5</v>
      </c>
      <c r="AR302" s="2" t="s">
        <v>1</v>
      </c>
    </row>
    <row r="303" spans="1:44" x14ac:dyDescent="0.2">
      <c r="A303" s="7">
        <v>29753.166666666668</v>
      </c>
      <c r="B303" s="4">
        <v>3</v>
      </c>
      <c r="C303" s="4">
        <v>3</v>
      </c>
      <c r="D303" s="4">
        <v>6</v>
      </c>
      <c r="E303" s="4">
        <v>6</v>
      </c>
      <c r="F303" s="4">
        <v>6</v>
      </c>
      <c r="G303" s="4">
        <v>6</v>
      </c>
      <c r="H303" s="4">
        <v>6</v>
      </c>
      <c r="I303" s="4">
        <v>3</v>
      </c>
      <c r="J303" s="4">
        <v>5</v>
      </c>
      <c r="K303" s="4">
        <v>6</v>
      </c>
      <c r="M303" s="7">
        <v>29748</v>
      </c>
      <c r="N303" s="4">
        <v>0</v>
      </c>
      <c r="O303" s="4">
        <v>0</v>
      </c>
      <c r="P303" s="4">
        <v>2</v>
      </c>
      <c r="Q303" s="4">
        <v>2</v>
      </c>
      <c r="R303" s="4">
        <v>2</v>
      </c>
      <c r="S303" s="4">
        <v>2</v>
      </c>
      <c r="T303" s="4">
        <v>2</v>
      </c>
      <c r="U303" s="4">
        <v>0</v>
      </c>
      <c r="V303" s="4">
        <v>2</v>
      </c>
      <c r="W303" s="4">
        <v>2</v>
      </c>
      <c r="AR303" s="2" t="s">
        <v>1</v>
      </c>
    </row>
    <row r="304" spans="1:44" x14ac:dyDescent="0.2">
      <c r="A304" s="7">
        <v>29784.285714285714</v>
      </c>
      <c r="B304" s="4">
        <v>7</v>
      </c>
      <c r="C304" s="4">
        <v>7</v>
      </c>
      <c r="D304" s="4">
        <v>7</v>
      </c>
      <c r="E304" s="4">
        <v>7</v>
      </c>
      <c r="F304" s="4">
        <v>7</v>
      </c>
      <c r="G304" s="4">
        <v>6</v>
      </c>
      <c r="H304" s="4">
        <v>7</v>
      </c>
      <c r="I304" s="4">
        <v>7</v>
      </c>
      <c r="J304" s="4">
        <v>7</v>
      </c>
      <c r="K304" s="4">
        <v>7</v>
      </c>
      <c r="M304" s="7">
        <v>29783</v>
      </c>
      <c r="N304" s="4">
        <v>5</v>
      </c>
      <c r="O304" s="4">
        <v>5</v>
      </c>
      <c r="P304" s="4">
        <v>5</v>
      </c>
      <c r="Q304" s="4">
        <v>5</v>
      </c>
      <c r="R304" s="4">
        <v>5</v>
      </c>
      <c r="S304" s="4">
        <v>5</v>
      </c>
      <c r="T304" s="4">
        <v>5</v>
      </c>
      <c r="U304" s="4">
        <v>4</v>
      </c>
      <c r="V304" s="4">
        <v>5</v>
      </c>
      <c r="W304" s="4">
        <v>5</v>
      </c>
      <c r="AR304" s="2" t="s">
        <v>1</v>
      </c>
    </row>
    <row r="305" spans="1:44" x14ac:dyDescent="0.2">
      <c r="A305" s="7">
        <v>29814.2</v>
      </c>
      <c r="B305" s="4">
        <v>5</v>
      </c>
      <c r="C305" s="4">
        <v>5</v>
      </c>
      <c r="D305" s="4">
        <v>5</v>
      </c>
      <c r="E305" s="4">
        <v>4</v>
      </c>
      <c r="F305" s="4">
        <v>5</v>
      </c>
      <c r="G305" s="4">
        <v>4</v>
      </c>
      <c r="H305" s="4">
        <v>5</v>
      </c>
      <c r="I305" s="4">
        <v>5</v>
      </c>
      <c r="J305" s="4">
        <v>5</v>
      </c>
      <c r="K305" s="4">
        <v>5</v>
      </c>
      <c r="M305" s="7">
        <v>29813</v>
      </c>
      <c r="N305" s="4">
        <v>3</v>
      </c>
      <c r="O305" s="4">
        <v>3</v>
      </c>
      <c r="P305" s="4">
        <v>3</v>
      </c>
      <c r="Q305" s="4">
        <v>3</v>
      </c>
      <c r="R305" s="4">
        <v>3</v>
      </c>
      <c r="S305" s="4">
        <v>3</v>
      </c>
      <c r="T305" s="4">
        <v>3</v>
      </c>
      <c r="U305" s="4">
        <v>3</v>
      </c>
      <c r="V305" s="4">
        <v>3</v>
      </c>
      <c r="W305" s="4">
        <v>3</v>
      </c>
      <c r="AR305" s="2" t="s">
        <v>1</v>
      </c>
    </row>
    <row r="306" spans="1:44" x14ac:dyDescent="0.2">
      <c r="A306" s="7">
        <v>29842.857142857141</v>
      </c>
      <c r="B306" s="4">
        <v>7</v>
      </c>
      <c r="C306" s="4">
        <v>7</v>
      </c>
      <c r="D306" s="4">
        <v>7</v>
      </c>
      <c r="E306" s="4">
        <v>7</v>
      </c>
      <c r="F306" s="4">
        <v>7</v>
      </c>
      <c r="G306" s="4">
        <v>7</v>
      </c>
      <c r="H306" s="4">
        <v>7</v>
      </c>
      <c r="I306" s="4">
        <v>6</v>
      </c>
      <c r="J306" s="4">
        <v>7</v>
      </c>
      <c r="K306" s="4">
        <v>7</v>
      </c>
      <c r="M306" s="7">
        <v>29842.333333333332</v>
      </c>
      <c r="N306" s="4">
        <v>3</v>
      </c>
      <c r="O306" s="4">
        <v>3</v>
      </c>
      <c r="P306" s="4">
        <v>3</v>
      </c>
      <c r="Q306" s="4">
        <v>3</v>
      </c>
      <c r="R306" s="4">
        <v>3</v>
      </c>
      <c r="S306" s="4">
        <v>3</v>
      </c>
      <c r="T306" s="4">
        <v>3</v>
      </c>
      <c r="U306" s="4">
        <v>3</v>
      </c>
      <c r="V306" s="4">
        <v>3</v>
      </c>
      <c r="W306" s="4">
        <v>3</v>
      </c>
      <c r="AR306" s="2" t="s">
        <v>1</v>
      </c>
    </row>
    <row r="307" spans="1:44" x14ac:dyDescent="0.2">
      <c r="A307" s="7">
        <v>29879.666666666668</v>
      </c>
      <c r="B307" s="4">
        <v>2</v>
      </c>
      <c r="C307" s="4">
        <v>3</v>
      </c>
      <c r="D307" s="4">
        <v>3</v>
      </c>
      <c r="E307" s="4">
        <v>3</v>
      </c>
      <c r="F307" s="4">
        <v>3</v>
      </c>
      <c r="G307" s="4">
        <v>3</v>
      </c>
      <c r="H307" s="4">
        <v>3</v>
      </c>
      <c r="I307" s="4">
        <v>1</v>
      </c>
      <c r="J307" s="4">
        <v>3</v>
      </c>
      <c r="K307" s="4">
        <v>3</v>
      </c>
      <c r="AR307" s="2" t="s">
        <v>1</v>
      </c>
    </row>
    <row r="308" spans="1:44" x14ac:dyDescent="0.2">
      <c r="A308" s="7">
        <v>29910</v>
      </c>
      <c r="B308" s="4">
        <v>1</v>
      </c>
      <c r="C308" s="4">
        <v>1</v>
      </c>
      <c r="D308" s="4">
        <v>1</v>
      </c>
      <c r="E308" s="4">
        <v>1</v>
      </c>
      <c r="F308" s="4">
        <v>1</v>
      </c>
      <c r="G308" s="4">
        <v>1</v>
      </c>
      <c r="I308" s="4">
        <v>1</v>
      </c>
      <c r="J308" s="4">
        <v>1</v>
      </c>
      <c r="K308" s="4">
        <v>1</v>
      </c>
      <c r="AR308" s="2" t="s">
        <v>1</v>
      </c>
    </row>
    <row r="309" spans="1:44" x14ac:dyDescent="0.2">
      <c r="A309" s="7">
        <v>29938.833333333332</v>
      </c>
      <c r="B309" s="4">
        <v>6</v>
      </c>
      <c r="C309" s="4">
        <v>6</v>
      </c>
      <c r="D309" s="4">
        <v>4</v>
      </c>
      <c r="E309" s="4">
        <v>6</v>
      </c>
      <c r="F309" s="4">
        <v>6</v>
      </c>
      <c r="G309" s="4">
        <v>5</v>
      </c>
      <c r="H309" s="4">
        <v>5</v>
      </c>
      <c r="I309" s="4">
        <v>2</v>
      </c>
      <c r="J309" s="4">
        <v>6</v>
      </c>
      <c r="K309" s="4">
        <v>6</v>
      </c>
      <c r="M309" s="7">
        <v>29935.25</v>
      </c>
      <c r="N309" s="4">
        <v>4</v>
      </c>
      <c r="O309" s="4">
        <v>4</v>
      </c>
      <c r="P309" s="4">
        <v>4</v>
      </c>
      <c r="Q309" s="4">
        <v>4</v>
      </c>
      <c r="R309" s="4">
        <v>4</v>
      </c>
      <c r="S309" s="4">
        <v>4</v>
      </c>
      <c r="T309" s="4">
        <v>4</v>
      </c>
      <c r="U309" s="4">
        <v>4</v>
      </c>
      <c r="V309" s="4">
        <v>4</v>
      </c>
      <c r="W309" s="4">
        <v>4</v>
      </c>
      <c r="AR309" s="2" t="s">
        <v>1</v>
      </c>
    </row>
    <row r="310" spans="1:44" x14ac:dyDescent="0.2">
      <c r="A310" s="7">
        <v>29963</v>
      </c>
      <c r="B310" s="4">
        <v>2</v>
      </c>
      <c r="C310" s="4">
        <v>3</v>
      </c>
      <c r="D310" s="4">
        <v>2</v>
      </c>
      <c r="E310" s="4">
        <v>3</v>
      </c>
      <c r="F310" s="4">
        <v>3</v>
      </c>
      <c r="G310" s="4">
        <v>3</v>
      </c>
      <c r="H310" s="4">
        <v>3</v>
      </c>
      <c r="I310" s="4">
        <v>1</v>
      </c>
      <c r="J310" s="4">
        <v>3</v>
      </c>
      <c r="K310" s="4">
        <v>3</v>
      </c>
      <c r="M310" s="7">
        <v>29962.5</v>
      </c>
      <c r="N310" s="4">
        <v>2</v>
      </c>
      <c r="O310" s="4">
        <v>2</v>
      </c>
      <c r="P310" s="4">
        <v>2</v>
      </c>
      <c r="Q310" s="4">
        <v>2</v>
      </c>
      <c r="R310" s="4">
        <v>2</v>
      </c>
      <c r="S310" s="4">
        <v>2</v>
      </c>
      <c r="T310" s="4">
        <v>2</v>
      </c>
      <c r="U310" s="4">
        <v>2</v>
      </c>
      <c r="V310" s="4">
        <v>2</v>
      </c>
      <c r="W310" s="4">
        <v>2</v>
      </c>
      <c r="AR310" s="2" t="s">
        <v>1</v>
      </c>
    </row>
    <row r="311" spans="1:44" x14ac:dyDescent="0.2">
      <c r="A311" s="7">
        <v>29995.5</v>
      </c>
      <c r="B311" s="4">
        <v>6</v>
      </c>
      <c r="C311" s="4">
        <v>6</v>
      </c>
      <c r="D311" s="4">
        <v>5</v>
      </c>
      <c r="E311" s="4">
        <v>5</v>
      </c>
      <c r="F311" s="4">
        <v>6</v>
      </c>
      <c r="G311" s="4">
        <v>6</v>
      </c>
      <c r="H311" s="4">
        <v>6</v>
      </c>
      <c r="I311" s="4">
        <v>2</v>
      </c>
      <c r="J311" s="4">
        <v>6</v>
      </c>
      <c r="K311" s="4">
        <v>6</v>
      </c>
      <c r="M311" s="7">
        <v>29994</v>
      </c>
      <c r="N311" s="4">
        <v>1</v>
      </c>
      <c r="O311" s="4">
        <v>1</v>
      </c>
      <c r="P311" s="4">
        <v>1</v>
      </c>
      <c r="Q311" s="4">
        <v>1</v>
      </c>
      <c r="R311" s="4">
        <v>1</v>
      </c>
      <c r="S311" s="4">
        <v>1</v>
      </c>
      <c r="T311" s="4">
        <v>1</v>
      </c>
      <c r="U311" s="4">
        <v>1</v>
      </c>
      <c r="V311" s="4">
        <v>1</v>
      </c>
      <c r="W311" s="4">
        <v>1</v>
      </c>
      <c r="AR311" s="2" t="s">
        <v>1</v>
      </c>
    </row>
    <row r="312" spans="1:44" x14ac:dyDescent="0.2">
      <c r="A312" s="7">
        <v>30031.727272727272</v>
      </c>
      <c r="B312" s="4">
        <v>9</v>
      </c>
      <c r="C312" s="4">
        <v>10</v>
      </c>
      <c r="D312" s="4">
        <v>11</v>
      </c>
      <c r="E312" s="4">
        <v>3</v>
      </c>
      <c r="F312" s="4">
        <v>11</v>
      </c>
      <c r="G312" s="4">
        <v>11</v>
      </c>
      <c r="H312" s="4">
        <v>11</v>
      </c>
      <c r="I312" s="4">
        <v>10</v>
      </c>
      <c r="J312" s="4">
        <v>9</v>
      </c>
      <c r="K312" s="4">
        <v>11</v>
      </c>
      <c r="M312" s="7">
        <v>30022.666666666668</v>
      </c>
      <c r="N312" s="4">
        <v>3</v>
      </c>
      <c r="O312" s="4">
        <v>3</v>
      </c>
      <c r="P312" s="4">
        <v>3</v>
      </c>
      <c r="Q312" s="4">
        <v>3</v>
      </c>
      <c r="R312" s="4">
        <v>3</v>
      </c>
      <c r="S312" s="4">
        <v>3</v>
      </c>
      <c r="T312" s="4">
        <v>3</v>
      </c>
      <c r="U312" s="4">
        <v>3</v>
      </c>
      <c r="V312" s="4">
        <v>3</v>
      </c>
      <c r="W312" s="4">
        <v>3</v>
      </c>
      <c r="AR312" s="2" t="s">
        <v>1</v>
      </c>
    </row>
    <row r="313" spans="1:44" x14ac:dyDescent="0.2">
      <c r="A313" s="7">
        <v>30056.555555555555</v>
      </c>
      <c r="B313" s="4">
        <v>8</v>
      </c>
      <c r="C313" s="4">
        <v>9</v>
      </c>
      <c r="D313" s="4">
        <v>9</v>
      </c>
      <c r="E313" s="4">
        <v>7</v>
      </c>
      <c r="F313" s="4">
        <v>7</v>
      </c>
      <c r="G313" s="4">
        <v>9</v>
      </c>
      <c r="H313" s="4">
        <v>8</v>
      </c>
      <c r="I313" s="4">
        <v>5</v>
      </c>
      <c r="J313" s="4">
        <v>8</v>
      </c>
      <c r="K313" s="4">
        <v>9</v>
      </c>
      <c r="M313" s="7">
        <v>30051</v>
      </c>
      <c r="N313" s="4">
        <v>3</v>
      </c>
      <c r="O313" s="4">
        <v>3</v>
      </c>
      <c r="P313" s="4">
        <v>3</v>
      </c>
      <c r="Q313" s="4">
        <v>3</v>
      </c>
      <c r="R313" s="4">
        <v>3</v>
      </c>
      <c r="S313" s="4">
        <v>3</v>
      </c>
      <c r="T313" s="4">
        <v>3</v>
      </c>
      <c r="U313" s="4">
        <v>3</v>
      </c>
      <c r="V313" s="4">
        <v>3</v>
      </c>
      <c r="W313" s="4">
        <v>3</v>
      </c>
      <c r="AR313" s="2" t="s">
        <v>1</v>
      </c>
    </row>
    <row r="314" spans="1:44" x14ac:dyDescent="0.2">
      <c r="A314" s="7">
        <v>30085.428571428572</v>
      </c>
      <c r="B314" s="4">
        <v>7</v>
      </c>
      <c r="C314" s="4">
        <v>7</v>
      </c>
      <c r="D314" s="4">
        <v>7</v>
      </c>
      <c r="E314" s="4">
        <v>6</v>
      </c>
      <c r="F314" s="4">
        <v>5</v>
      </c>
      <c r="G314" s="4">
        <v>7</v>
      </c>
      <c r="H314" s="4">
        <v>6</v>
      </c>
      <c r="I314" s="4">
        <v>7</v>
      </c>
      <c r="J314" s="4">
        <v>6</v>
      </c>
      <c r="K314" s="4">
        <v>7</v>
      </c>
      <c r="M314" s="7">
        <v>30090.5</v>
      </c>
      <c r="N314" s="4">
        <v>4</v>
      </c>
      <c r="O314" s="4">
        <v>4</v>
      </c>
      <c r="P314" s="4">
        <v>4</v>
      </c>
      <c r="Q314" s="4">
        <v>4</v>
      </c>
      <c r="R314" s="4">
        <v>4</v>
      </c>
      <c r="S314" s="4">
        <v>4</v>
      </c>
      <c r="T314" s="4">
        <v>4</v>
      </c>
      <c r="U314" s="4">
        <v>4</v>
      </c>
      <c r="V314" s="4">
        <v>4</v>
      </c>
      <c r="W314" s="4">
        <v>4</v>
      </c>
      <c r="Z314" s="7">
        <v>2</v>
      </c>
      <c r="AA314" s="4">
        <v>2</v>
      </c>
      <c r="AB314" s="4">
        <v>2</v>
      </c>
      <c r="AC314" s="4">
        <v>2</v>
      </c>
      <c r="AD314" s="4">
        <v>2</v>
      </c>
      <c r="AE314" s="4">
        <v>2</v>
      </c>
      <c r="AF314" s="4">
        <v>2</v>
      </c>
      <c r="AG314" s="4">
        <v>2</v>
      </c>
      <c r="AH314" s="4">
        <v>2</v>
      </c>
      <c r="AI314" s="4">
        <v>2</v>
      </c>
      <c r="AJ314" s="4">
        <v>2</v>
      </c>
      <c r="AK314" s="4"/>
      <c r="AR314" s="2" t="s">
        <v>1</v>
      </c>
    </row>
    <row r="315" spans="1:44" x14ac:dyDescent="0.2">
      <c r="A315" s="7">
        <v>30106.333333333332</v>
      </c>
      <c r="B315" s="4">
        <v>2</v>
      </c>
      <c r="C315" s="4">
        <v>3</v>
      </c>
      <c r="D315" s="4">
        <v>3</v>
      </c>
      <c r="E315" s="4">
        <v>2</v>
      </c>
      <c r="F315" s="4">
        <v>3</v>
      </c>
      <c r="G315" s="4">
        <v>3</v>
      </c>
      <c r="H315" s="4">
        <v>3</v>
      </c>
      <c r="I315" s="4">
        <v>3</v>
      </c>
      <c r="J315" s="4">
        <v>3</v>
      </c>
      <c r="K315" s="4">
        <v>3</v>
      </c>
      <c r="Z315" s="7">
        <v>3</v>
      </c>
      <c r="AA315" s="4">
        <v>3</v>
      </c>
      <c r="AB315" s="4">
        <v>3</v>
      </c>
      <c r="AC315" s="4">
        <v>3</v>
      </c>
      <c r="AD315" s="4">
        <v>3</v>
      </c>
      <c r="AE315" s="4">
        <v>3</v>
      </c>
      <c r="AF315" s="4">
        <v>3</v>
      </c>
      <c r="AG315" s="4">
        <v>3</v>
      </c>
      <c r="AH315" s="4">
        <v>3</v>
      </c>
      <c r="AI315" s="4">
        <v>2</v>
      </c>
      <c r="AJ315" s="4">
        <v>3</v>
      </c>
      <c r="AK315" s="4"/>
      <c r="AR315" s="2" t="s">
        <v>1</v>
      </c>
    </row>
    <row r="316" spans="1:44" x14ac:dyDescent="0.2">
      <c r="A316" s="7">
        <v>30149.666666666668</v>
      </c>
      <c r="M316" s="7">
        <v>30149.666666666668</v>
      </c>
      <c r="Z316" s="7">
        <v>3</v>
      </c>
      <c r="AA316" s="4">
        <v>3</v>
      </c>
      <c r="AB316" s="4">
        <v>3</v>
      </c>
      <c r="AC316" s="4">
        <v>3</v>
      </c>
      <c r="AD316" s="4">
        <v>3</v>
      </c>
      <c r="AE316" s="4">
        <v>3</v>
      </c>
      <c r="AF316" s="4">
        <v>3</v>
      </c>
      <c r="AG316" s="4">
        <v>3</v>
      </c>
      <c r="AH316" s="4">
        <v>3</v>
      </c>
      <c r="AI316" s="4">
        <v>2</v>
      </c>
      <c r="AJ316" s="4">
        <v>3</v>
      </c>
      <c r="AK316" s="4"/>
      <c r="AR316" s="2" t="s">
        <v>1</v>
      </c>
    </row>
    <row r="317" spans="1:44" x14ac:dyDescent="0.2">
      <c r="A317" s="7">
        <v>30178.666666666668</v>
      </c>
      <c r="M317" s="7">
        <v>30178.666666666668</v>
      </c>
      <c r="Z317" s="7">
        <v>3</v>
      </c>
      <c r="AA317" s="4">
        <v>3</v>
      </c>
      <c r="AB317" s="4">
        <v>3</v>
      </c>
      <c r="AC317" s="4">
        <v>3</v>
      </c>
      <c r="AD317" s="4">
        <v>3</v>
      </c>
      <c r="AE317" s="4">
        <v>3</v>
      </c>
      <c r="AF317" s="4">
        <v>3</v>
      </c>
      <c r="AG317" s="4">
        <v>3</v>
      </c>
      <c r="AH317" s="4">
        <v>3</v>
      </c>
      <c r="AI317" s="4">
        <v>1</v>
      </c>
      <c r="AJ317" s="4">
        <v>3</v>
      </c>
      <c r="AK317" s="4"/>
      <c r="AR317" s="2" t="s">
        <v>1</v>
      </c>
    </row>
    <row r="318" spans="1:44" x14ac:dyDescent="0.2">
      <c r="AR318" s="2" t="s">
        <v>1</v>
      </c>
    </row>
    <row r="319" spans="1:44" x14ac:dyDescent="0.2">
      <c r="AR319" s="2" t="s">
        <v>1</v>
      </c>
    </row>
    <row r="320" spans="1:44" x14ac:dyDescent="0.2">
      <c r="AR320" s="2" t="s">
        <v>1</v>
      </c>
    </row>
    <row r="321" spans="1:44" x14ac:dyDescent="0.2">
      <c r="AR321" s="2" t="s">
        <v>1</v>
      </c>
    </row>
    <row r="322" spans="1:44" x14ac:dyDescent="0.2">
      <c r="AR322" s="2" t="s">
        <v>1</v>
      </c>
    </row>
    <row r="323" spans="1:44" x14ac:dyDescent="0.2">
      <c r="AR323" s="2" t="s">
        <v>1</v>
      </c>
    </row>
    <row r="324" spans="1:44" x14ac:dyDescent="0.2">
      <c r="AR324" s="2" t="s">
        <v>1</v>
      </c>
    </row>
    <row r="325" spans="1:44" x14ac:dyDescent="0.2">
      <c r="A325" s="7"/>
      <c r="C325" s="4"/>
      <c r="D325" s="4"/>
      <c r="E325" s="4"/>
      <c r="F325" s="4"/>
      <c r="H325" s="4"/>
      <c r="I325" s="4"/>
      <c r="J325" s="4"/>
      <c r="K325" s="4"/>
      <c r="AR325" s="2" t="s">
        <v>1</v>
      </c>
    </row>
    <row r="326" spans="1:44" x14ac:dyDescent="0.2">
      <c r="A326" s="7"/>
      <c r="B326" s="4"/>
      <c r="C326" s="4"/>
      <c r="D326" s="4"/>
      <c r="E326" s="4"/>
      <c r="F326" s="4"/>
      <c r="G326" s="4"/>
      <c r="H326" s="4"/>
      <c r="I326" s="4"/>
      <c r="J326" s="4"/>
      <c r="K326" s="4"/>
      <c r="AR326" s="2" t="s">
        <v>1</v>
      </c>
    </row>
    <row r="327" spans="1:44" x14ac:dyDescent="0.2">
      <c r="A327" s="7"/>
      <c r="B327" s="4"/>
      <c r="C327" s="4"/>
      <c r="D327" s="4"/>
      <c r="E327" s="4"/>
      <c r="F327" s="4"/>
      <c r="G327" s="4"/>
      <c r="H327" s="4"/>
      <c r="I327" s="4"/>
      <c r="J327" s="4"/>
      <c r="K327" s="4"/>
      <c r="AR327" s="2" t="s">
        <v>1</v>
      </c>
    </row>
    <row r="328" spans="1:44" x14ac:dyDescent="0.2">
      <c r="A328" s="7"/>
      <c r="C328" s="4"/>
      <c r="D328" s="4"/>
      <c r="E328" s="4"/>
      <c r="F328" s="4"/>
      <c r="G328" s="4"/>
      <c r="H328" s="4"/>
      <c r="I328" s="4"/>
      <c r="J328" s="4"/>
      <c r="K328" s="4"/>
      <c r="AR328" s="2" t="s">
        <v>1</v>
      </c>
    </row>
    <row r="329" spans="1:44" x14ac:dyDescent="0.2">
      <c r="A329" s="7"/>
      <c r="D329" s="4"/>
      <c r="E329" s="4"/>
      <c r="F329" s="4"/>
      <c r="G329" s="4"/>
      <c r="H329" s="4"/>
      <c r="J329" s="4"/>
      <c r="K329" s="4"/>
      <c r="AR329" s="2" t="s">
        <v>1</v>
      </c>
    </row>
    <row r="330" spans="1:44" x14ac:dyDescent="0.2">
      <c r="A330" s="7"/>
      <c r="D330" s="4"/>
      <c r="E330" s="4"/>
      <c r="F330" s="4"/>
      <c r="G330" s="4"/>
      <c r="H330" s="4"/>
      <c r="J330" s="4"/>
      <c r="K330" s="4"/>
      <c r="AR330" s="2" t="s">
        <v>1</v>
      </c>
    </row>
    <row r="331" spans="1:44" x14ac:dyDescent="0.2">
      <c r="A331" s="7"/>
      <c r="B331" s="4"/>
      <c r="C331" s="4"/>
      <c r="D331" s="4"/>
      <c r="E331" s="4"/>
      <c r="F331" s="4"/>
      <c r="G331" s="4"/>
      <c r="H331" s="4"/>
      <c r="I331" s="4"/>
      <c r="J331" s="4"/>
      <c r="K331" s="4"/>
      <c r="AR331" s="2" t="s">
        <v>1</v>
      </c>
    </row>
    <row r="332" spans="1:44" x14ac:dyDescent="0.2">
      <c r="A332" s="7"/>
      <c r="D332" s="4"/>
      <c r="E332" s="4"/>
      <c r="F332" s="4"/>
      <c r="G332" s="4"/>
      <c r="H332" s="4"/>
      <c r="J332" s="4"/>
      <c r="K332" s="4"/>
      <c r="AR332" s="2" t="s">
        <v>1</v>
      </c>
    </row>
    <row r="333" spans="1:44" x14ac:dyDescent="0.2">
      <c r="A333" s="7"/>
      <c r="D333" s="4"/>
      <c r="E333" s="4"/>
      <c r="F333" s="4"/>
      <c r="H333" s="4"/>
      <c r="J333" s="4"/>
      <c r="K333" s="4"/>
      <c r="AR333" s="2" t="s">
        <v>1</v>
      </c>
    </row>
    <row r="334" spans="1:44" x14ac:dyDescent="0.2">
      <c r="A334" s="7"/>
      <c r="D334" s="4"/>
      <c r="E334" s="4"/>
      <c r="F334" s="4"/>
      <c r="H334" s="4"/>
      <c r="J334" s="4"/>
      <c r="K334" s="4"/>
      <c r="AR334" s="2" t="s">
        <v>1</v>
      </c>
    </row>
    <row r="335" spans="1:44" x14ac:dyDescent="0.2">
      <c r="A335" s="7"/>
      <c r="C335" s="4"/>
      <c r="D335" s="4"/>
      <c r="E335" s="4"/>
      <c r="F335" s="4"/>
      <c r="G335" s="4"/>
      <c r="H335" s="4"/>
      <c r="I335" s="4"/>
      <c r="J335" s="4"/>
      <c r="K335" s="4"/>
      <c r="AR335" s="2" t="s">
        <v>1</v>
      </c>
    </row>
    <row r="336" spans="1:44" x14ac:dyDescent="0.2">
      <c r="A336" s="7"/>
      <c r="C336" s="4"/>
      <c r="D336" s="4"/>
      <c r="E336" s="4"/>
      <c r="F336" s="4"/>
      <c r="G336" s="4"/>
      <c r="H336" s="4"/>
      <c r="I336" s="4"/>
      <c r="J336" s="4"/>
      <c r="K336" s="4"/>
      <c r="AR336" s="2" t="s">
        <v>1</v>
      </c>
    </row>
    <row r="337" spans="1:44" x14ac:dyDescent="0.2">
      <c r="A337" s="7"/>
      <c r="B337" s="4"/>
      <c r="C337" s="4"/>
      <c r="D337" s="4"/>
      <c r="E337" s="4"/>
      <c r="F337" s="4"/>
      <c r="G337" s="4"/>
      <c r="H337" s="4"/>
      <c r="I337" s="4"/>
      <c r="J337" s="4"/>
      <c r="K337" s="4"/>
      <c r="AR337" s="2" t="s">
        <v>1</v>
      </c>
    </row>
    <row r="338" spans="1:44" x14ac:dyDescent="0.2">
      <c r="A338" s="7"/>
      <c r="D338" s="4"/>
      <c r="E338" s="4"/>
      <c r="F338" s="4"/>
      <c r="G338" s="4"/>
      <c r="H338" s="4"/>
      <c r="J338" s="4"/>
      <c r="K338" s="4"/>
      <c r="AR338" s="2" t="s">
        <v>1</v>
      </c>
    </row>
    <row r="339" spans="1:44" x14ac:dyDescent="0.2">
      <c r="A339" s="7"/>
      <c r="E339" s="4"/>
      <c r="K339" s="4"/>
      <c r="AR339" s="2" t="s">
        <v>1</v>
      </c>
    </row>
    <row r="340" spans="1:44" x14ac:dyDescent="0.2">
      <c r="A340" s="7"/>
      <c r="B340" s="4"/>
      <c r="C340" s="4"/>
      <c r="D340" s="4"/>
      <c r="E340" s="4"/>
      <c r="F340" s="4"/>
      <c r="G340" s="4"/>
      <c r="H340" s="4"/>
      <c r="I340" s="4"/>
      <c r="J340" s="4"/>
      <c r="K340" s="4"/>
      <c r="AR340" s="2" t="s">
        <v>1</v>
      </c>
    </row>
    <row r="341" spans="1:44" x14ac:dyDescent="0.2">
      <c r="A341" s="7"/>
      <c r="B341" s="4"/>
      <c r="C341" s="4"/>
      <c r="D341" s="4"/>
      <c r="E341" s="4"/>
      <c r="F341" s="4"/>
      <c r="G341" s="4"/>
      <c r="H341" s="4"/>
      <c r="J341" s="4"/>
      <c r="K341" s="4"/>
      <c r="AR341" s="2" t="s">
        <v>1</v>
      </c>
    </row>
    <row r="342" spans="1:44" x14ac:dyDescent="0.2">
      <c r="A342" s="7"/>
      <c r="B342" s="4"/>
      <c r="C342" s="4"/>
      <c r="D342" s="4"/>
      <c r="E342" s="4"/>
      <c r="F342" s="4"/>
      <c r="G342" s="4"/>
      <c r="H342" s="4"/>
      <c r="I342" s="4"/>
      <c r="J342" s="4"/>
      <c r="K342" s="4"/>
      <c r="AR342" s="2" t="s">
        <v>1</v>
      </c>
    </row>
    <row r="343" spans="1:44" x14ac:dyDescent="0.2">
      <c r="A343" s="7"/>
      <c r="D343" s="4"/>
      <c r="E343" s="4"/>
      <c r="F343" s="4"/>
      <c r="G343" s="4"/>
      <c r="H343" s="4"/>
      <c r="J343" s="4"/>
      <c r="K343" s="4"/>
      <c r="AR343" s="2" t="s">
        <v>1</v>
      </c>
    </row>
    <row r="344" spans="1:44" x14ac:dyDescent="0.2">
      <c r="A344" s="7"/>
      <c r="B344" s="4"/>
      <c r="C344" s="4"/>
      <c r="D344" s="4"/>
      <c r="E344" s="4"/>
      <c r="F344" s="4"/>
      <c r="G344" s="4"/>
      <c r="H344" s="4"/>
      <c r="I344" s="4"/>
      <c r="J344" s="4"/>
      <c r="K344" s="4"/>
      <c r="AR344" s="2" t="s">
        <v>1</v>
      </c>
    </row>
    <row r="345" spans="1:44" x14ac:dyDescent="0.2">
      <c r="A345" s="7"/>
      <c r="B345" s="4"/>
      <c r="C345" s="4"/>
      <c r="D345" s="4"/>
      <c r="E345" s="4"/>
      <c r="F345" s="4"/>
      <c r="G345" s="4"/>
      <c r="H345" s="4"/>
      <c r="I345" s="4"/>
      <c r="J345" s="4"/>
      <c r="K345" s="4"/>
      <c r="AR345" s="2" t="s">
        <v>1</v>
      </c>
    </row>
    <row r="346" spans="1:44" x14ac:dyDescent="0.2">
      <c r="A346" s="7"/>
      <c r="B346" s="4"/>
      <c r="C346" s="4"/>
      <c r="D346" s="4"/>
      <c r="E346" s="4"/>
      <c r="F346" s="4"/>
      <c r="G346" s="4"/>
      <c r="H346" s="4"/>
      <c r="I346" s="4"/>
      <c r="J346" s="4"/>
      <c r="K346" s="4"/>
      <c r="AR346" s="2" t="s">
        <v>1</v>
      </c>
    </row>
    <row r="347" spans="1:44" x14ac:dyDescent="0.2">
      <c r="A347" s="7"/>
      <c r="D347" s="4"/>
      <c r="E347" s="4"/>
      <c r="F347" s="4"/>
      <c r="G347" s="4"/>
      <c r="H347" s="4"/>
      <c r="J347" s="4"/>
      <c r="K347" s="4"/>
      <c r="AR347" s="2" t="s">
        <v>1</v>
      </c>
    </row>
    <row r="348" spans="1:44" x14ac:dyDescent="0.2">
      <c r="A348" s="7"/>
      <c r="D348" s="4"/>
      <c r="E348" s="4"/>
      <c r="F348" s="4"/>
      <c r="G348" s="4"/>
      <c r="H348" s="4"/>
      <c r="J348" s="4"/>
      <c r="K348" s="4"/>
      <c r="AR348" s="2" t="s">
        <v>1</v>
      </c>
    </row>
    <row r="349" spans="1:44" x14ac:dyDescent="0.2">
      <c r="A349" s="7"/>
      <c r="D349" s="4"/>
      <c r="E349" s="4"/>
      <c r="F349" s="4"/>
      <c r="G349" s="4"/>
      <c r="H349" s="4"/>
      <c r="J349" s="4"/>
      <c r="K349" s="4"/>
      <c r="AR349" s="2" t="s">
        <v>1</v>
      </c>
    </row>
    <row r="350" spans="1:44" x14ac:dyDescent="0.2">
      <c r="A350" s="7"/>
      <c r="D350" s="4"/>
      <c r="E350" s="4"/>
      <c r="F350" s="4"/>
      <c r="G350" s="4"/>
      <c r="H350" s="4"/>
      <c r="J350" s="4"/>
      <c r="K350" s="4"/>
      <c r="AR350" s="2" t="s">
        <v>1</v>
      </c>
    </row>
    <row r="351" spans="1:44" x14ac:dyDescent="0.2">
      <c r="A351" s="7"/>
      <c r="D351" s="4"/>
      <c r="E351" s="4"/>
      <c r="F351" s="4"/>
      <c r="G351" s="4"/>
      <c r="H351" s="4"/>
      <c r="J351" s="4"/>
      <c r="K351" s="4"/>
      <c r="M351" s="7"/>
      <c r="N351" s="4"/>
      <c r="O351" s="4"/>
      <c r="P351" s="4"/>
      <c r="Q351" s="4"/>
      <c r="R351" s="4"/>
      <c r="S351" s="4"/>
      <c r="T351" s="4"/>
      <c r="U351" s="4"/>
      <c r="V351" s="4"/>
      <c r="W351" s="4"/>
      <c r="AR351" s="2" t="s">
        <v>1</v>
      </c>
    </row>
    <row r="352" spans="1:44" x14ac:dyDescent="0.2">
      <c r="A352" s="7"/>
      <c r="D352" s="4"/>
      <c r="E352" s="4"/>
      <c r="F352" s="4"/>
      <c r="G352" s="4"/>
      <c r="H352" s="4"/>
      <c r="J352" s="4"/>
      <c r="K352" s="4"/>
      <c r="M352" s="7"/>
      <c r="N352" s="4"/>
      <c r="O352" s="4"/>
      <c r="P352" s="4"/>
      <c r="Q352" s="4"/>
      <c r="R352" s="4"/>
      <c r="S352" s="4"/>
      <c r="T352" s="4"/>
      <c r="U352" s="4"/>
      <c r="V352" s="4"/>
      <c r="W352" s="4"/>
      <c r="AR352" s="2" t="s">
        <v>1</v>
      </c>
    </row>
    <row r="353" spans="1:44" x14ac:dyDescent="0.2">
      <c r="A353" s="7"/>
      <c r="C353" s="4"/>
      <c r="D353" s="4"/>
      <c r="E353" s="4"/>
      <c r="F353" s="4"/>
      <c r="G353" s="4"/>
      <c r="H353" s="4"/>
      <c r="I353" s="4"/>
      <c r="J353" s="4"/>
      <c r="K353" s="4"/>
      <c r="M353" s="7"/>
      <c r="N353" s="4"/>
      <c r="O353" s="4"/>
      <c r="P353" s="4"/>
      <c r="Q353" s="4"/>
      <c r="R353" s="4"/>
      <c r="S353" s="4"/>
      <c r="T353" s="4"/>
      <c r="U353" s="4"/>
      <c r="V353" s="4"/>
      <c r="W353" s="4"/>
      <c r="AR353" s="2" t="s">
        <v>1</v>
      </c>
    </row>
    <row r="354" spans="1:44" x14ac:dyDescent="0.2">
      <c r="A354" s="7"/>
      <c r="B354" s="4"/>
      <c r="C354" s="4"/>
      <c r="D354" s="4"/>
      <c r="E354" s="4"/>
      <c r="F354" s="4"/>
      <c r="G354" s="4"/>
      <c r="H354" s="4"/>
      <c r="I354" s="4"/>
      <c r="J354" s="4"/>
      <c r="K354" s="4"/>
      <c r="M354" s="7"/>
      <c r="N354" s="4"/>
      <c r="O354" s="4"/>
      <c r="P354" s="4"/>
      <c r="Q354" s="4"/>
      <c r="R354" s="4"/>
      <c r="S354" s="4"/>
      <c r="T354" s="4"/>
      <c r="U354" s="4"/>
      <c r="V354" s="4"/>
      <c r="W354" s="4"/>
      <c r="AR354" s="2" t="s">
        <v>1</v>
      </c>
    </row>
    <row r="355" spans="1:44" x14ac:dyDescent="0.2">
      <c r="A355" s="7"/>
      <c r="B355" s="4"/>
      <c r="C355" s="4"/>
      <c r="D355" s="4"/>
      <c r="E355" s="4"/>
      <c r="F355" s="4"/>
      <c r="G355" s="4"/>
      <c r="H355" s="4"/>
      <c r="I355" s="4"/>
      <c r="J355" s="4"/>
      <c r="K355" s="4"/>
      <c r="M355" s="7"/>
      <c r="N355" s="4"/>
      <c r="O355" s="4"/>
      <c r="P355" s="4"/>
      <c r="Q355" s="4"/>
      <c r="R355" s="4"/>
      <c r="S355" s="4"/>
      <c r="T355" s="4"/>
      <c r="U355" s="4"/>
      <c r="V355" s="4"/>
      <c r="W355" s="4"/>
      <c r="AR355" s="2" t="s">
        <v>1</v>
      </c>
    </row>
    <row r="356" spans="1:44" x14ac:dyDescent="0.2">
      <c r="A356" s="7"/>
      <c r="B356" s="4"/>
      <c r="C356" s="4"/>
      <c r="D356" s="4"/>
      <c r="E356" s="4"/>
      <c r="F356" s="4"/>
      <c r="G356" s="4"/>
      <c r="H356" s="4"/>
      <c r="I356" s="4"/>
      <c r="J356" s="4"/>
      <c r="K356" s="4"/>
      <c r="M356" s="7"/>
      <c r="N356" s="4"/>
      <c r="O356" s="4"/>
      <c r="P356" s="4"/>
      <c r="Q356" s="4"/>
      <c r="R356" s="4"/>
      <c r="S356" s="4"/>
      <c r="T356" s="4"/>
      <c r="U356" s="4"/>
      <c r="V356" s="4"/>
      <c r="W356" s="4"/>
      <c r="AR356" s="2" t="s">
        <v>1</v>
      </c>
    </row>
    <row r="357" spans="1:44" x14ac:dyDescent="0.2">
      <c r="A357" s="7"/>
      <c r="B357" s="4"/>
      <c r="C357" s="4"/>
      <c r="D357" s="4"/>
      <c r="E357" s="4"/>
      <c r="F357" s="4"/>
      <c r="G357" s="4"/>
      <c r="H357" s="4"/>
      <c r="I357" s="4"/>
      <c r="J357" s="4"/>
      <c r="K357" s="4"/>
      <c r="M357" s="7"/>
      <c r="N357" s="4"/>
      <c r="O357" s="4"/>
      <c r="P357" s="4"/>
      <c r="Q357" s="4"/>
      <c r="R357" s="4"/>
      <c r="S357" s="4"/>
      <c r="T357" s="4"/>
      <c r="U357" s="4"/>
      <c r="V357" s="4"/>
      <c r="W357" s="4"/>
      <c r="AR357" s="2" t="s">
        <v>1</v>
      </c>
    </row>
    <row r="358" spans="1:44" x14ac:dyDescent="0.2">
      <c r="A358" s="7"/>
      <c r="B358" s="4"/>
      <c r="C358" s="4"/>
      <c r="D358" s="4"/>
      <c r="E358" s="4"/>
      <c r="F358" s="4"/>
      <c r="G358" s="4"/>
      <c r="H358" s="4"/>
      <c r="I358" s="4"/>
      <c r="J358" s="4"/>
      <c r="K358" s="4"/>
      <c r="M358" s="7"/>
      <c r="N358" s="4"/>
      <c r="O358" s="4"/>
      <c r="P358" s="4"/>
      <c r="Q358" s="4"/>
      <c r="R358" s="4"/>
      <c r="S358" s="4"/>
      <c r="T358" s="4"/>
      <c r="U358" s="4"/>
      <c r="V358" s="4"/>
      <c r="W358" s="4"/>
      <c r="AR358" s="2" t="s">
        <v>1</v>
      </c>
    </row>
    <row r="359" spans="1:44" x14ac:dyDescent="0.2">
      <c r="A359" s="7"/>
      <c r="B359" s="4"/>
      <c r="C359" s="4"/>
      <c r="D359" s="4"/>
      <c r="E359" s="4"/>
      <c r="F359" s="4"/>
      <c r="G359" s="4"/>
      <c r="H359" s="4"/>
      <c r="I359" s="4"/>
      <c r="J359" s="4"/>
      <c r="K359" s="4"/>
      <c r="AR359" s="2" t="s">
        <v>1</v>
      </c>
    </row>
    <row r="360" spans="1:44" x14ac:dyDescent="0.2">
      <c r="A360" s="7"/>
      <c r="B360" s="4"/>
      <c r="C360" s="4"/>
      <c r="D360" s="4"/>
      <c r="E360" s="4"/>
      <c r="F360" s="4"/>
      <c r="G360" s="4"/>
      <c r="I360" s="4"/>
      <c r="J360" s="4"/>
      <c r="K360" s="4"/>
      <c r="AR360" s="2" t="s">
        <v>1</v>
      </c>
    </row>
    <row r="361" spans="1:44" x14ac:dyDescent="0.2">
      <c r="A361" s="7"/>
      <c r="B361" s="4"/>
      <c r="C361" s="4"/>
      <c r="D361" s="4"/>
      <c r="E361" s="4"/>
      <c r="F361" s="4"/>
      <c r="G361" s="4"/>
      <c r="H361" s="4"/>
      <c r="I361" s="4"/>
      <c r="J361" s="4"/>
      <c r="K361" s="4"/>
      <c r="M361" s="7"/>
      <c r="N361" s="4"/>
      <c r="O361" s="4"/>
      <c r="P361" s="4"/>
      <c r="Q361" s="4"/>
      <c r="R361" s="4"/>
      <c r="S361" s="4"/>
      <c r="T361" s="4"/>
      <c r="U361" s="4"/>
      <c r="V361" s="4"/>
      <c r="W361" s="4"/>
      <c r="AR361" s="2" t="s">
        <v>1</v>
      </c>
    </row>
    <row r="362" spans="1:44" x14ac:dyDescent="0.2">
      <c r="A362" s="7"/>
      <c r="B362" s="4"/>
      <c r="C362" s="4"/>
      <c r="D362" s="4"/>
      <c r="E362" s="4"/>
      <c r="F362" s="4"/>
      <c r="G362" s="4"/>
      <c r="H362" s="4"/>
      <c r="I362" s="4"/>
      <c r="J362" s="4"/>
      <c r="K362" s="4"/>
      <c r="M362" s="7"/>
      <c r="N362" s="4"/>
      <c r="O362" s="4"/>
      <c r="P362" s="4"/>
      <c r="Q362" s="4"/>
      <c r="R362" s="4"/>
      <c r="S362" s="4"/>
      <c r="T362" s="4"/>
      <c r="U362" s="4"/>
      <c r="V362" s="4"/>
      <c r="W362" s="4"/>
      <c r="AR362" s="2" t="s">
        <v>1</v>
      </c>
    </row>
    <row r="363" spans="1:44" x14ac:dyDescent="0.2">
      <c r="A363" s="7"/>
      <c r="B363" s="4"/>
      <c r="C363" s="4"/>
      <c r="D363" s="4"/>
      <c r="E363" s="4"/>
      <c r="F363" s="4"/>
      <c r="G363" s="4"/>
      <c r="H363" s="4"/>
      <c r="I363" s="4"/>
      <c r="J363" s="4"/>
      <c r="K363" s="4"/>
      <c r="M363" s="7"/>
      <c r="N363" s="4"/>
      <c r="O363" s="4"/>
      <c r="P363" s="4"/>
      <c r="Q363" s="4"/>
      <c r="R363" s="4"/>
      <c r="S363" s="4"/>
      <c r="T363" s="4"/>
      <c r="U363" s="4"/>
      <c r="V363" s="4"/>
      <c r="W363" s="4"/>
      <c r="AR363" s="2" t="s">
        <v>1</v>
      </c>
    </row>
    <row r="364" spans="1:44" x14ac:dyDescent="0.2">
      <c r="A364" s="7"/>
      <c r="B364" s="4"/>
      <c r="C364" s="4"/>
      <c r="D364" s="4"/>
      <c r="E364" s="4"/>
      <c r="F364" s="4"/>
      <c r="G364" s="4"/>
      <c r="H364" s="4"/>
      <c r="I364" s="4"/>
      <c r="J364" s="4"/>
      <c r="K364" s="4"/>
      <c r="M364" s="7"/>
      <c r="N364" s="4"/>
      <c r="O364" s="4"/>
      <c r="P364" s="4"/>
      <c r="Q364" s="4"/>
      <c r="R364" s="4"/>
      <c r="S364" s="4"/>
      <c r="T364" s="4"/>
      <c r="U364" s="4"/>
      <c r="V364" s="4"/>
      <c r="W364" s="4"/>
      <c r="AR364" s="2" t="s">
        <v>1</v>
      </c>
    </row>
    <row r="365" spans="1:44" x14ac:dyDescent="0.2">
      <c r="A365" s="7"/>
      <c r="B365" s="4"/>
      <c r="C365" s="4"/>
      <c r="D365" s="4"/>
      <c r="E365" s="4"/>
      <c r="F365" s="4"/>
      <c r="G365" s="4"/>
      <c r="H365" s="4"/>
      <c r="I365" s="4"/>
      <c r="J365" s="4"/>
      <c r="K365" s="4"/>
      <c r="M365" s="7"/>
      <c r="N365" s="4"/>
      <c r="O365" s="4"/>
      <c r="P365" s="4"/>
      <c r="Q365" s="4"/>
      <c r="R365" s="4"/>
      <c r="S365" s="4"/>
      <c r="T365" s="4"/>
      <c r="U365" s="4"/>
      <c r="V365" s="4"/>
      <c r="W365" s="4"/>
      <c r="AR365" s="2" t="s">
        <v>1</v>
      </c>
    </row>
    <row r="366" spans="1:44" x14ac:dyDescent="0.2">
      <c r="A366" s="7"/>
      <c r="B366" s="4"/>
      <c r="C366" s="4"/>
      <c r="D366" s="4"/>
      <c r="E366" s="4"/>
      <c r="F366" s="4"/>
      <c r="G366" s="4"/>
      <c r="H366" s="4"/>
      <c r="I366" s="4"/>
      <c r="J366" s="4"/>
      <c r="K366" s="4"/>
      <c r="M366" s="7"/>
      <c r="N366" s="4"/>
      <c r="O366" s="4"/>
      <c r="P366" s="4"/>
      <c r="Q366" s="4"/>
      <c r="R366" s="4"/>
      <c r="S366" s="4"/>
      <c r="T366" s="4"/>
      <c r="U366" s="4"/>
      <c r="V366" s="4"/>
      <c r="W366" s="4"/>
      <c r="Z366" s="7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K366" s="4"/>
      <c r="AR366" s="2" t="s">
        <v>1</v>
      </c>
    </row>
    <row r="367" spans="1:44" x14ac:dyDescent="0.2">
      <c r="A367" s="7"/>
      <c r="B367" s="4"/>
      <c r="C367" s="4"/>
      <c r="D367" s="4"/>
      <c r="E367" s="4"/>
      <c r="F367" s="4"/>
      <c r="G367" s="4"/>
      <c r="H367" s="4"/>
      <c r="I367" s="4"/>
      <c r="J367" s="4"/>
      <c r="K367" s="4"/>
      <c r="Z367" s="7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4"/>
      <c r="AR367" s="2" t="s">
        <v>1</v>
      </c>
    </row>
    <row r="368" spans="1:44" x14ac:dyDescent="0.2">
      <c r="A368" s="7"/>
      <c r="M368" s="7"/>
      <c r="Z368" s="7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K368" s="4"/>
      <c r="AR368" s="2" t="s">
        <v>1</v>
      </c>
    </row>
    <row r="369" spans="1:44" x14ac:dyDescent="0.2">
      <c r="A369" s="7"/>
      <c r="M369" s="7"/>
      <c r="Z369" s="7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4"/>
      <c r="AR369" s="2" t="s">
        <v>1</v>
      </c>
    </row>
    <row r="370" spans="1:44" x14ac:dyDescent="0.2">
      <c r="AR370" s="2" t="s">
        <v>1</v>
      </c>
    </row>
    <row r="371" spans="1:44" x14ac:dyDescent="0.2">
      <c r="AR371" s="2" t="s">
        <v>1</v>
      </c>
    </row>
    <row r="372" spans="1:44" x14ac:dyDescent="0.2">
      <c r="AR372" s="2" t="s">
        <v>1</v>
      </c>
    </row>
    <row r="373" spans="1:44" x14ac:dyDescent="0.2">
      <c r="AR373" s="2" t="s">
        <v>1</v>
      </c>
    </row>
    <row r="374" spans="1:44" x14ac:dyDescent="0.2">
      <c r="AR374" s="2" t="s">
        <v>1</v>
      </c>
    </row>
    <row r="375" spans="1:44" x14ac:dyDescent="0.2">
      <c r="AR375" s="2" t="s">
        <v>1</v>
      </c>
    </row>
    <row r="376" spans="1:44" x14ac:dyDescent="0.2">
      <c r="AR376" s="2" t="s">
        <v>1</v>
      </c>
    </row>
    <row r="377" spans="1:44" x14ac:dyDescent="0.2">
      <c r="AR377" s="2" t="s">
        <v>1</v>
      </c>
    </row>
    <row r="378" spans="1:44" x14ac:dyDescent="0.2">
      <c r="AR378" s="2" t="s">
        <v>1</v>
      </c>
    </row>
    <row r="379" spans="1:44" x14ac:dyDescent="0.2">
      <c r="AR379" s="2" t="s">
        <v>1</v>
      </c>
    </row>
    <row r="380" spans="1:44" x14ac:dyDescent="0.2">
      <c r="AR380" s="2" t="s">
        <v>1</v>
      </c>
    </row>
    <row r="381" spans="1:44" x14ac:dyDescent="0.2">
      <c r="AR381" s="2" t="s">
        <v>1</v>
      </c>
    </row>
    <row r="382" spans="1:44" x14ac:dyDescent="0.2">
      <c r="AR382" s="2" t="s">
        <v>1</v>
      </c>
    </row>
    <row r="383" spans="1:44" x14ac:dyDescent="0.2">
      <c r="AR383" s="2" t="s">
        <v>1</v>
      </c>
    </row>
    <row r="384" spans="1:44" x14ac:dyDescent="0.2">
      <c r="AR384" s="2" t="s">
        <v>1</v>
      </c>
    </row>
    <row r="385" spans="44:44" x14ac:dyDescent="0.2">
      <c r="AR385" s="2" t="s">
        <v>1</v>
      </c>
    </row>
    <row r="386" spans="44:44" x14ac:dyDescent="0.2">
      <c r="AR386" s="2" t="s">
        <v>1</v>
      </c>
    </row>
    <row r="387" spans="44:44" x14ac:dyDescent="0.2">
      <c r="AR387" s="2" t="s">
        <v>1</v>
      </c>
    </row>
    <row r="388" spans="44:44" x14ac:dyDescent="0.2">
      <c r="AR388" s="2" t="s">
        <v>1</v>
      </c>
    </row>
    <row r="389" spans="44:44" x14ac:dyDescent="0.2">
      <c r="AR389" s="2" t="s">
        <v>1</v>
      </c>
    </row>
    <row r="390" spans="44:44" x14ac:dyDescent="0.2">
      <c r="AR390" s="2" t="s">
        <v>1</v>
      </c>
    </row>
    <row r="391" spans="44:44" x14ac:dyDescent="0.2">
      <c r="AR391" s="2" t="s">
        <v>1</v>
      </c>
    </row>
    <row r="392" spans="44:44" x14ac:dyDescent="0.2">
      <c r="AR392" s="2" t="s">
        <v>1</v>
      </c>
    </row>
    <row r="393" spans="44:44" x14ac:dyDescent="0.2">
      <c r="AR393" s="2" t="s">
        <v>1</v>
      </c>
    </row>
    <row r="394" spans="44:44" x14ac:dyDescent="0.2">
      <c r="AR394" s="2" t="s">
        <v>1</v>
      </c>
    </row>
    <row r="395" spans="44:44" x14ac:dyDescent="0.2">
      <c r="AR395" s="2" t="s">
        <v>1</v>
      </c>
    </row>
    <row r="396" spans="44:44" x14ac:dyDescent="0.2">
      <c r="AR396" s="2" t="s">
        <v>1</v>
      </c>
    </row>
    <row r="397" spans="44:44" x14ac:dyDescent="0.2">
      <c r="AR397" s="2" t="s">
        <v>1</v>
      </c>
    </row>
    <row r="398" spans="44:44" x14ac:dyDescent="0.2">
      <c r="AR398" s="2" t="s">
        <v>1</v>
      </c>
    </row>
    <row r="399" spans="44:44" x14ac:dyDescent="0.2">
      <c r="AR399" s="2" t="s">
        <v>1</v>
      </c>
    </row>
    <row r="400" spans="44:44" x14ac:dyDescent="0.2">
      <c r="AR400" s="2" t="s">
        <v>1</v>
      </c>
    </row>
    <row r="401" spans="44:44" x14ac:dyDescent="0.2">
      <c r="AR401" s="2" t="s">
        <v>1</v>
      </c>
    </row>
    <row r="402" spans="44:44" x14ac:dyDescent="0.2">
      <c r="AR402" s="2" t="s">
        <v>1</v>
      </c>
    </row>
    <row r="403" spans="44:44" x14ac:dyDescent="0.2">
      <c r="AR403" s="2" t="s">
        <v>1</v>
      </c>
    </row>
    <row r="404" spans="44:44" x14ac:dyDescent="0.2">
      <c r="AR404" s="2" t="s">
        <v>1</v>
      </c>
    </row>
    <row r="405" spans="44:44" x14ac:dyDescent="0.2">
      <c r="AR405" s="2" t="s">
        <v>1</v>
      </c>
    </row>
    <row r="406" spans="44:44" x14ac:dyDescent="0.2">
      <c r="AR406" s="2" t="s">
        <v>1</v>
      </c>
    </row>
    <row r="407" spans="44:44" x14ac:dyDescent="0.2">
      <c r="AR407" s="2" t="s">
        <v>1</v>
      </c>
    </row>
    <row r="408" spans="44:44" x14ac:dyDescent="0.2">
      <c r="AR408" s="2" t="s">
        <v>1</v>
      </c>
    </row>
    <row r="409" spans="44:44" x14ac:dyDescent="0.2">
      <c r="AR409" s="2" t="s">
        <v>1</v>
      </c>
    </row>
    <row r="410" spans="44:44" x14ac:dyDescent="0.2">
      <c r="AR410" s="2" t="s">
        <v>1</v>
      </c>
    </row>
    <row r="411" spans="44:44" x14ac:dyDescent="0.2">
      <c r="AR411" s="2" t="s">
        <v>1</v>
      </c>
    </row>
    <row r="412" spans="44:44" x14ac:dyDescent="0.2">
      <c r="AR412" s="2" t="s">
        <v>1</v>
      </c>
    </row>
    <row r="413" spans="44:44" x14ac:dyDescent="0.2">
      <c r="AR413" s="2" t="s">
        <v>1</v>
      </c>
    </row>
    <row r="414" spans="44:44" x14ac:dyDescent="0.2">
      <c r="AR414" s="2" t="s">
        <v>1</v>
      </c>
    </row>
    <row r="415" spans="44:44" x14ac:dyDescent="0.2">
      <c r="AR415" s="2" t="s">
        <v>1</v>
      </c>
    </row>
    <row r="416" spans="44:44" x14ac:dyDescent="0.2">
      <c r="AR416" s="2" t="s">
        <v>1</v>
      </c>
    </row>
    <row r="417" spans="44:44" x14ac:dyDescent="0.2">
      <c r="AR417" s="2" t="s">
        <v>1</v>
      </c>
    </row>
    <row r="418" spans="44:44" x14ac:dyDescent="0.2">
      <c r="AR418" s="2" t="s">
        <v>1</v>
      </c>
    </row>
    <row r="419" spans="44:44" x14ac:dyDescent="0.2">
      <c r="AR419" s="2" t="s">
        <v>1</v>
      </c>
    </row>
    <row r="420" spans="44:44" x14ac:dyDescent="0.2">
      <c r="AR420" s="2" t="s">
        <v>1</v>
      </c>
    </row>
    <row r="421" spans="44:44" x14ac:dyDescent="0.2">
      <c r="AR421" s="2" t="s">
        <v>1</v>
      </c>
    </row>
    <row r="422" spans="44:44" x14ac:dyDescent="0.2">
      <c r="AR422" s="2" t="s">
        <v>1</v>
      </c>
    </row>
    <row r="423" spans="44:44" x14ac:dyDescent="0.2">
      <c r="AR423" s="2" t="s">
        <v>1</v>
      </c>
    </row>
    <row r="424" spans="44:44" x14ac:dyDescent="0.2">
      <c r="AR424" s="2" t="s">
        <v>1</v>
      </c>
    </row>
    <row r="425" spans="44:44" x14ac:dyDescent="0.2">
      <c r="AR425" s="2" t="s">
        <v>1</v>
      </c>
    </row>
    <row r="426" spans="44:44" x14ac:dyDescent="0.2">
      <c r="AR426" s="2" t="s">
        <v>1</v>
      </c>
    </row>
    <row r="427" spans="44:44" x14ac:dyDescent="0.2">
      <c r="AR427" s="2" t="s">
        <v>1</v>
      </c>
    </row>
    <row r="428" spans="44:44" x14ac:dyDescent="0.2">
      <c r="AR428" s="2" t="s">
        <v>1</v>
      </c>
    </row>
    <row r="429" spans="44:44" x14ac:dyDescent="0.2">
      <c r="AR429" s="2" t="s">
        <v>1</v>
      </c>
    </row>
    <row r="430" spans="44:44" x14ac:dyDescent="0.2">
      <c r="AR430" s="2" t="s">
        <v>1</v>
      </c>
    </row>
    <row r="431" spans="44:44" x14ac:dyDescent="0.2">
      <c r="AR431" s="2" t="s">
        <v>1</v>
      </c>
    </row>
    <row r="432" spans="44:44" x14ac:dyDescent="0.2">
      <c r="AR432" s="2" t="s">
        <v>1</v>
      </c>
    </row>
    <row r="433" spans="44:44" x14ac:dyDescent="0.2">
      <c r="AR433" s="2" t="s">
        <v>1</v>
      </c>
    </row>
  </sheetData>
  <pageMargins left="0.5" right="0.5" top="0.75" bottom="0.75" header="0.5" footer="0.5"/>
  <pageSetup orientation="portrait" horizontalDpi="0" verticalDpi="0" copies="0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66"/>
  <sheetViews>
    <sheetView showOutlineSymbols="0" defaultGridColor="0" topLeftCell="S44" colorId="9" workbookViewId="0">
      <selection activeCell="W61" sqref="W61"/>
    </sheetView>
  </sheetViews>
  <sheetFormatPr defaultColWidth="8.6640625" defaultRowHeight="15" x14ac:dyDescent="0.2"/>
  <cols>
    <col min="1" max="16384" width="8.6640625" style="2"/>
  </cols>
  <sheetData>
    <row r="1" spans="1:46" ht="15.75" x14ac:dyDescent="0.25">
      <c r="A1" s="6" t="s">
        <v>1141</v>
      </c>
      <c r="AT1" s="2" t="s">
        <v>1</v>
      </c>
    </row>
    <row r="2" spans="1:46" ht="15.75" x14ac:dyDescent="0.25">
      <c r="A2" s="6" t="s">
        <v>1142</v>
      </c>
      <c r="AT2" s="2" t="s">
        <v>1</v>
      </c>
    </row>
    <row r="3" spans="1:46" x14ac:dyDescent="0.2">
      <c r="A3" s="2" t="s">
        <v>1143</v>
      </c>
      <c r="AT3" s="2" t="s">
        <v>1</v>
      </c>
    </row>
    <row r="4" spans="1:46" x14ac:dyDescent="0.2">
      <c r="AT4" s="2" t="s">
        <v>1</v>
      </c>
    </row>
    <row r="5" spans="1:46" x14ac:dyDescent="0.2">
      <c r="AT5" s="2" t="s">
        <v>1</v>
      </c>
    </row>
    <row r="6" spans="1:46" x14ac:dyDescent="0.2">
      <c r="AT6" s="2" t="s">
        <v>1</v>
      </c>
    </row>
    <row r="7" spans="1:46" x14ac:dyDescent="0.2">
      <c r="AT7" s="2" t="s">
        <v>1</v>
      </c>
    </row>
    <row r="8" spans="1:46" x14ac:dyDescent="0.2">
      <c r="AT8" s="2" t="s">
        <v>1</v>
      </c>
    </row>
    <row r="9" spans="1:46" x14ac:dyDescent="0.2">
      <c r="A9" s="2" t="s">
        <v>1144</v>
      </c>
      <c r="AT9" s="2" t="s">
        <v>1</v>
      </c>
    </row>
    <row r="10" spans="1:46" x14ac:dyDescent="0.2">
      <c r="AT10" s="2" t="s">
        <v>1</v>
      </c>
    </row>
    <row r="11" spans="1:46" x14ac:dyDescent="0.2">
      <c r="AT11" s="2" t="s">
        <v>1</v>
      </c>
    </row>
    <row r="12" spans="1:46" ht="15.75" x14ac:dyDescent="0.25">
      <c r="B12" s="6"/>
      <c r="AT12" s="2" t="s">
        <v>1</v>
      </c>
    </row>
    <row r="13" spans="1:46" x14ac:dyDescent="0.2">
      <c r="AT13" s="2" t="s">
        <v>1</v>
      </c>
    </row>
    <row r="14" spans="1:46" x14ac:dyDescent="0.2">
      <c r="AT14" s="2" t="s">
        <v>1</v>
      </c>
    </row>
    <row r="15" spans="1:46" ht="15.75" x14ac:dyDescent="0.25">
      <c r="B15" s="2" t="s">
        <v>1145</v>
      </c>
      <c r="C15" s="2" t="s">
        <v>117</v>
      </c>
      <c r="D15" s="2" t="s">
        <v>123</v>
      </c>
      <c r="E15" s="2" t="s">
        <v>118</v>
      </c>
      <c r="F15" s="2" t="s">
        <v>134</v>
      </c>
      <c r="G15" s="2" t="s">
        <v>138</v>
      </c>
      <c r="H15" s="2" t="s">
        <v>130</v>
      </c>
      <c r="I15" s="8" t="s">
        <v>136</v>
      </c>
      <c r="J15" s="2" t="s">
        <v>139</v>
      </c>
      <c r="K15" s="2" t="s">
        <v>137</v>
      </c>
      <c r="L15" s="2" t="s">
        <v>133</v>
      </c>
      <c r="M15" s="2" t="s">
        <v>127</v>
      </c>
      <c r="N15" s="8" t="s">
        <v>115</v>
      </c>
      <c r="O15" s="2" t="s">
        <v>126</v>
      </c>
      <c r="P15" s="2" t="s">
        <v>122</v>
      </c>
      <c r="Q15" s="2" t="s">
        <v>113</v>
      </c>
      <c r="R15" s="2" t="s">
        <v>131</v>
      </c>
      <c r="S15" s="2" t="s">
        <v>129</v>
      </c>
      <c r="T15" s="2" t="s">
        <v>152</v>
      </c>
      <c r="U15" s="2" t="s">
        <v>154</v>
      </c>
      <c r="W15" s="6"/>
      <c r="AO15" s="8" t="s">
        <v>1146</v>
      </c>
      <c r="AT15" s="2" t="s">
        <v>1</v>
      </c>
    </row>
    <row r="16" spans="1:46" x14ac:dyDescent="0.2">
      <c r="O16" s="2" t="s">
        <v>1147</v>
      </c>
      <c r="S16" s="2" t="s">
        <v>1148</v>
      </c>
      <c r="W16" s="15" t="s">
        <v>253</v>
      </c>
      <c r="X16" s="8" t="s">
        <v>286</v>
      </c>
      <c r="Y16" s="8" t="s">
        <v>287</v>
      </c>
      <c r="Z16" s="15" t="s">
        <v>203</v>
      </c>
      <c r="AA16" s="8" t="s">
        <v>117</v>
      </c>
      <c r="AB16" s="8" t="s">
        <v>118</v>
      </c>
      <c r="AC16" s="8" t="s">
        <v>123</v>
      </c>
      <c r="AD16" s="8" t="s">
        <v>134</v>
      </c>
      <c r="AE16" s="8" t="s">
        <v>138</v>
      </c>
      <c r="AF16" s="8" t="s">
        <v>136</v>
      </c>
      <c r="AG16" s="8" t="s">
        <v>130</v>
      </c>
      <c r="AH16" s="8" t="s">
        <v>133</v>
      </c>
      <c r="AI16" s="8" t="s">
        <v>127</v>
      </c>
      <c r="AJ16" s="8" t="s">
        <v>121</v>
      </c>
      <c r="AK16" s="8" t="s">
        <v>112</v>
      </c>
      <c r="AL16" s="8" t="s">
        <v>115</v>
      </c>
      <c r="AM16" s="8" t="s">
        <v>120</v>
      </c>
      <c r="AN16" s="8" t="s">
        <v>160</v>
      </c>
      <c r="AO16" s="8" t="s">
        <v>1149</v>
      </c>
      <c r="AP16" s="8" t="s">
        <v>158</v>
      </c>
      <c r="AQ16" s="8" t="s">
        <v>156</v>
      </c>
      <c r="AR16" s="8" t="s">
        <v>157</v>
      </c>
      <c r="AT16" s="2" t="s">
        <v>1</v>
      </c>
    </row>
    <row r="17" spans="1:46" x14ac:dyDescent="0.2">
      <c r="A17" s="7">
        <v>31152</v>
      </c>
      <c r="B17" s="2">
        <v>34</v>
      </c>
      <c r="D17" s="2">
        <v>1950</v>
      </c>
      <c r="E17" s="2">
        <v>473</v>
      </c>
      <c r="F17" s="2">
        <v>346</v>
      </c>
      <c r="G17" s="2">
        <v>340</v>
      </c>
      <c r="H17" s="2">
        <v>236</v>
      </c>
      <c r="J17" s="2">
        <v>193</v>
      </c>
      <c r="K17" s="2">
        <v>193</v>
      </c>
      <c r="L17" s="2">
        <v>20</v>
      </c>
      <c r="M17" s="2">
        <v>45</v>
      </c>
      <c r="O17" s="12">
        <v>3.9</v>
      </c>
      <c r="P17" s="12">
        <v>0.91</v>
      </c>
      <c r="Q17" s="12">
        <v>2.54</v>
      </c>
      <c r="R17" s="12">
        <v>0.7</v>
      </c>
      <c r="S17" s="12">
        <v>0.22</v>
      </c>
      <c r="T17" s="2">
        <v>195</v>
      </c>
      <c r="U17" s="2">
        <v>224</v>
      </c>
      <c r="Y17" s="15" t="s">
        <v>291</v>
      </c>
      <c r="AA17" s="8" t="s">
        <v>266</v>
      </c>
      <c r="AB17" s="8" t="s">
        <v>266</v>
      </c>
      <c r="AC17" s="8" t="s">
        <v>266</v>
      </c>
      <c r="AD17" s="8" t="s">
        <v>371</v>
      </c>
      <c r="AE17" s="8" t="s">
        <v>266</v>
      </c>
      <c r="AF17" s="8" t="s">
        <v>144</v>
      </c>
      <c r="AG17" s="8" t="s">
        <v>144</v>
      </c>
      <c r="AH17" s="8" t="s">
        <v>144</v>
      </c>
      <c r="AI17" s="8" t="s">
        <v>144</v>
      </c>
      <c r="AJ17" s="8" t="s">
        <v>144</v>
      </c>
      <c r="AK17" s="8" t="s">
        <v>144</v>
      </c>
      <c r="AL17" s="8" t="s">
        <v>144</v>
      </c>
      <c r="AT17" s="2" t="s">
        <v>1</v>
      </c>
    </row>
    <row r="18" spans="1:46" x14ac:dyDescent="0.2">
      <c r="B18" s="2">
        <v>62</v>
      </c>
      <c r="D18" s="2">
        <v>2140</v>
      </c>
      <c r="E18" s="2">
        <v>405</v>
      </c>
      <c r="F18" s="2">
        <v>366</v>
      </c>
      <c r="G18" s="2">
        <v>335</v>
      </c>
      <c r="O18" s="12">
        <v>3.66</v>
      </c>
      <c r="P18" s="12">
        <v>0.75</v>
      </c>
      <c r="Q18" s="12">
        <v>2.19</v>
      </c>
      <c r="R18" s="12">
        <v>0.6</v>
      </c>
      <c r="S18" s="12">
        <v>0.17</v>
      </c>
      <c r="T18" s="2">
        <v>155</v>
      </c>
      <c r="U18" s="2">
        <v>186</v>
      </c>
      <c r="AT18" s="2" t="s">
        <v>1</v>
      </c>
    </row>
    <row r="19" spans="1:46" x14ac:dyDescent="0.2">
      <c r="B19" s="2">
        <v>70</v>
      </c>
      <c r="D19" s="2">
        <v>2000</v>
      </c>
      <c r="E19" s="2">
        <v>416</v>
      </c>
      <c r="F19" s="2">
        <v>338</v>
      </c>
      <c r="G19" s="2">
        <v>337</v>
      </c>
      <c r="H19" s="2">
        <v>234</v>
      </c>
      <c r="J19" s="2">
        <v>185</v>
      </c>
      <c r="K19" s="2">
        <v>206</v>
      </c>
      <c r="L19" s="2">
        <v>23</v>
      </c>
      <c r="M19" s="2">
        <v>60</v>
      </c>
      <c r="O19" s="12">
        <v>3.67</v>
      </c>
      <c r="P19" s="12">
        <v>1.03</v>
      </c>
      <c r="Q19" s="12">
        <v>2.71</v>
      </c>
      <c r="R19" s="12">
        <v>0.54</v>
      </c>
      <c r="S19" s="12">
        <v>0.16</v>
      </c>
      <c r="T19" s="2">
        <v>143</v>
      </c>
      <c r="U19" s="2">
        <v>162</v>
      </c>
      <c r="AT19" s="2" t="s">
        <v>1</v>
      </c>
    </row>
    <row r="20" spans="1:46" x14ac:dyDescent="0.2">
      <c r="B20" s="2">
        <v>39</v>
      </c>
      <c r="D20" s="2">
        <v>1920</v>
      </c>
      <c r="E20" s="2">
        <v>478</v>
      </c>
      <c r="F20" s="2">
        <v>344</v>
      </c>
      <c r="G20" s="2">
        <v>335</v>
      </c>
      <c r="H20" s="2">
        <v>240</v>
      </c>
      <c r="J20" s="2">
        <v>194</v>
      </c>
      <c r="K20" s="2">
        <v>187</v>
      </c>
      <c r="L20" s="2">
        <v>28</v>
      </c>
      <c r="O20" s="12">
        <v>4.0599999999999996</v>
      </c>
      <c r="P20" s="12">
        <v>1.1599999999999999</v>
      </c>
      <c r="Q20" s="12">
        <v>2.5</v>
      </c>
      <c r="R20" s="12">
        <v>0.7</v>
      </c>
      <c r="S20" s="12">
        <v>0.4</v>
      </c>
      <c r="T20" s="2">
        <v>174</v>
      </c>
      <c r="U20" s="2">
        <v>215</v>
      </c>
      <c r="W20" s="7">
        <v>32044</v>
      </c>
      <c r="X20" s="2">
        <v>530</v>
      </c>
      <c r="Y20" s="2">
        <v>62</v>
      </c>
      <c r="Z20" s="2" t="s">
        <v>1150</v>
      </c>
      <c r="AA20" s="4">
        <v>705</v>
      </c>
      <c r="AB20" s="4">
        <v>827</v>
      </c>
      <c r="AC20" s="4">
        <v>2181</v>
      </c>
      <c r="AD20" s="4"/>
      <c r="AE20" s="4">
        <v>354</v>
      </c>
      <c r="AF20" s="4">
        <v>528</v>
      </c>
      <c r="AG20" s="4">
        <v>277</v>
      </c>
      <c r="AH20" s="4">
        <v>43</v>
      </c>
      <c r="AI20" s="4">
        <v>54</v>
      </c>
      <c r="AJ20" s="4">
        <v>224</v>
      </c>
      <c r="AK20" s="4">
        <v>190</v>
      </c>
      <c r="AL20" s="4">
        <v>713</v>
      </c>
      <c r="AM20" s="4">
        <v>9.1999999999999993</v>
      </c>
      <c r="AN20" s="4">
        <v>7.2</v>
      </c>
      <c r="AO20" s="4">
        <v>1.8</v>
      </c>
      <c r="AP20" s="4">
        <v>1.2</v>
      </c>
      <c r="AQ20" s="4">
        <v>3.3</v>
      </c>
      <c r="AR20" s="4">
        <v>1.4</v>
      </c>
      <c r="AT20" s="2" t="s">
        <v>1</v>
      </c>
    </row>
    <row r="21" spans="1:46" x14ac:dyDescent="0.2">
      <c r="B21" s="2">
        <v>46</v>
      </c>
      <c r="D21" s="2">
        <v>1910</v>
      </c>
      <c r="E21" s="2">
        <v>452</v>
      </c>
      <c r="F21" s="2">
        <v>341</v>
      </c>
      <c r="G21" s="2">
        <v>335</v>
      </c>
      <c r="H21" s="2">
        <v>231</v>
      </c>
      <c r="J21" s="2">
        <v>194</v>
      </c>
      <c r="K21" s="2">
        <v>185</v>
      </c>
      <c r="O21" s="12">
        <v>3.97</v>
      </c>
      <c r="P21" s="12">
        <v>0.9</v>
      </c>
      <c r="Q21" s="12">
        <v>2.4</v>
      </c>
      <c r="R21" s="12">
        <v>0.65</v>
      </c>
      <c r="S21" s="12">
        <v>0.21</v>
      </c>
      <c r="T21" s="2">
        <v>178</v>
      </c>
      <c r="U21" s="2">
        <v>222</v>
      </c>
      <c r="W21" s="7">
        <v>32044</v>
      </c>
      <c r="Z21" s="2" t="s">
        <v>1151</v>
      </c>
      <c r="AA21" s="4">
        <v>585</v>
      </c>
      <c r="AB21" s="4">
        <v>309</v>
      </c>
      <c r="AC21" s="4">
        <v>1914</v>
      </c>
      <c r="AD21" s="4">
        <v>341</v>
      </c>
      <c r="AE21" s="4">
        <v>346</v>
      </c>
      <c r="AF21" s="4">
        <v>458</v>
      </c>
      <c r="AG21" s="4">
        <v>262</v>
      </c>
      <c r="AH21" s="4">
        <v>40</v>
      </c>
      <c r="AI21" s="4">
        <v>35</v>
      </c>
      <c r="AJ21" s="4">
        <v>217</v>
      </c>
      <c r="AK21" s="4">
        <v>182</v>
      </c>
      <c r="AL21" s="4">
        <v>886</v>
      </c>
      <c r="AM21" s="4">
        <v>5.6</v>
      </c>
      <c r="AN21" s="4">
        <v>9.5</v>
      </c>
      <c r="AO21" s="4">
        <v>3.7</v>
      </c>
      <c r="AP21" s="4">
        <v>2.7</v>
      </c>
      <c r="AQ21" s="4">
        <v>8.6999999999999993</v>
      </c>
      <c r="AR21" s="4">
        <v>4.9000000000000004</v>
      </c>
      <c r="AT21" s="2" t="s">
        <v>1</v>
      </c>
    </row>
    <row r="22" spans="1:46" x14ac:dyDescent="0.2">
      <c r="B22" s="2">
        <v>50</v>
      </c>
      <c r="D22" s="2">
        <v>1900</v>
      </c>
      <c r="E22" s="2">
        <v>468</v>
      </c>
      <c r="F22" s="2">
        <v>338</v>
      </c>
      <c r="G22" s="2">
        <v>337</v>
      </c>
      <c r="H22" s="2">
        <v>244</v>
      </c>
      <c r="J22" s="2">
        <v>192</v>
      </c>
      <c r="K22" s="2">
        <v>186</v>
      </c>
      <c r="O22" s="12">
        <v>3.92</v>
      </c>
      <c r="P22" s="12">
        <v>0.96</v>
      </c>
      <c r="Q22" s="12">
        <v>2.52</v>
      </c>
      <c r="R22" s="12">
        <v>0.65</v>
      </c>
      <c r="S22" s="12">
        <v>0.28999999999999998</v>
      </c>
      <c r="T22" s="2">
        <v>192</v>
      </c>
      <c r="U22" s="2">
        <v>265</v>
      </c>
      <c r="W22" s="7">
        <v>32044</v>
      </c>
      <c r="Z22" s="2" t="s">
        <v>1152</v>
      </c>
      <c r="AA22" s="4">
        <v>716</v>
      </c>
      <c r="AB22" s="4">
        <v>885</v>
      </c>
      <c r="AC22" s="4">
        <v>2654</v>
      </c>
      <c r="AD22" s="4">
        <v>381</v>
      </c>
      <c r="AE22" s="4">
        <v>350</v>
      </c>
      <c r="AF22" s="4">
        <v>471</v>
      </c>
      <c r="AG22" s="4">
        <v>269</v>
      </c>
      <c r="AH22" s="4">
        <v>41</v>
      </c>
      <c r="AI22" s="4">
        <v>77</v>
      </c>
      <c r="AJ22" s="4">
        <v>218</v>
      </c>
      <c r="AK22" s="4">
        <v>182</v>
      </c>
      <c r="AL22" s="4">
        <v>1309</v>
      </c>
      <c r="AM22" s="4">
        <v>10.7</v>
      </c>
      <c r="AN22" s="4">
        <v>5.5</v>
      </c>
      <c r="AO22" s="4">
        <v>0.2</v>
      </c>
      <c r="AP22" s="4">
        <v>0.5</v>
      </c>
      <c r="AQ22" s="4">
        <v>1.9</v>
      </c>
      <c r="AR22" s="4">
        <v>0</v>
      </c>
      <c r="AT22" s="2" t="s">
        <v>1</v>
      </c>
    </row>
    <row r="23" spans="1:46" x14ac:dyDescent="0.2">
      <c r="W23" s="7">
        <v>32044</v>
      </c>
      <c r="Z23" s="2" t="s">
        <v>1153</v>
      </c>
      <c r="AA23" s="4">
        <v>9195</v>
      </c>
      <c r="AB23" s="4">
        <v>17159</v>
      </c>
      <c r="AC23" s="4">
        <v>2661</v>
      </c>
      <c r="AD23" s="4">
        <v>509</v>
      </c>
      <c r="AE23" s="4">
        <v>474</v>
      </c>
      <c r="AF23" s="4">
        <v>477</v>
      </c>
      <c r="AG23" s="4">
        <v>255</v>
      </c>
      <c r="AH23" s="4">
        <v>64</v>
      </c>
      <c r="AI23" s="4">
        <v>135</v>
      </c>
      <c r="AJ23" s="4">
        <v>249</v>
      </c>
      <c r="AK23" s="4">
        <v>189</v>
      </c>
      <c r="AL23" s="4">
        <v>2467</v>
      </c>
      <c r="AM23" s="4">
        <v>141.19999999999999</v>
      </c>
      <c r="AN23" s="4">
        <v>163.80000000000001</v>
      </c>
      <c r="AO23" s="4">
        <v>37.5</v>
      </c>
      <c r="AP23" s="4">
        <v>39.1</v>
      </c>
      <c r="AQ23" s="4">
        <v>111.1</v>
      </c>
      <c r="AR23" s="4">
        <v>58.3</v>
      </c>
      <c r="AT23" s="2" t="s">
        <v>1</v>
      </c>
    </row>
    <row r="24" spans="1:46" x14ac:dyDescent="0.2">
      <c r="A24" s="7">
        <v>31182</v>
      </c>
      <c r="B24" s="2">
        <v>1</v>
      </c>
      <c r="C24" s="2">
        <v>561</v>
      </c>
      <c r="D24" s="2">
        <v>1889</v>
      </c>
      <c r="E24" s="2">
        <v>415</v>
      </c>
      <c r="F24" s="2">
        <v>364</v>
      </c>
      <c r="G24" s="2">
        <v>341</v>
      </c>
      <c r="H24" s="2">
        <v>242</v>
      </c>
      <c r="J24" s="2">
        <v>190</v>
      </c>
      <c r="K24" s="2">
        <v>161</v>
      </c>
      <c r="M24" s="2">
        <v>24</v>
      </c>
      <c r="P24" s="2">
        <v>1103</v>
      </c>
      <c r="W24" s="7">
        <v>32044</v>
      </c>
      <c r="Z24" s="2" t="s">
        <v>1151</v>
      </c>
      <c r="AA24" s="4">
        <v>619</v>
      </c>
      <c r="AB24" s="4">
        <v>511</v>
      </c>
      <c r="AC24" s="4">
        <v>2506</v>
      </c>
      <c r="AD24" s="4">
        <v>360</v>
      </c>
      <c r="AE24" s="4">
        <v>349</v>
      </c>
      <c r="AF24" s="4">
        <v>461</v>
      </c>
      <c r="AG24" s="4">
        <v>270</v>
      </c>
      <c r="AH24" s="4">
        <v>41</v>
      </c>
      <c r="AI24" s="4">
        <v>35</v>
      </c>
      <c r="AJ24" s="4">
        <v>218</v>
      </c>
      <c r="AK24" s="4">
        <v>180</v>
      </c>
      <c r="AL24" s="4">
        <v>1162</v>
      </c>
      <c r="AM24" s="4">
        <v>9.6999999999999993</v>
      </c>
      <c r="AN24" s="4">
        <v>7.9</v>
      </c>
      <c r="AO24" s="4">
        <v>1.9</v>
      </c>
      <c r="AP24" s="4">
        <v>2.1</v>
      </c>
      <c r="AQ24" s="4">
        <v>4.5999999999999996</v>
      </c>
      <c r="AR24" s="4">
        <v>2.8</v>
      </c>
      <c r="AT24" s="2" t="s">
        <v>1</v>
      </c>
    </row>
    <row r="25" spans="1:46" x14ac:dyDescent="0.2">
      <c r="B25" s="2">
        <v>2</v>
      </c>
      <c r="C25" s="2">
        <v>523</v>
      </c>
      <c r="D25" s="2">
        <v>1863</v>
      </c>
      <c r="E25" s="2">
        <v>340</v>
      </c>
      <c r="F25" s="2">
        <v>365</v>
      </c>
      <c r="G25" s="2">
        <v>340</v>
      </c>
      <c r="H25" s="2">
        <v>248</v>
      </c>
      <c r="J25" s="2">
        <v>191</v>
      </c>
      <c r="K25" s="2">
        <v>161</v>
      </c>
      <c r="M25" s="2">
        <v>25</v>
      </c>
      <c r="P25" s="2">
        <v>897</v>
      </c>
      <c r="W25" s="7">
        <v>32046</v>
      </c>
      <c r="Z25" s="2" t="s">
        <v>1151</v>
      </c>
      <c r="AA25" s="4"/>
      <c r="AB25" s="4">
        <v>792</v>
      </c>
      <c r="AC25" s="4">
        <v>2549</v>
      </c>
      <c r="AD25" s="4">
        <v>360</v>
      </c>
      <c r="AE25" s="4">
        <v>346</v>
      </c>
      <c r="AF25" s="4">
        <v>459</v>
      </c>
      <c r="AG25" s="4">
        <v>270</v>
      </c>
      <c r="AH25" s="4">
        <v>41</v>
      </c>
      <c r="AI25" s="4">
        <v>40</v>
      </c>
      <c r="AJ25" s="4">
        <v>216</v>
      </c>
      <c r="AK25" s="4">
        <v>178</v>
      </c>
      <c r="AL25" s="4">
        <v>1142</v>
      </c>
      <c r="AM25" s="4">
        <v>5.8</v>
      </c>
      <c r="AN25" s="4">
        <v>3.1</v>
      </c>
      <c r="AO25" s="4">
        <v>0</v>
      </c>
      <c r="AP25" s="4">
        <v>0</v>
      </c>
      <c r="AQ25" s="4">
        <v>0.4</v>
      </c>
      <c r="AR25" s="4">
        <v>0</v>
      </c>
      <c r="AT25" s="2" t="s">
        <v>1</v>
      </c>
    </row>
    <row r="26" spans="1:46" x14ac:dyDescent="0.2">
      <c r="B26" s="2">
        <v>17</v>
      </c>
      <c r="C26" s="2">
        <v>489</v>
      </c>
      <c r="D26" s="2">
        <v>1739</v>
      </c>
      <c r="E26" s="2">
        <v>245</v>
      </c>
      <c r="F26" s="2">
        <v>425</v>
      </c>
      <c r="G26" s="2">
        <v>343</v>
      </c>
      <c r="H26" s="2">
        <v>241</v>
      </c>
      <c r="J26" s="2">
        <v>199</v>
      </c>
      <c r="K26" s="2">
        <v>158</v>
      </c>
      <c r="L26" s="2">
        <v>46</v>
      </c>
      <c r="M26" s="2">
        <v>47</v>
      </c>
      <c r="P26" s="2">
        <v>840</v>
      </c>
      <c r="W26" s="7">
        <v>32046</v>
      </c>
      <c r="Z26" s="2" t="s">
        <v>1151</v>
      </c>
      <c r="AA26" s="4">
        <v>553</v>
      </c>
      <c r="AB26" s="4">
        <v>347</v>
      </c>
      <c r="AC26" s="4">
        <v>2055</v>
      </c>
      <c r="AD26" s="4">
        <v>344</v>
      </c>
      <c r="AE26" s="4">
        <v>345</v>
      </c>
      <c r="AF26" s="4">
        <v>458</v>
      </c>
      <c r="AG26" s="4">
        <v>270</v>
      </c>
      <c r="AH26" s="4">
        <v>46</v>
      </c>
      <c r="AI26" s="4">
        <v>52</v>
      </c>
      <c r="AJ26" s="4">
        <v>214</v>
      </c>
      <c r="AK26" s="4">
        <v>208</v>
      </c>
      <c r="AL26" s="4">
        <v>1021</v>
      </c>
      <c r="AM26" s="4">
        <v>2.7</v>
      </c>
      <c r="AN26" s="4">
        <v>2.2000000000000002</v>
      </c>
      <c r="AO26" s="4">
        <v>0.5</v>
      </c>
      <c r="AP26" s="4">
        <v>0</v>
      </c>
      <c r="AQ26" s="4">
        <v>0.5</v>
      </c>
      <c r="AR26" s="4">
        <v>0</v>
      </c>
      <c r="AT26" s="2" t="s">
        <v>1</v>
      </c>
    </row>
    <row r="27" spans="1:46" x14ac:dyDescent="0.2">
      <c r="W27" s="7">
        <v>32046</v>
      </c>
      <c r="Z27" s="2" t="s">
        <v>1151</v>
      </c>
      <c r="AA27" s="4">
        <v>556</v>
      </c>
      <c r="AB27" s="4">
        <v>335</v>
      </c>
      <c r="AC27" s="4">
        <v>2066</v>
      </c>
      <c r="AD27" s="4">
        <v>353</v>
      </c>
      <c r="AE27" s="4">
        <v>343</v>
      </c>
      <c r="AF27" s="4"/>
      <c r="AG27" s="4">
        <v>273</v>
      </c>
      <c r="AH27" s="4">
        <v>42</v>
      </c>
      <c r="AI27" s="4">
        <v>116</v>
      </c>
      <c r="AJ27" s="4">
        <v>218</v>
      </c>
      <c r="AK27" s="4">
        <v>258</v>
      </c>
      <c r="AL27" s="4">
        <v>1007</v>
      </c>
      <c r="AM27" s="4">
        <v>12.3</v>
      </c>
      <c r="AN27" s="4">
        <v>1.4</v>
      </c>
      <c r="AO27" s="4">
        <v>0</v>
      </c>
      <c r="AP27" s="4">
        <v>0</v>
      </c>
      <c r="AQ27" s="4">
        <v>0</v>
      </c>
      <c r="AR27" s="4">
        <v>0</v>
      </c>
      <c r="AT27" s="2" t="s">
        <v>1</v>
      </c>
    </row>
    <row r="28" spans="1:46" x14ac:dyDescent="0.2">
      <c r="A28" s="7">
        <v>31243</v>
      </c>
      <c r="B28" s="2">
        <v>1</v>
      </c>
      <c r="C28" s="2">
        <v>585</v>
      </c>
      <c r="D28" s="2">
        <v>1916</v>
      </c>
      <c r="E28" s="2">
        <v>463</v>
      </c>
      <c r="F28" s="2">
        <v>324</v>
      </c>
      <c r="G28" s="2">
        <v>338</v>
      </c>
      <c r="H28" s="2">
        <v>239</v>
      </c>
      <c r="J28" s="2">
        <v>184</v>
      </c>
      <c r="K28" s="2">
        <v>160</v>
      </c>
      <c r="M28" s="2">
        <v>39</v>
      </c>
      <c r="O28" s="2">
        <v>2760</v>
      </c>
      <c r="P28" s="2">
        <v>1490</v>
      </c>
      <c r="Q28" s="2">
        <v>1750</v>
      </c>
      <c r="R28" s="2">
        <v>481</v>
      </c>
      <c r="S28" s="2">
        <v>408</v>
      </c>
      <c r="T28" s="2">
        <v>111</v>
      </c>
      <c r="U28" s="2">
        <v>155</v>
      </c>
      <c r="W28" s="7">
        <v>32046</v>
      </c>
      <c r="Z28" s="2" t="s">
        <v>1151</v>
      </c>
      <c r="AA28" s="4">
        <v>547</v>
      </c>
      <c r="AB28" s="4">
        <v>318</v>
      </c>
      <c r="AC28" s="4">
        <v>2260</v>
      </c>
      <c r="AD28" s="4">
        <v>343</v>
      </c>
      <c r="AE28" s="4">
        <v>346</v>
      </c>
      <c r="AF28" s="4">
        <v>461</v>
      </c>
      <c r="AG28" s="4">
        <v>274</v>
      </c>
      <c r="AH28" s="4">
        <v>40</v>
      </c>
      <c r="AI28" s="4">
        <v>40</v>
      </c>
      <c r="AJ28" s="4">
        <v>220</v>
      </c>
      <c r="AK28" s="4">
        <v>189</v>
      </c>
      <c r="AL28" s="4">
        <v>848</v>
      </c>
      <c r="AM28" s="4">
        <v>3.5</v>
      </c>
      <c r="AN28" s="4">
        <v>1.4</v>
      </c>
      <c r="AO28" s="4">
        <v>0</v>
      </c>
      <c r="AP28" s="4">
        <v>0</v>
      </c>
      <c r="AQ28" s="4">
        <v>0.1</v>
      </c>
      <c r="AR28" s="4">
        <v>0</v>
      </c>
      <c r="AT28" s="2" t="s">
        <v>1</v>
      </c>
    </row>
    <row r="29" spans="1:46" x14ac:dyDescent="0.2">
      <c r="B29" s="2">
        <v>2</v>
      </c>
      <c r="C29" s="2">
        <v>649</v>
      </c>
      <c r="D29" s="2">
        <v>1907</v>
      </c>
      <c r="E29" s="2">
        <v>373</v>
      </c>
      <c r="F29" s="2">
        <v>328</v>
      </c>
      <c r="G29" s="2">
        <v>337</v>
      </c>
      <c r="H29" s="2">
        <v>239</v>
      </c>
      <c r="J29" s="2">
        <v>183</v>
      </c>
      <c r="K29" s="2">
        <v>159</v>
      </c>
      <c r="M29" s="2">
        <v>41</v>
      </c>
      <c r="O29" s="2">
        <v>2700</v>
      </c>
      <c r="P29" s="2">
        <v>1310</v>
      </c>
      <c r="Q29" s="2">
        <v>1510</v>
      </c>
      <c r="R29" s="2">
        <v>474</v>
      </c>
      <c r="S29" s="2">
        <v>345</v>
      </c>
      <c r="T29" s="2">
        <v>106</v>
      </c>
      <c r="U29" s="2">
        <v>161</v>
      </c>
      <c r="W29" s="7">
        <v>32047</v>
      </c>
      <c r="X29" s="2">
        <v>600</v>
      </c>
      <c r="Z29" s="2" t="s">
        <v>1150</v>
      </c>
      <c r="AA29" s="4">
        <v>1133</v>
      </c>
      <c r="AB29" s="4">
        <v>1962</v>
      </c>
      <c r="AC29" s="4">
        <v>3056</v>
      </c>
      <c r="AD29" s="4">
        <v>407</v>
      </c>
      <c r="AE29" s="4">
        <v>357</v>
      </c>
      <c r="AF29" s="4">
        <v>899</v>
      </c>
      <c r="AG29" s="4">
        <v>1337</v>
      </c>
      <c r="AH29" s="4">
        <v>39</v>
      </c>
      <c r="AI29" s="4">
        <v>306</v>
      </c>
      <c r="AJ29" s="4">
        <v>220</v>
      </c>
      <c r="AK29" s="4">
        <v>414</v>
      </c>
      <c r="AL29" s="4">
        <v>1117</v>
      </c>
      <c r="AM29" s="4">
        <v>12.3</v>
      </c>
      <c r="AN29" s="4">
        <v>11.3</v>
      </c>
      <c r="AO29" s="4">
        <v>1.2</v>
      </c>
      <c r="AP29" s="4">
        <v>1.7</v>
      </c>
      <c r="AQ29" s="4">
        <v>5.4</v>
      </c>
      <c r="AR29" s="4">
        <v>1.8</v>
      </c>
      <c r="AT29" s="2" t="s">
        <v>1</v>
      </c>
    </row>
    <row r="30" spans="1:46" x14ac:dyDescent="0.2">
      <c r="B30" s="2">
        <v>10</v>
      </c>
      <c r="C30" s="2">
        <v>580</v>
      </c>
      <c r="D30" s="2">
        <v>2080</v>
      </c>
      <c r="E30" s="2">
        <v>337</v>
      </c>
      <c r="F30" s="2">
        <v>400</v>
      </c>
      <c r="G30" s="2">
        <v>342</v>
      </c>
      <c r="H30" s="2">
        <v>236</v>
      </c>
      <c r="J30" s="2">
        <v>169</v>
      </c>
      <c r="K30" s="2">
        <v>161</v>
      </c>
      <c r="M30" s="2">
        <v>40</v>
      </c>
      <c r="O30" s="2">
        <v>2070</v>
      </c>
      <c r="P30" s="2">
        <v>1470</v>
      </c>
      <c r="Q30" s="2">
        <v>1970</v>
      </c>
      <c r="R30" s="2">
        <v>305</v>
      </c>
      <c r="S30" s="2">
        <v>475</v>
      </c>
      <c r="T30" s="2">
        <v>88</v>
      </c>
      <c r="U30" s="2">
        <v>112</v>
      </c>
      <c r="W30" s="7">
        <v>32048</v>
      </c>
      <c r="X30" s="2">
        <v>600</v>
      </c>
      <c r="Z30" s="2" t="s">
        <v>1150</v>
      </c>
      <c r="AA30" s="4">
        <v>763</v>
      </c>
      <c r="AB30" s="4">
        <v>653</v>
      </c>
      <c r="AC30" s="4">
        <v>2074</v>
      </c>
      <c r="AD30" s="4">
        <v>376</v>
      </c>
      <c r="AE30" s="4">
        <v>352</v>
      </c>
      <c r="AF30" s="4">
        <v>483</v>
      </c>
      <c r="AG30" s="4">
        <v>277</v>
      </c>
      <c r="AH30" s="4">
        <v>40</v>
      </c>
      <c r="AI30" s="4">
        <v>79</v>
      </c>
      <c r="AJ30" s="4">
        <v>222</v>
      </c>
      <c r="AK30" s="4">
        <v>204</v>
      </c>
      <c r="AL30" s="4">
        <v>765</v>
      </c>
      <c r="AM30" s="4">
        <v>5.0999999999999996</v>
      </c>
      <c r="AN30" s="4">
        <v>3.1</v>
      </c>
      <c r="AO30" s="4">
        <v>0.2</v>
      </c>
      <c r="AP30" s="4">
        <v>0</v>
      </c>
      <c r="AQ30" s="4">
        <v>2.7</v>
      </c>
      <c r="AR30" s="4">
        <v>0</v>
      </c>
      <c r="AT30" s="2" t="s">
        <v>1</v>
      </c>
    </row>
    <row r="31" spans="1:46" x14ac:dyDescent="0.2">
      <c r="B31" s="2">
        <v>17</v>
      </c>
      <c r="C31" s="2">
        <v>577</v>
      </c>
      <c r="D31" s="2">
        <v>2341</v>
      </c>
      <c r="E31" s="2">
        <v>443</v>
      </c>
      <c r="F31" s="2">
        <v>332</v>
      </c>
      <c r="G31" s="2">
        <v>354</v>
      </c>
      <c r="H31" s="2">
        <v>244</v>
      </c>
      <c r="J31" s="2">
        <v>178</v>
      </c>
      <c r="K31" s="2">
        <v>171</v>
      </c>
      <c r="M31" s="2">
        <v>44</v>
      </c>
      <c r="O31" s="2">
        <v>3030</v>
      </c>
      <c r="P31" s="2">
        <v>1460</v>
      </c>
      <c r="Q31" s="2">
        <v>2290</v>
      </c>
      <c r="R31" s="2">
        <v>440</v>
      </c>
      <c r="S31" s="2">
        <v>513</v>
      </c>
      <c r="T31" s="2">
        <v>116</v>
      </c>
      <c r="U31" s="2">
        <v>140</v>
      </c>
      <c r="W31" s="7">
        <v>32049</v>
      </c>
      <c r="X31" s="2">
        <v>730</v>
      </c>
      <c r="Z31" s="2" t="s">
        <v>1150</v>
      </c>
      <c r="AA31" s="4">
        <v>3191</v>
      </c>
      <c r="AB31" s="4">
        <v>3749</v>
      </c>
      <c r="AC31" s="4">
        <v>2925</v>
      </c>
      <c r="AD31" s="4">
        <v>411</v>
      </c>
      <c r="AE31" s="4">
        <v>358</v>
      </c>
      <c r="AF31" s="4">
        <v>509</v>
      </c>
      <c r="AG31" s="4">
        <v>291</v>
      </c>
      <c r="AH31" s="4">
        <v>49</v>
      </c>
      <c r="AI31" s="4">
        <v>234</v>
      </c>
      <c r="AJ31" s="4">
        <v>233</v>
      </c>
      <c r="AK31" s="4">
        <v>200</v>
      </c>
      <c r="AL31" s="4">
        <v>1848</v>
      </c>
      <c r="AM31" s="4">
        <v>28.2</v>
      </c>
      <c r="AN31" s="4">
        <v>25.3</v>
      </c>
      <c r="AO31" s="4">
        <v>4.2</v>
      </c>
      <c r="AP31" s="4">
        <v>3.5</v>
      </c>
      <c r="AQ31" s="4">
        <v>12.4</v>
      </c>
      <c r="AR31" s="4">
        <v>5.7</v>
      </c>
      <c r="AT31" s="2" t="s">
        <v>1</v>
      </c>
    </row>
    <row r="32" spans="1:46" x14ac:dyDescent="0.2">
      <c r="B32" s="2">
        <v>18</v>
      </c>
      <c r="C32" s="2">
        <v>584</v>
      </c>
      <c r="D32" s="2">
        <v>2342</v>
      </c>
      <c r="E32" s="2">
        <v>410</v>
      </c>
      <c r="F32" s="2">
        <v>388</v>
      </c>
      <c r="G32" s="2">
        <v>342</v>
      </c>
      <c r="H32" s="2">
        <v>245</v>
      </c>
      <c r="J32" s="2">
        <v>175</v>
      </c>
      <c r="K32" s="2">
        <v>171</v>
      </c>
      <c r="M32" s="2">
        <v>45</v>
      </c>
      <c r="O32" s="2">
        <v>2900</v>
      </c>
      <c r="P32" s="2">
        <v>1250</v>
      </c>
      <c r="Q32" s="2">
        <v>2310</v>
      </c>
      <c r="R32" s="2">
        <v>443</v>
      </c>
      <c r="S32" s="2">
        <v>297</v>
      </c>
      <c r="T32" s="2">
        <v>135</v>
      </c>
      <c r="U32" s="2">
        <v>175</v>
      </c>
      <c r="W32" s="7">
        <v>32050</v>
      </c>
      <c r="X32" s="2">
        <v>730</v>
      </c>
      <c r="Z32" s="2" t="s">
        <v>1150</v>
      </c>
      <c r="AA32" s="4">
        <v>2212</v>
      </c>
      <c r="AB32" s="4">
        <v>4478</v>
      </c>
      <c r="AC32" s="4">
        <v>3303</v>
      </c>
      <c r="AD32" s="4"/>
      <c r="AE32" s="4"/>
      <c r="AF32" s="4"/>
      <c r="AG32" s="4">
        <v>426</v>
      </c>
      <c r="AH32" s="4">
        <v>52</v>
      </c>
      <c r="AI32" s="4">
        <v>277</v>
      </c>
      <c r="AJ32" s="4">
        <v>247</v>
      </c>
      <c r="AK32" s="4">
        <v>267</v>
      </c>
      <c r="AL32" s="4">
        <v>1663</v>
      </c>
      <c r="AM32" s="4">
        <v>42.1</v>
      </c>
      <c r="AN32" s="4">
        <v>26.5</v>
      </c>
      <c r="AO32" s="4">
        <v>3.8</v>
      </c>
      <c r="AP32" s="4">
        <v>4.3</v>
      </c>
      <c r="AQ32" s="4">
        <v>12.6</v>
      </c>
      <c r="AR32" s="4">
        <v>4.5999999999999996</v>
      </c>
      <c r="AT32" s="2" t="s">
        <v>1</v>
      </c>
    </row>
    <row r="33" spans="1:46" x14ac:dyDescent="0.2">
      <c r="B33" s="2">
        <v>3</v>
      </c>
      <c r="C33" s="4">
        <v>558</v>
      </c>
      <c r="D33" s="4">
        <v>1923.5</v>
      </c>
      <c r="E33" s="4">
        <v>340</v>
      </c>
      <c r="F33" s="4">
        <v>365.5</v>
      </c>
      <c r="G33" s="4">
        <v>340</v>
      </c>
      <c r="H33" s="4">
        <v>237</v>
      </c>
      <c r="I33" s="4"/>
      <c r="J33" s="4">
        <v>180.5</v>
      </c>
      <c r="K33" s="4">
        <v>158.5</v>
      </c>
      <c r="M33" s="4">
        <v>33</v>
      </c>
      <c r="O33" s="4">
        <v>1935</v>
      </c>
      <c r="P33" s="4">
        <v>1590</v>
      </c>
      <c r="Q33" s="4">
        <v>2190</v>
      </c>
      <c r="R33" s="4">
        <v>278.5</v>
      </c>
      <c r="S33" s="4">
        <v>352</v>
      </c>
      <c r="T33" s="4">
        <v>77</v>
      </c>
      <c r="U33" s="4">
        <v>98</v>
      </c>
      <c r="W33" s="7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T33" s="2" t="s">
        <v>1</v>
      </c>
    </row>
    <row r="34" spans="1:46" x14ac:dyDescent="0.2">
      <c r="B34" s="2">
        <v>13</v>
      </c>
      <c r="C34" s="4">
        <v>549.5</v>
      </c>
      <c r="D34" s="4">
        <v>1990</v>
      </c>
      <c r="E34" s="4">
        <v>321</v>
      </c>
      <c r="F34" s="4">
        <v>342.5</v>
      </c>
      <c r="G34" s="4">
        <v>340.5</v>
      </c>
      <c r="H34" s="4">
        <v>236</v>
      </c>
      <c r="I34" s="4"/>
      <c r="J34" s="4">
        <v>176.5</v>
      </c>
      <c r="K34" s="4">
        <v>162</v>
      </c>
      <c r="M34" s="4">
        <v>33.5</v>
      </c>
      <c r="O34" s="4">
        <v>2020</v>
      </c>
      <c r="P34" s="4">
        <v>1540</v>
      </c>
      <c r="Q34" s="4">
        <v>2165</v>
      </c>
      <c r="R34" s="4">
        <v>297</v>
      </c>
      <c r="S34" s="4">
        <v>420</v>
      </c>
      <c r="T34" s="4">
        <v>96.5</v>
      </c>
      <c r="U34" s="4">
        <v>118</v>
      </c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T34" s="2" t="s">
        <v>1</v>
      </c>
    </row>
    <row r="35" spans="1:46" x14ac:dyDescent="0.2">
      <c r="B35" s="2">
        <v>23</v>
      </c>
      <c r="C35" s="4">
        <v>576</v>
      </c>
      <c r="D35" s="4">
        <v>2067</v>
      </c>
      <c r="E35" s="4">
        <v>341.5</v>
      </c>
      <c r="F35" s="4">
        <v>323</v>
      </c>
      <c r="G35" s="4">
        <v>340.5</v>
      </c>
      <c r="H35" s="4">
        <v>236</v>
      </c>
      <c r="I35" s="4"/>
      <c r="J35" s="4">
        <v>171</v>
      </c>
      <c r="K35" s="4">
        <v>165.5</v>
      </c>
      <c r="M35" s="4">
        <v>35.5</v>
      </c>
      <c r="O35" s="4">
        <v>2335</v>
      </c>
      <c r="P35" s="4">
        <v>1580</v>
      </c>
      <c r="Q35" s="4">
        <v>1940</v>
      </c>
      <c r="R35" s="4">
        <v>330.5</v>
      </c>
      <c r="S35" s="4">
        <v>594</v>
      </c>
      <c r="T35" s="4">
        <v>102.5</v>
      </c>
      <c r="U35" s="4">
        <v>139.5</v>
      </c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T35" s="2" t="s">
        <v>1</v>
      </c>
    </row>
    <row r="36" spans="1:46" x14ac:dyDescent="0.2">
      <c r="W36" s="7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T36" s="2" t="s">
        <v>1</v>
      </c>
    </row>
    <row r="37" spans="1:46" x14ac:dyDescent="0.2">
      <c r="A37" s="15" t="s">
        <v>253</v>
      </c>
      <c r="B37" s="8" t="s">
        <v>286</v>
      </c>
      <c r="C37" s="8" t="s">
        <v>117</v>
      </c>
      <c r="D37" s="8" t="s">
        <v>123</v>
      </c>
      <c r="E37" s="8" t="s">
        <v>118</v>
      </c>
      <c r="F37" s="8" t="s">
        <v>134</v>
      </c>
      <c r="G37" s="8" t="s">
        <v>138</v>
      </c>
      <c r="H37" s="8" t="s">
        <v>130</v>
      </c>
      <c r="I37" s="8" t="s">
        <v>136</v>
      </c>
      <c r="J37" s="8" t="s">
        <v>121</v>
      </c>
      <c r="K37" s="8" t="s">
        <v>112</v>
      </c>
      <c r="M37" s="8" t="s">
        <v>127</v>
      </c>
      <c r="N37" s="8" t="s">
        <v>115</v>
      </c>
      <c r="O37" s="8" t="s">
        <v>126</v>
      </c>
      <c r="P37" s="8" t="s">
        <v>122</v>
      </c>
      <c r="Q37" s="8" t="s">
        <v>113</v>
      </c>
      <c r="R37" s="8" t="s">
        <v>131</v>
      </c>
      <c r="S37" s="8" t="s">
        <v>129</v>
      </c>
      <c r="T37" s="8" t="s">
        <v>149</v>
      </c>
      <c r="U37" s="8" t="s">
        <v>151</v>
      </c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T37" s="2" t="s">
        <v>1</v>
      </c>
    </row>
    <row r="38" spans="1:46" x14ac:dyDescent="0.2"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T38" s="2" t="s">
        <v>1</v>
      </c>
    </row>
    <row r="39" spans="1:46" x14ac:dyDescent="0.2">
      <c r="A39" s="7">
        <v>31269</v>
      </c>
      <c r="B39" s="2">
        <v>1310</v>
      </c>
      <c r="C39" s="4">
        <v>577</v>
      </c>
      <c r="D39" s="4">
        <v>2060</v>
      </c>
      <c r="E39" s="4">
        <v>385</v>
      </c>
      <c r="F39" s="4">
        <v>630</v>
      </c>
      <c r="G39" s="4">
        <v>364</v>
      </c>
      <c r="H39" s="4">
        <v>239</v>
      </c>
      <c r="I39" s="4">
        <v>401</v>
      </c>
      <c r="J39" s="4">
        <v>172</v>
      </c>
      <c r="K39" s="4">
        <v>166</v>
      </c>
      <c r="L39" s="4"/>
      <c r="M39" s="4">
        <v>79</v>
      </c>
      <c r="N39" s="4">
        <v>987</v>
      </c>
      <c r="O39" s="4">
        <v>2040</v>
      </c>
      <c r="P39" s="4">
        <v>1630</v>
      </c>
      <c r="Q39" s="4">
        <v>2090</v>
      </c>
      <c r="R39" s="4">
        <v>312</v>
      </c>
      <c r="S39" s="4">
        <v>518</v>
      </c>
      <c r="T39" s="4">
        <v>181</v>
      </c>
      <c r="U39" s="4">
        <v>140</v>
      </c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T39" s="2" t="s">
        <v>1</v>
      </c>
    </row>
    <row r="40" spans="1:46" x14ac:dyDescent="0.2">
      <c r="A40" s="7">
        <v>31269</v>
      </c>
      <c r="C40" s="4">
        <v>633</v>
      </c>
      <c r="D40" s="4">
        <v>2096</v>
      </c>
      <c r="E40" s="4">
        <v>366</v>
      </c>
      <c r="F40" s="4">
        <v>386</v>
      </c>
      <c r="G40" s="4">
        <v>344</v>
      </c>
      <c r="H40" s="4">
        <v>234</v>
      </c>
      <c r="I40" s="4">
        <v>436</v>
      </c>
      <c r="J40" s="4">
        <v>158</v>
      </c>
      <c r="K40" s="4">
        <v>163</v>
      </c>
      <c r="L40" s="4"/>
      <c r="M40" s="4">
        <v>48</v>
      </c>
      <c r="N40" s="4">
        <v>1255</v>
      </c>
      <c r="O40" s="4">
        <v>2530</v>
      </c>
      <c r="P40" s="4">
        <v>2290</v>
      </c>
      <c r="Q40" s="4">
        <v>2210</v>
      </c>
      <c r="R40" s="4">
        <v>406</v>
      </c>
      <c r="S40" s="4">
        <v>1170</v>
      </c>
      <c r="T40" s="4">
        <v>131</v>
      </c>
      <c r="U40" s="4">
        <v>191</v>
      </c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T40" s="2" t="s">
        <v>1</v>
      </c>
    </row>
    <row r="41" spans="1:46" x14ac:dyDescent="0.2">
      <c r="A41" s="7">
        <v>31269</v>
      </c>
      <c r="C41" s="4">
        <v>633</v>
      </c>
      <c r="D41" s="4">
        <v>2096</v>
      </c>
      <c r="E41" s="4">
        <v>366</v>
      </c>
      <c r="F41" s="4">
        <v>386</v>
      </c>
      <c r="G41" s="4">
        <v>344</v>
      </c>
      <c r="H41" s="4">
        <v>234</v>
      </c>
      <c r="I41" s="4">
        <v>436</v>
      </c>
      <c r="J41" s="4">
        <v>158</v>
      </c>
      <c r="K41" s="4">
        <v>163</v>
      </c>
      <c r="L41" s="4"/>
      <c r="M41" s="4">
        <v>48</v>
      </c>
      <c r="N41" s="4">
        <v>1255</v>
      </c>
      <c r="O41" s="4">
        <v>2530</v>
      </c>
      <c r="P41" s="4">
        <v>2290</v>
      </c>
      <c r="Q41" s="4">
        <v>2210</v>
      </c>
      <c r="R41" s="4">
        <v>406</v>
      </c>
      <c r="S41" s="4">
        <v>1170</v>
      </c>
      <c r="T41" s="4">
        <v>131</v>
      </c>
      <c r="U41" s="4">
        <v>191</v>
      </c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T41" s="2" t="s">
        <v>1</v>
      </c>
    </row>
    <row r="42" spans="1:46" x14ac:dyDescent="0.2">
      <c r="A42" s="7">
        <v>31262</v>
      </c>
      <c r="C42" s="4">
        <v>584</v>
      </c>
      <c r="D42" s="4">
        <v>2342</v>
      </c>
      <c r="E42" s="4">
        <v>410</v>
      </c>
      <c r="F42" s="4">
        <v>388</v>
      </c>
      <c r="G42" s="4">
        <v>342</v>
      </c>
      <c r="H42" s="4">
        <v>245</v>
      </c>
      <c r="I42" s="4">
        <v>411</v>
      </c>
      <c r="J42" s="4">
        <v>175</v>
      </c>
      <c r="K42" s="4">
        <v>171</v>
      </c>
      <c r="L42" s="4"/>
      <c r="M42" s="4">
        <v>45</v>
      </c>
      <c r="N42" s="4">
        <v>1030</v>
      </c>
      <c r="O42" s="4">
        <v>2900</v>
      </c>
      <c r="P42" s="4">
        <v>1250</v>
      </c>
      <c r="Q42" s="4">
        <v>2310</v>
      </c>
      <c r="R42" s="4">
        <v>443</v>
      </c>
      <c r="S42" s="4">
        <v>297</v>
      </c>
      <c r="T42" s="4">
        <v>135</v>
      </c>
      <c r="U42" s="4">
        <v>175</v>
      </c>
      <c r="AM42" s="4"/>
      <c r="AN42" s="4"/>
      <c r="AO42" s="4"/>
      <c r="AP42" s="4"/>
      <c r="AQ42" s="4"/>
      <c r="AR42" s="4"/>
      <c r="AT42" s="2" t="s">
        <v>1</v>
      </c>
    </row>
    <row r="43" spans="1:46" x14ac:dyDescent="0.2">
      <c r="A43" s="7">
        <v>31262</v>
      </c>
      <c r="B43" s="2">
        <v>1538</v>
      </c>
      <c r="C43" s="4">
        <v>577</v>
      </c>
      <c r="D43" s="4">
        <v>2341</v>
      </c>
      <c r="E43" s="4">
        <v>443</v>
      </c>
      <c r="F43" s="4">
        <v>332</v>
      </c>
      <c r="G43" s="4">
        <v>354</v>
      </c>
      <c r="H43" s="4">
        <v>244</v>
      </c>
      <c r="I43" s="4">
        <v>413</v>
      </c>
      <c r="J43" s="4">
        <v>178</v>
      </c>
      <c r="K43" s="4">
        <v>171</v>
      </c>
      <c r="L43" s="4"/>
      <c r="M43" s="4">
        <v>44</v>
      </c>
      <c r="N43" s="4">
        <v>1114</v>
      </c>
      <c r="O43" s="4">
        <v>3030</v>
      </c>
      <c r="P43" s="4">
        <v>1460</v>
      </c>
      <c r="Q43" s="4">
        <v>2290</v>
      </c>
      <c r="R43" s="4">
        <v>440</v>
      </c>
      <c r="S43" s="4">
        <v>513</v>
      </c>
      <c r="T43" s="4">
        <v>116</v>
      </c>
      <c r="U43" s="4">
        <v>140</v>
      </c>
      <c r="AM43" s="4"/>
      <c r="AN43" s="4"/>
      <c r="AO43" s="4"/>
      <c r="AP43" s="4"/>
      <c r="AQ43" s="4"/>
      <c r="AR43" s="4"/>
      <c r="AT43" s="2" t="s">
        <v>1</v>
      </c>
    </row>
    <row r="44" spans="1:46" x14ac:dyDescent="0.2">
      <c r="A44" s="7">
        <v>31255</v>
      </c>
      <c r="C44" s="4">
        <v>558</v>
      </c>
      <c r="D44" s="4">
        <v>2058</v>
      </c>
      <c r="E44" s="4">
        <v>330</v>
      </c>
      <c r="F44" s="4">
        <v>315</v>
      </c>
      <c r="G44" s="4">
        <v>341</v>
      </c>
      <c r="H44" s="4">
        <v>236</v>
      </c>
      <c r="I44" s="4">
        <v>401</v>
      </c>
      <c r="J44" s="4">
        <v>170</v>
      </c>
      <c r="K44" s="4">
        <v>164</v>
      </c>
      <c r="L44" s="4"/>
      <c r="M44" s="4">
        <v>37</v>
      </c>
      <c r="N44" s="4">
        <v>939</v>
      </c>
      <c r="O44" s="4">
        <v>2120</v>
      </c>
      <c r="P44" s="4">
        <v>1370</v>
      </c>
      <c r="Q44" s="4">
        <v>1980</v>
      </c>
      <c r="R44" s="4">
        <v>313</v>
      </c>
      <c r="S44" s="4">
        <v>485</v>
      </c>
      <c r="T44" s="4">
        <v>117</v>
      </c>
      <c r="U44" s="4">
        <v>141</v>
      </c>
      <c r="AM44" s="4"/>
      <c r="AN44" s="4"/>
      <c r="AO44" s="4"/>
      <c r="AP44" s="4"/>
      <c r="AQ44" s="4"/>
      <c r="AR44" s="4"/>
      <c r="AT44" s="2" t="s">
        <v>1</v>
      </c>
    </row>
    <row r="45" spans="1:46" x14ac:dyDescent="0.2">
      <c r="A45" s="7">
        <v>31255</v>
      </c>
      <c r="C45" s="4">
        <v>558</v>
      </c>
      <c r="D45" s="4">
        <v>2058</v>
      </c>
      <c r="E45" s="4">
        <v>330</v>
      </c>
      <c r="F45" s="4">
        <v>315</v>
      </c>
      <c r="G45" s="4">
        <v>341</v>
      </c>
      <c r="H45" s="4">
        <v>236</v>
      </c>
      <c r="I45" s="4">
        <v>401</v>
      </c>
      <c r="J45" s="4">
        <v>170</v>
      </c>
      <c r="K45" s="4">
        <v>164</v>
      </c>
      <c r="L45" s="4"/>
      <c r="M45" s="4">
        <v>37</v>
      </c>
      <c r="N45" s="4">
        <v>939</v>
      </c>
      <c r="O45" s="4">
        <v>2120</v>
      </c>
      <c r="P45" s="4">
        <v>1370</v>
      </c>
      <c r="Q45" s="4">
        <v>1980</v>
      </c>
      <c r="R45" s="4">
        <v>313</v>
      </c>
      <c r="S45" s="4">
        <v>485</v>
      </c>
      <c r="T45" s="4">
        <v>117</v>
      </c>
      <c r="U45" s="4">
        <v>141</v>
      </c>
      <c r="AA45" s="8" t="s">
        <v>117</v>
      </c>
      <c r="AB45" s="8" t="s">
        <v>118</v>
      </c>
      <c r="AC45" s="8" t="s">
        <v>123</v>
      </c>
      <c r="AD45" s="8" t="s">
        <v>134</v>
      </c>
      <c r="AE45" s="8" t="s">
        <v>138</v>
      </c>
      <c r="AF45" s="8" t="s">
        <v>136</v>
      </c>
      <c r="AG45" s="8" t="s">
        <v>130</v>
      </c>
      <c r="AH45" s="8" t="s">
        <v>133</v>
      </c>
      <c r="AI45" s="8" t="s">
        <v>127</v>
      </c>
      <c r="AJ45" s="8" t="s">
        <v>121</v>
      </c>
      <c r="AK45" s="8" t="s">
        <v>112</v>
      </c>
      <c r="AL45" s="8" t="s">
        <v>115</v>
      </c>
      <c r="AM45" s="8" t="s">
        <v>120</v>
      </c>
      <c r="AN45" s="8" t="s">
        <v>160</v>
      </c>
      <c r="AO45" s="8" t="s">
        <v>120</v>
      </c>
      <c r="AP45" s="8" t="s">
        <v>158</v>
      </c>
      <c r="AQ45" s="8" t="s">
        <v>156</v>
      </c>
      <c r="AR45" s="8" t="s">
        <v>157</v>
      </c>
    </row>
    <row r="46" spans="1:46" x14ac:dyDescent="0.2">
      <c r="A46" s="7">
        <v>31248</v>
      </c>
      <c r="C46" s="4">
        <v>580</v>
      </c>
      <c r="D46" s="4">
        <v>2080</v>
      </c>
      <c r="E46" s="4">
        <v>337</v>
      </c>
      <c r="F46" s="4">
        <v>400</v>
      </c>
      <c r="G46" s="4">
        <v>342</v>
      </c>
      <c r="H46" s="4">
        <v>236</v>
      </c>
      <c r="I46" s="4">
        <v>407</v>
      </c>
      <c r="J46" s="4">
        <v>169</v>
      </c>
      <c r="K46" s="4">
        <v>161</v>
      </c>
      <c r="L46" s="4"/>
      <c r="M46" s="4">
        <v>40</v>
      </c>
      <c r="N46" s="4">
        <v>1128</v>
      </c>
      <c r="O46" s="4">
        <v>2070</v>
      </c>
      <c r="P46" s="4">
        <v>1470</v>
      </c>
      <c r="Q46" s="4">
        <v>1970</v>
      </c>
      <c r="R46" s="4">
        <v>305</v>
      </c>
      <c r="S46" s="4">
        <v>475</v>
      </c>
      <c r="T46" s="4">
        <v>88</v>
      </c>
      <c r="U46" s="4">
        <v>112</v>
      </c>
      <c r="AM46" s="4"/>
      <c r="AN46" s="4"/>
      <c r="AO46" s="4"/>
      <c r="AP46" s="4"/>
      <c r="AQ46" s="4"/>
      <c r="AR46" s="4"/>
    </row>
    <row r="47" spans="1:46" x14ac:dyDescent="0.2">
      <c r="A47" s="7">
        <v>31248</v>
      </c>
      <c r="C47" s="4"/>
      <c r="D47" s="4">
        <v>2157</v>
      </c>
      <c r="E47" s="4">
        <v>367</v>
      </c>
      <c r="F47" s="4">
        <v>310</v>
      </c>
      <c r="G47" s="4">
        <v>468</v>
      </c>
      <c r="H47" s="4">
        <v>243</v>
      </c>
      <c r="I47" s="4">
        <v>407</v>
      </c>
      <c r="J47" s="4">
        <v>176</v>
      </c>
      <c r="K47" s="4">
        <v>167</v>
      </c>
      <c r="L47" s="4"/>
      <c r="M47" s="4">
        <v>32</v>
      </c>
      <c r="N47" s="4">
        <v>1555</v>
      </c>
      <c r="O47" s="4">
        <v>16500</v>
      </c>
      <c r="P47" s="4">
        <v>3140</v>
      </c>
      <c r="Q47" s="4">
        <v>1850</v>
      </c>
      <c r="R47" s="4">
        <v>5150</v>
      </c>
      <c r="S47" s="4">
        <v>4780</v>
      </c>
      <c r="T47" s="4">
        <v>394</v>
      </c>
      <c r="U47" s="4">
        <v>1640</v>
      </c>
      <c r="W47" s="7">
        <f>AVERAGE(W20:W41)</f>
        <v>32046</v>
      </c>
      <c r="AA47" s="4"/>
      <c r="AB47" s="4"/>
      <c r="AC47" s="4"/>
      <c r="AD47" s="4">
        <f t="shared" ref="AD47:AR47" si="0">AVERAGE(AD20:AD41)</f>
        <v>380.45454545454544</v>
      </c>
      <c r="AE47" s="4">
        <f t="shared" si="0"/>
        <v>360</v>
      </c>
      <c r="AF47" s="4">
        <f t="shared" si="0"/>
        <v>514.90909090909088</v>
      </c>
      <c r="AG47" s="4">
        <f t="shared" si="0"/>
        <v>365.46153846153845</v>
      </c>
      <c r="AH47" s="4">
        <f t="shared" si="0"/>
        <v>44.46153846153846</v>
      </c>
      <c r="AI47" s="4">
        <f t="shared" si="0"/>
        <v>113.84615384615384</v>
      </c>
      <c r="AJ47" s="4">
        <f t="shared" si="0"/>
        <v>224.30769230769232</v>
      </c>
      <c r="AK47" s="4">
        <f t="shared" si="0"/>
        <v>218.53846153846155</v>
      </c>
      <c r="AL47" s="4">
        <f t="shared" si="0"/>
        <v>1226.7692307692307</v>
      </c>
      <c r="AM47" s="4">
        <f t="shared" si="0"/>
        <v>22.184615384615384</v>
      </c>
      <c r="AN47" s="4">
        <f t="shared" si="0"/>
        <v>20.630769230769236</v>
      </c>
      <c r="AO47" s="4">
        <f t="shared" si="0"/>
        <v>4.2307692307692317</v>
      </c>
      <c r="AP47" s="4">
        <f t="shared" si="0"/>
        <v>4.2384615384615385</v>
      </c>
      <c r="AQ47" s="4">
        <f t="shared" si="0"/>
        <v>12.592307692307692</v>
      </c>
      <c r="AR47" s="4">
        <f t="shared" si="0"/>
        <v>6.1153846153846141</v>
      </c>
    </row>
    <row r="48" spans="1:46" x14ac:dyDescent="0.2">
      <c r="A48" s="7">
        <v>31241</v>
      </c>
      <c r="B48" s="2">
        <v>1333</v>
      </c>
      <c r="C48" s="4">
        <v>575</v>
      </c>
      <c r="D48" s="4">
        <v>1925</v>
      </c>
      <c r="E48" s="4">
        <v>368</v>
      </c>
      <c r="F48" s="4">
        <v>361</v>
      </c>
      <c r="G48" s="4">
        <v>340</v>
      </c>
      <c r="H48" s="4">
        <v>238</v>
      </c>
      <c r="I48" s="4">
        <v>416</v>
      </c>
      <c r="J48" s="4">
        <v>178</v>
      </c>
      <c r="K48" s="4">
        <v>157</v>
      </c>
      <c r="L48" s="4"/>
      <c r="M48" s="4">
        <v>36</v>
      </c>
      <c r="N48" s="4">
        <v>1034</v>
      </c>
      <c r="O48" s="4">
        <v>1950</v>
      </c>
      <c r="P48" s="4">
        <v>1470</v>
      </c>
      <c r="Q48" s="4">
        <v>2030</v>
      </c>
      <c r="R48" s="4">
        <v>276</v>
      </c>
      <c r="S48" s="4">
        <v>349</v>
      </c>
      <c r="T48" s="4">
        <v>78</v>
      </c>
      <c r="U48" s="4">
        <v>101</v>
      </c>
      <c r="AA48" s="4"/>
      <c r="AB48" s="4"/>
      <c r="AC48" s="4"/>
      <c r="AD48" s="4">
        <f t="shared" ref="AD48:AR48" si="1">STDEV(AD20:AD41)</f>
        <v>49.051735211638835</v>
      </c>
      <c r="AE48" s="4">
        <f t="shared" si="1"/>
        <v>36.221540552549669</v>
      </c>
      <c r="AF48" s="4">
        <f t="shared" si="1"/>
        <v>129.43373172821265</v>
      </c>
      <c r="AG48" s="4">
        <f t="shared" si="1"/>
        <v>295.12867684695755</v>
      </c>
      <c r="AH48" s="4">
        <f t="shared" si="1"/>
        <v>7.042908781360449</v>
      </c>
      <c r="AI48" s="4">
        <f t="shared" si="1"/>
        <v>96.501162474730634</v>
      </c>
      <c r="AJ48" s="4">
        <f t="shared" si="1"/>
        <v>11.513648533983593</v>
      </c>
      <c r="AK48" s="4">
        <f t="shared" si="1"/>
        <v>65.278397887580155</v>
      </c>
      <c r="AL48" s="4">
        <f t="shared" si="1"/>
        <v>497.66189222639804</v>
      </c>
      <c r="AM48" s="4">
        <f t="shared" si="1"/>
        <v>37.431489554336601</v>
      </c>
      <c r="AN48" s="4">
        <f t="shared" si="1"/>
        <v>43.808320834733834</v>
      </c>
      <c r="AO48" s="4">
        <f t="shared" si="1"/>
        <v>10.11577848506848</v>
      </c>
      <c r="AP48" s="4">
        <f t="shared" si="1"/>
        <v>10.576273639735506</v>
      </c>
      <c r="AQ48" s="4">
        <f t="shared" si="1"/>
        <v>29.920156570960142</v>
      </c>
      <c r="AR48" s="4">
        <f t="shared" si="1"/>
        <v>15.820390121287893</v>
      </c>
    </row>
    <row r="49" spans="1:44" x14ac:dyDescent="0.2">
      <c r="A49" s="7">
        <v>31241</v>
      </c>
      <c r="B49" s="2">
        <v>1333</v>
      </c>
      <c r="C49" s="4">
        <v>575</v>
      </c>
      <c r="D49" s="4">
        <v>1925</v>
      </c>
      <c r="E49" s="4">
        <v>368</v>
      </c>
      <c r="F49" s="4">
        <v>361</v>
      </c>
      <c r="G49" s="4">
        <v>340</v>
      </c>
      <c r="H49" s="4">
        <v>238</v>
      </c>
      <c r="I49" s="4">
        <v>416</v>
      </c>
      <c r="J49" s="4">
        <v>178</v>
      </c>
      <c r="K49" s="4">
        <v>157</v>
      </c>
      <c r="L49" s="4"/>
      <c r="M49" s="4">
        <v>36</v>
      </c>
      <c r="N49" s="4">
        <v>1034</v>
      </c>
      <c r="O49" s="4">
        <v>1950</v>
      </c>
      <c r="P49" s="4">
        <v>1470</v>
      </c>
      <c r="Q49" s="4">
        <v>2030</v>
      </c>
      <c r="R49" s="4">
        <v>276</v>
      </c>
      <c r="S49" s="4">
        <v>349</v>
      </c>
      <c r="T49" s="4">
        <v>78</v>
      </c>
      <c r="U49" s="4">
        <v>101</v>
      </c>
      <c r="AA49" s="4"/>
      <c r="AB49" s="4"/>
      <c r="AC49" s="4"/>
      <c r="AD49" s="4">
        <f t="shared" ref="AD49:AR49" si="2">COUNT(AD20:AD41)</f>
        <v>11</v>
      </c>
      <c r="AE49" s="4">
        <f t="shared" si="2"/>
        <v>12</v>
      </c>
      <c r="AF49" s="4">
        <f t="shared" si="2"/>
        <v>11</v>
      </c>
      <c r="AG49" s="4">
        <f t="shared" si="2"/>
        <v>13</v>
      </c>
      <c r="AH49" s="4">
        <f t="shared" si="2"/>
        <v>13</v>
      </c>
      <c r="AI49" s="4">
        <f t="shared" si="2"/>
        <v>13</v>
      </c>
      <c r="AJ49" s="4">
        <f t="shared" si="2"/>
        <v>13</v>
      </c>
      <c r="AK49" s="4">
        <f t="shared" si="2"/>
        <v>13</v>
      </c>
      <c r="AL49" s="4">
        <f t="shared" si="2"/>
        <v>13</v>
      </c>
      <c r="AM49" s="4">
        <f t="shared" si="2"/>
        <v>13</v>
      </c>
      <c r="AN49" s="4">
        <f t="shared" si="2"/>
        <v>13</v>
      </c>
      <c r="AO49" s="4">
        <f t="shared" si="2"/>
        <v>13</v>
      </c>
      <c r="AP49" s="4">
        <f t="shared" si="2"/>
        <v>13</v>
      </c>
      <c r="AQ49" s="4">
        <f t="shared" si="2"/>
        <v>13</v>
      </c>
      <c r="AR49" s="4">
        <f t="shared" si="2"/>
        <v>13</v>
      </c>
    </row>
    <row r="50" spans="1:44" x14ac:dyDescent="0.2">
      <c r="A50" s="7">
        <v>31234</v>
      </c>
      <c r="B50" s="2">
        <v>1430</v>
      </c>
      <c r="C50" s="4">
        <v>585</v>
      </c>
      <c r="D50" s="4">
        <v>1916</v>
      </c>
      <c r="E50" s="4">
        <v>463</v>
      </c>
      <c r="F50" s="4">
        <v>324</v>
      </c>
      <c r="G50" s="4">
        <v>338</v>
      </c>
      <c r="H50" s="4">
        <v>239</v>
      </c>
      <c r="I50" s="4">
        <v>410</v>
      </c>
      <c r="J50" s="4">
        <v>184</v>
      </c>
      <c r="K50" s="4">
        <v>160</v>
      </c>
      <c r="L50" s="4"/>
      <c r="M50" s="4">
        <v>39</v>
      </c>
      <c r="N50" s="4">
        <v>1040</v>
      </c>
      <c r="O50" s="4">
        <v>2760</v>
      </c>
      <c r="P50" s="4">
        <v>1490</v>
      </c>
      <c r="Q50" s="4">
        <v>1750</v>
      </c>
      <c r="R50" s="4">
        <v>481</v>
      </c>
      <c r="S50" s="4">
        <v>408</v>
      </c>
      <c r="T50" s="4">
        <v>111</v>
      </c>
      <c r="U50" s="4">
        <v>155</v>
      </c>
      <c r="AM50" s="4"/>
      <c r="AN50" s="4"/>
      <c r="AO50" s="4"/>
      <c r="AP50" s="4"/>
      <c r="AQ50" s="4"/>
      <c r="AR50" s="4"/>
    </row>
    <row r="51" spans="1:44" x14ac:dyDescent="0.2">
      <c r="A51" s="7">
        <v>31234</v>
      </c>
      <c r="C51" s="4">
        <v>649</v>
      </c>
      <c r="D51" s="4">
        <v>1907</v>
      </c>
      <c r="E51" s="4">
        <v>373</v>
      </c>
      <c r="F51" s="4">
        <v>328</v>
      </c>
      <c r="G51" s="4">
        <v>337</v>
      </c>
      <c r="H51" s="4">
        <v>239</v>
      </c>
      <c r="I51" s="4">
        <v>408</v>
      </c>
      <c r="J51" s="4">
        <v>183</v>
      </c>
      <c r="K51" s="4">
        <v>159</v>
      </c>
      <c r="L51" s="4"/>
      <c r="M51" s="4">
        <v>41</v>
      </c>
      <c r="N51" s="4">
        <v>969</v>
      </c>
      <c r="O51" s="4">
        <v>2700</v>
      </c>
      <c r="P51" s="4">
        <v>1310</v>
      </c>
      <c r="Q51" s="4">
        <v>1510</v>
      </c>
      <c r="R51" s="4">
        <v>474</v>
      </c>
      <c r="S51" s="4">
        <v>345</v>
      </c>
      <c r="T51" s="4">
        <v>106</v>
      </c>
      <c r="U51" s="4">
        <v>161</v>
      </c>
      <c r="AM51" s="4"/>
      <c r="AN51" s="4"/>
      <c r="AO51" s="4"/>
      <c r="AP51" s="4"/>
      <c r="AQ51" s="4"/>
      <c r="AR51" s="4"/>
    </row>
    <row r="52" spans="1:44" x14ac:dyDescent="0.2">
      <c r="A52" s="7">
        <v>31167</v>
      </c>
      <c r="C52" s="4"/>
      <c r="D52" s="4">
        <v>1920</v>
      </c>
      <c r="E52" s="4">
        <v>478</v>
      </c>
      <c r="F52" s="4">
        <v>344</v>
      </c>
      <c r="G52" s="4">
        <v>335</v>
      </c>
      <c r="H52" s="4">
        <v>240</v>
      </c>
      <c r="I52" s="4"/>
      <c r="J52" s="4">
        <v>194</v>
      </c>
      <c r="K52" s="4">
        <v>187</v>
      </c>
      <c r="L52" s="4"/>
      <c r="M52" s="4"/>
      <c r="N52" s="4"/>
      <c r="O52" s="4">
        <v>4060</v>
      </c>
      <c r="P52" s="4">
        <v>1160</v>
      </c>
      <c r="Q52" s="4">
        <v>2500</v>
      </c>
      <c r="R52" s="4">
        <v>700</v>
      </c>
      <c r="S52" s="4">
        <v>400</v>
      </c>
      <c r="T52" s="4">
        <v>174</v>
      </c>
      <c r="U52" s="4">
        <v>215</v>
      </c>
      <c r="AM52" s="4"/>
      <c r="AN52" s="4"/>
      <c r="AO52" s="4"/>
      <c r="AP52" s="4"/>
      <c r="AQ52" s="4"/>
      <c r="AR52" s="4"/>
    </row>
    <row r="53" spans="1:44" x14ac:dyDescent="0.2">
      <c r="A53" s="7">
        <v>31167</v>
      </c>
      <c r="C53" s="4"/>
      <c r="D53" s="4">
        <v>1910</v>
      </c>
      <c r="E53" s="4">
        <v>452</v>
      </c>
      <c r="F53" s="4">
        <v>341</v>
      </c>
      <c r="G53" s="4">
        <v>335</v>
      </c>
      <c r="H53" s="4">
        <v>231</v>
      </c>
      <c r="I53" s="4"/>
      <c r="J53" s="4">
        <v>194</v>
      </c>
      <c r="K53" s="4">
        <v>185</v>
      </c>
      <c r="L53" s="4"/>
      <c r="M53" s="4"/>
      <c r="N53" s="4"/>
      <c r="O53" s="4">
        <v>3970</v>
      </c>
      <c r="P53" s="4">
        <v>900</v>
      </c>
      <c r="Q53" s="4">
        <v>2400</v>
      </c>
      <c r="R53" s="4">
        <v>650</v>
      </c>
      <c r="S53" s="4">
        <v>210</v>
      </c>
      <c r="T53" s="4">
        <v>178</v>
      </c>
      <c r="U53" s="4">
        <v>222</v>
      </c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</row>
    <row r="54" spans="1:44" x14ac:dyDescent="0.2">
      <c r="A54" s="7">
        <v>31167</v>
      </c>
      <c r="C54" s="4"/>
      <c r="D54" s="4">
        <v>1900</v>
      </c>
      <c r="E54" s="4">
        <v>468</v>
      </c>
      <c r="F54" s="4">
        <v>338</v>
      </c>
      <c r="G54" s="4">
        <v>337</v>
      </c>
      <c r="H54" s="4">
        <v>244</v>
      </c>
      <c r="I54" s="4"/>
      <c r="J54" s="4">
        <v>192</v>
      </c>
      <c r="K54" s="4">
        <v>186</v>
      </c>
      <c r="L54" s="4"/>
      <c r="M54" s="4"/>
      <c r="N54" s="4"/>
      <c r="O54" s="4">
        <v>3920</v>
      </c>
      <c r="P54" s="4">
        <v>960</v>
      </c>
      <c r="Q54" s="4">
        <v>2520</v>
      </c>
      <c r="R54" s="4">
        <v>650</v>
      </c>
      <c r="S54" s="4">
        <v>290</v>
      </c>
      <c r="T54" s="4">
        <v>192</v>
      </c>
      <c r="U54" s="4">
        <v>265</v>
      </c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</row>
    <row r="55" spans="1:44" x14ac:dyDescent="0.2">
      <c r="A55" s="7">
        <v>31167</v>
      </c>
      <c r="C55" s="4"/>
      <c r="D55" s="4">
        <v>1910</v>
      </c>
      <c r="E55" s="4">
        <v>452</v>
      </c>
      <c r="F55" s="4">
        <v>341</v>
      </c>
      <c r="G55" s="4">
        <v>335</v>
      </c>
      <c r="H55" s="4">
        <v>231</v>
      </c>
      <c r="I55" s="4"/>
      <c r="J55" s="4">
        <v>194</v>
      </c>
      <c r="K55" s="4">
        <v>185</v>
      </c>
      <c r="L55" s="4"/>
      <c r="M55" s="4"/>
      <c r="N55" s="4"/>
      <c r="O55" s="4">
        <v>3970</v>
      </c>
      <c r="P55" s="4">
        <v>900</v>
      </c>
      <c r="Q55" s="4">
        <v>2400</v>
      </c>
      <c r="R55" s="4">
        <v>650</v>
      </c>
      <c r="S55" s="4">
        <v>210</v>
      </c>
      <c r="T55" s="4">
        <v>178</v>
      </c>
      <c r="U55" s="4">
        <v>222</v>
      </c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</row>
    <row r="56" spans="1:44" x14ac:dyDescent="0.2">
      <c r="A56" s="7">
        <v>31167</v>
      </c>
      <c r="C56" s="4"/>
      <c r="D56" s="4">
        <v>1900</v>
      </c>
      <c r="E56" s="4">
        <v>468</v>
      </c>
      <c r="F56" s="4">
        <v>338</v>
      </c>
      <c r="G56" s="4">
        <v>337</v>
      </c>
      <c r="H56" s="4">
        <v>244</v>
      </c>
      <c r="I56" s="4"/>
      <c r="J56" s="4">
        <v>192</v>
      </c>
      <c r="K56" s="4">
        <v>186</v>
      </c>
      <c r="L56" s="4"/>
      <c r="M56" s="4"/>
      <c r="N56" s="4"/>
      <c r="O56" s="4">
        <v>3920</v>
      </c>
      <c r="P56" s="4">
        <v>960</v>
      </c>
      <c r="Q56" s="4">
        <v>2520</v>
      </c>
      <c r="R56" s="4">
        <v>650</v>
      </c>
      <c r="S56" s="4">
        <v>290</v>
      </c>
      <c r="T56" s="4">
        <v>192</v>
      </c>
      <c r="U56" s="4">
        <v>265</v>
      </c>
      <c r="AM56" s="4"/>
      <c r="AN56" s="4"/>
      <c r="AO56" s="4"/>
      <c r="AP56" s="4"/>
      <c r="AQ56" s="4"/>
      <c r="AR56" s="4"/>
    </row>
    <row r="57" spans="1:44" x14ac:dyDescent="0.2">
      <c r="A57" s="7">
        <v>31167</v>
      </c>
      <c r="C57" s="4"/>
      <c r="D57" s="4">
        <v>1920</v>
      </c>
      <c r="E57" s="4">
        <v>478</v>
      </c>
      <c r="F57" s="4">
        <v>344</v>
      </c>
      <c r="G57" s="4">
        <v>335</v>
      </c>
      <c r="H57" s="4">
        <v>240</v>
      </c>
      <c r="I57" s="4"/>
      <c r="J57" s="4">
        <v>194</v>
      </c>
      <c r="K57" s="4">
        <v>187</v>
      </c>
      <c r="L57" s="4"/>
      <c r="M57" s="4"/>
      <c r="N57" s="4"/>
      <c r="O57" s="4">
        <v>4060</v>
      </c>
      <c r="P57" s="4">
        <v>1160</v>
      </c>
      <c r="Q57" s="4">
        <v>2500</v>
      </c>
      <c r="R57" s="4">
        <v>700</v>
      </c>
      <c r="S57" s="4">
        <v>400</v>
      </c>
      <c r="T57" s="4">
        <v>174</v>
      </c>
      <c r="U57" s="4">
        <v>215</v>
      </c>
      <c r="AM57" s="4"/>
      <c r="AN57" s="4"/>
      <c r="AO57" s="4"/>
      <c r="AP57" s="4"/>
      <c r="AQ57" s="4"/>
      <c r="AR57" s="4"/>
    </row>
    <row r="58" spans="1:44" x14ac:dyDescent="0.2">
      <c r="AM58" s="4"/>
      <c r="AN58" s="4"/>
      <c r="AO58" s="4"/>
      <c r="AP58" s="4"/>
      <c r="AQ58" s="4"/>
      <c r="AR58" s="4"/>
    </row>
    <row r="61" spans="1:44" x14ac:dyDescent="0.2">
      <c r="C61" s="2" t="s">
        <v>117</v>
      </c>
      <c r="D61" s="2" t="s">
        <v>123</v>
      </c>
      <c r="E61" s="2" t="s">
        <v>118</v>
      </c>
      <c r="F61" s="2" t="s">
        <v>134</v>
      </c>
      <c r="G61" s="2" t="s">
        <v>138</v>
      </c>
      <c r="H61" s="2" t="s">
        <v>130</v>
      </c>
      <c r="I61" s="8" t="s">
        <v>136</v>
      </c>
      <c r="J61" s="2" t="s">
        <v>139</v>
      </c>
      <c r="K61" s="2" t="s">
        <v>137</v>
      </c>
      <c r="L61" s="2" t="s">
        <v>133</v>
      </c>
      <c r="M61" s="2" t="s">
        <v>127</v>
      </c>
      <c r="N61" s="8" t="s">
        <v>115</v>
      </c>
      <c r="O61" s="2" t="s">
        <v>126</v>
      </c>
      <c r="P61" s="2" t="s">
        <v>122</v>
      </c>
      <c r="Q61" s="2" t="s">
        <v>113</v>
      </c>
      <c r="R61" s="2" t="s">
        <v>131</v>
      </c>
      <c r="S61" s="2" t="s">
        <v>129</v>
      </c>
      <c r="T61" s="2" t="s">
        <v>152</v>
      </c>
      <c r="U61" s="2" t="s">
        <v>154</v>
      </c>
      <c r="W61" s="15" t="s">
        <v>253</v>
      </c>
      <c r="AA61" s="8" t="s">
        <v>117</v>
      </c>
      <c r="AB61" s="8" t="s">
        <v>118</v>
      </c>
      <c r="AC61" s="8" t="s">
        <v>123</v>
      </c>
      <c r="AD61" s="8" t="s">
        <v>134</v>
      </c>
      <c r="AE61" s="8" t="s">
        <v>138</v>
      </c>
      <c r="AF61" s="8" t="s">
        <v>136</v>
      </c>
      <c r="AG61" s="8" t="s">
        <v>130</v>
      </c>
      <c r="AH61" s="8" t="s">
        <v>133</v>
      </c>
      <c r="AI61" s="8" t="s">
        <v>127</v>
      </c>
      <c r="AJ61" s="8" t="s">
        <v>121</v>
      </c>
      <c r="AK61" s="8" t="s">
        <v>112</v>
      </c>
      <c r="AL61" s="8" t="s">
        <v>115</v>
      </c>
      <c r="AM61" s="8" t="s">
        <v>120</v>
      </c>
      <c r="AN61" s="8" t="s">
        <v>160</v>
      </c>
      <c r="AO61" s="8" t="s">
        <v>1149</v>
      </c>
      <c r="AP61" s="8" t="s">
        <v>158</v>
      </c>
      <c r="AQ61" s="8" t="s">
        <v>156</v>
      </c>
      <c r="AR61" s="8" t="s">
        <v>157</v>
      </c>
    </row>
    <row r="64" spans="1:44" x14ac:dyDescent="0.2">
      <c r="A64" s="7">
        <f>AVERAGE(A17:A57)</f>
        <v>31221.18181818182</v>
      </c>
      <c r="C64" s="4">
        <f t="shared" ref="C64:U64" si="3">AVERAGE(C17:C57)</f>
        <v>578.93478260869563</v>
      </c>
      <c r="D64" s="4">
        <f t="shared" si="3"/>
        <v>2008.2916666666667</v>
      </c>
      <c r="E64" s="4">
        <f t="shared" si="3"/>
        <v>400.625</v>
      </c>
      <c r="F64" s="4">
        <f t="shared" si="3"/>
        <v>358.66666666666669</v>
      </c>
      <c r="G64" s="4">
        <f t="shared" si="3"/>
        <v>344.05555555555554</v>
      </c>
      <c r="H64" s="4">
        <f t="shared" si="3"/>
        <v>238.82857142857142</v>
      </c>
      <c r="I64" s="4">
        <f t="shared" si="3"/>
        <v>412.53846153846155</v>
      </c>
      <c r="J64" s="4">
        <f t="shared" si="3"/>
        <v>181.82857142857142</v>
      </c>
      <c r="K64" s="4">
        <f t="shared" si="3"/>
        <v>170.97142857142856</v>
      </c>
      <c r="L64" s="4">
        <f t="shared" si="3"/>
        <v>29.25</v>
      </c>
      <c r="M64" s="4">
        <f t="shared" si="3"/>
        <v>41.307692307692307</v>
      </c>
      <c r="N64" s="4">
        <f t="shared" si="3"/>
        <v>1098.3846153846155</v>
      </c>
      <c r="O64" s="4">
        <f t="shared" si="3"/>
        <v>2693.1266666666666</v>
      </c>
      <c r="P64" s="4">
        <f t="shared" si="3"/>
        <v>1182.9363888888888</v>
      </c>
      <c r="Q64" s="4">
        <f t="shared" si="3"/>
        <v>1733.0260606060606</v>
      </c>
      <c r="R64" s="4">
        <f t="shared" si="3"/>
        <v>504.48</v>
      </c>
      <c r="S64" s="4">
        <f t="shared" si="3"/>
        <v>501.49848484848485</v>
      </c>
      <c r="T64" s="4">
        <f t="shared" si="3"/>
        <v>143.63636363636363</v>
      </c>
      <c r="U64" s="4">
        <f t="shared" si="3"/>
        <v>217.13636363636363</v>
      </c>
      <c r="W64" s="7">
        <f>AVERAGE(W17:W57)</f>
        <v>32046</v>
      </c>
      <c r="Y64" s="4"/>
      <c r="Z64" s="4"/>
      <c r="AA64" s="4">
        <f t="shared" ref="AA64:AQ64" si="4">AVERAGE(AA17:AA57)</f>
        <v>1731.25</v>
      </c>
      <c r="AB64" s="4">
        <f t="shared" si="4"/>
        <v>2486.5384615384614</v>
      </c>
      <c r="AC64" s="4">
        <f t="shared" si="4"/>
        <v>2477.2307692307691</v>
      </c>
      <c r="AD64" s="4">
        <f t="shared" si="4"/>
        <v>330.39330576187024</v>
      </c>
      <c r="AE64" s="4">
        <f t="shared" si="4"/>
        <v>315.21476937016996</v>
      </c>
      <c r="AF64" s="4">
        <f t="shared" si="4"/>
        <v>451.38163018837884</v>
      </c>
      <c r="AG64" s="4">
        <f t="shared" si="4"/>
        <v>339.03688845678096</v>
      </c>
      <c r="AH64" s="4">
        <f t="shared" si="4"/>
        <v>40.156527952681181</v>
      </c>
      <c r="AI64" s="4">
        <f t="shared" si="4"/>
        <v>106.45920727005527</v>
      </c>
      <c r="AJ64" s="4">
        <f t="shared" si="4"/>
        <v>197.80133380260474</v>
      </c>
      <c r="AK64" s="4">
        <f t="shared" si="4"/>
        <v>196.11355371412759</v>
      </c>
      <c r="AL64" s="4">
        <f t="shared" si="4"/>
        <v>1105.3394451872268</v>
      </c>
      <c r="AM64" s="4">
        <f t="shared" si="4"/>
        <v>22.563506558684498</v>
      </c>
      <c r="AN64" s="4">
        <f t="shared" si="4"/>
        <v>21.602443129093945</v>
      </c>
      <c r="AO64" s="4">
        <f t="shared" si="4"/>
        <v>5.1466592322398572</v>
      </c>
      <c r="AP64" s="4">
        <f t="shared" si="4"/>
        <v>5.1821709486373155</v>
      </c>
      <c r="AQ64" s="4">
        <f t="shared" si="4"/>
        <v>13.700779016454238</v>
      </c>
    </row>
    <row r="65" spans="3:43" x14ac:dyDescent="0.2">
      <c r="C65" s="4">
        <f t="shared" ref="C65:U65" si="5">STDEV(C17:C57)</f>
        <v>36.6569800955196</v>
      </c>
      <c r="D65" s="4">
        <f t="shared" si="5"/>
        <v>149.10554147985246</v>
      </c>
      <c r="E65" s="4">
        <f t="shared" si="5"/>
        <v>59.438128094923812</v>
      </c>
      <c r="F65" s="4">
        <f t="shared" si="5"/>
        <v>53.906400362109139</v>
      </c>
      <c r="G65" s="4">
        <f t="shared" si="5"/>
        <v>22.076094950284311</v>
      </c>
      <c r="H65" s="4">
        <f t="shared" si="5"/>
        <v>4.355427407173682</v>
      </c>
      <c r="I65" s="4">
        <f t="shared" si="5"/>
        <v>11.601834514531062</v>
      </c>
      <c r="J65" s="4">
        <f t="shared" si="5"/>
        <v>10.800968677380189</v>
      </c>
      <c r="K65" s="4">
        <f t="shared" si="5"/>
        <v>13.022007874196294</v>
      </c>
      <c r="L65" s="4">
        <f t="shared" si="5"/>
        <v>11.644025649805712</v>
      </c>
      <c r="M65" s="4">
        <f t="shared" si="5"/>
        <v>10.716414440545794</v>
      </c>
      <c r="N65" s="4">
        <f t="shared" si="5"/>
        <v>171.99929188882243</v>
      </c>
      <c r="O65" s="4">
        <f t="shared" si="5"/>
        <v>2786.8329284553311</v>
      </c>
      <c r="P65" s="4">
        <f t="shared" si="5"/>
        <v>687.93350017135811</v>
      </c>
      <c r="Q65" s="4">
        <f t="shared" si="5"/>
        <v>867.91856202403631</v>
      </c>
      <c r="R65" s="4">
        <f t="shared" si="5"/>
        <v>860.99741676078793</v>
      </c>
      <c r="S65" s="4">
        <f t="shared" si="5"/>
        <v>814.39349155952095</v>
      </c>
      <c r="T65" s="4">
        <f t="shared" si="5"/>
        <v>59.084456597007268</v>
      </c>
      <c r="U65" s="4">
        <f t="shared" si="5"/>
        <v>259.99228572471844</v>
      </c>
      <c r="Y65" s="4"/>
      <c r="Z65" s="4"/>
      <c r="AA65" s="4">
        <f t="shared" ref="AA65:AQ65" si="6">STDEV(AA17:AA57)</f>
        <v>2489.4652629539833</v>
      </c>
      <c r="AB65" s="4">
        <f t="shared" si="6"/>
        <v>4611.7787713524849</v>
      </c>
      <c r="AC65" s="4">
        <f t="shared" si="6"/>
        <v>433.06257320125462</v>
      </c>
      <c r="AD65" s="4">
        <f t="shared" si="6"/>
        <v>134.53607551442619</v>
      </c>
      <c r="AE65" s="4">
        <f t="shared" si="6"/>
        <v>122.55690735434426</v>
      </c>
      <c r="AF65" s="4">
        <f t="shared" si="6"/>
        <v>198.75500918867237</v>
      </c>
      <c r="AG65" s="4">
        <f t="shared" si="6"/>
        <v>278.4738029858247</v>
      </c>
      <c r="AH65" s="4">
        <f t="shared" si="6"/>
        <v>13.388261453073945</v>
      </c>
      <c r="AI65" s="4">
        <f t="shared" si="6"/>
        <v>89.94346969196414</v>
      </c>
      <c r="AJ65" s="4">
        <f t="shared" si="6"/>
        <v>73.158103887190819</v>
      </c>
      <c r="AK65" s="4">
        <f t="shared" si="6"/>
        <v>85.175862463580899</v>
      </c>
      <c r="AL65" s="4">
        <f t="shared" si="6"/>
        <v>562.19323363339447</v>
      </c>
      <c r="AM65" s="4">
        <f t="shared" si="6"/>
        <v>33.791443017859763</v>
      </c>
      <c r="AN65" s="4">
        <f t="shared" si="6"/>
        <v>39.673961928936393</v>
      </c>
      <c r="AO65" s="4">
        <f t="shared" si="6"/>
        <v>9.4023357473846261</v>
      </c>
      <c r="AP65" s="4">
        <f t="shared" si="6"/>
        <v>9.8148655567670176</v>
      </c>
      <c r="AQ65" s="4">
        <f t="shared" si="6"/>
        <v>27.10885519742595</v>
      </c>
    </row>
    <row r="66" spans="3:43" x14ac:dyDescent="0.2">
      <c r="C66" s="4">
        <f t="shared" ref="C66:U66" si="7">COUNT(C17:C57)</f>
        <v>23</v>
      </c>
      <c r="D66" s="4">
        <f t="shared" si="7"/>
        <v>36</v>
      </c>
      <c r="E66" s="4">
        <f t="shared" si="7"/>
        <v>36</v>
      </c>
      <c r="F66" s="4">
        <f t="shared" si="7"/>
        <v>36</v>
      </c>
      <c r="G66" s="4">
        <f t="shared" si="7"/>
        <v>36</v>
      </c>
      <c r="H66" s="4">
        <f t="shared" si="7"/>
        <v>35</v>
      </c>
      <c r="I66" s="4">
        <f t="shared" si="7"/>
        <v>13</v>
      </c>
      <c r="J66" s="4">
        <f t="shared" si="7"/>
        <v>35</v>
      </c>
      <c r="K66" s="4">
        <f t="shared" si="7"/>
        <v>35</v>
      </c>
      <c r="L66" s="4">
        <f t="shared" si="7"/>
        <v>4</v>
      </c>
      <c r="M66" s="4">
        <f t="shared" si="7"/>
        <v>26</v>
      </c>
      <c r="N66" s="4">
        <f t="shared" si="7"/>
        <v>13</v>
      </c>
      <c r="O66" s="4">
        <f t="shared" si="7"/>
        <v>33</v>
      </c>
      <c r="P66" s="4">
        <f t="shared" si="7"/>
        <v>36</v>
      </c>
      <c r="Q66" s="4">
        <f t="shared" si="7"/>
        <v>33</v>
      </c>
      <c r="R66" s="4">
        <f t="shared" si="7"/>
        <v>33</v>
      </c>
      <c r="S66" s="4">
        <f t="shared" si="7"/>
        <v>33</v>
      </c>
      <c r="T66" s="4">
        <f t="shared" si="7"/>
        <v>33</v>
      </c>
      <c r="U66" s="4">
        <f t="shared" si="7"/>
        <v>33</v>
      </c>
      <c r="Y66" s="4"/>
      <c r="Z66" s="4"/>
      <c r="AA66" s="4">
        <f t="shared" ref="AA66:AQ66" si="8">COUNT(AA17:AA57)</f>
        <v>12</v>
      </c>
      <c r="AB66" s="4">
        <f t="shared" si="8"/>
        <v>13</v>
      </c>
      <c r="AC66" s="4">
        <f t="shared" si="8"/>
        <v>13</v>
      </c>
      <c r="AD66" s="4">
        <f t="shared" si="8"/>
        <v>14</v>
      </c>
      <c r="AE66" s="4">
        <f t="shared" si="8"/>
        <v>15</v>
      </c>
      <c r="AF66" s="4">
        <f t="shared" si="8"/>
        <v>14</v>
      </c>
      <c r="AG66" s="4">
        <f t="shared" si="8"/>
        <v>16</v>
      </c>
      <c r="AH66" s="4">
        <f t="shared" si="8"/>
        <v>16</v>
      </c>
      <c r="AI66" s="4">
        <f t="shared" si="8"/>
        <v>16</v>
      </c>
      <c r="AJ66" s="4">
        <f t="shared" si="8"/>
        <v>16</v>
      </c>
      <c r="AK66" s="4">
        <f t="shared" si="8"/>
        <v>16</v>
      </c>
      <c r="AL66" s="4">
        <f t="shared" si="8"/>
        <v>16</v>
      </c>
      <c r="AM66" s="4">
        <f t="shared" si="8"/>
        <v>16</v>
      </c>
      <c r="AN66" s="4">
        <f t="shared" si="8"/>
        <v>16</v>
      </c>
      <c r="AO66" s="4">
        <f t="shared" si="8"/>
        <v>16</v>
      </c>
      <c r="AP66" s="4">
        <f t="shared" si="8"/>
        <v>16</v>
      </c>
      <c r="AQ66" s="4">
        <f t="shared" si="8"/>
        <v>16</v>
      </c>
    </row>
  </sheetData>
  <pageMargins left="0.5" right="0.5" top="0.75" bottom="0.75" header="0.5" footer="0.5"/>
  <pageSetup orientation="portrait" horizontalDpi="0" verticalDpi="0" copies="0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0"/>
  <sheetViews>
    <sheetView showOutlineSymbols="0" defaultGridColor="0" topLeftCell="A43" colorId="9" workbookViewId="0">
      <selection activeCell="B58" sqref="B58"/>
    </sheetView>
  </sheetViews>
  <sheetFormatPr defaultColWidth="8.6640625" defaultRowHeight="15" x14ac:dyDescent="0.2"/>
  <cols>
    <col min="1" max="16384" width="8.6640625" style="2"/>
  </cols>
  <sheetData>
    <row r="1" spans="1:24" ht="18" x14ac:dyDescent="0.25">
      <c r="A1" s="18" t="s">
        <v>1154</v>
      </c>
      <c r="D1" s="2" t="s">
        <v>94</v>
      </c>
      <c r="X1" s="2" t="s">
        <v>1</v>
      </c>
    </row>
    <row r="2" spans="1:24" x14ac:dyDescent="0.2">
      <c r="A2" s="2" t="s">
        <v>1155</v>
      </c>
      <c r="X2" s="2" t="s">
        <v>1</v>
      </c>
    </row>
    <row r="3" spans="1:24" x14ac:dyDescent="0.2">
      <c r="B3" s="8" t="s">
        <v>286</v>
      </c>
      <c r="C3" s="8" t="s">
        <v>117</v>
      </c>
      <c r="D3" s="8" t="s">
        <v>118</v>
      </c>
      <c r="E3" s="8" t="s">
        <v>123</v>
      </c>
      <c r="F3" s="8" t="s">
        <v>134</v>
      </c>
      <c r="G3" s="8" t="s">
        <v>138</v>
      </c>
      <c r="H3" s="8" t="s">
        <v>136</v>
      </c>
      <c r="I3" s="8" t="s">
        <v>130</v>
      </c>
      <c r="J3" s="8" t="s">
        <v>133</v>
      </c>
      <c r="K3" s="8" t="s">
        <v>127</v>
      </c>
      <c r="L3" s="8" t="s">
        <v>121</v>
      </c>
      <c r="M3" s="8" t="s">
        <v>112</v>
      </c>
      <c r="N3" s="8" t="s">
        <v>146</v>
      </c>
      <c r="O3" s="8" t="s">
        <v>145</v>
      </c>
      <c r="P3" s="8" t="s">
        <v>126</v>
      </c>
      <c r="Q3" s="8" t="s">
        <v>122</v>
      </c>
      <c r="R3" s="8" t="s">
        <v>131</v>
      </c>
      <c r="S3" s="8" t="s">
        <v>113</v>
      </c>
      <c r="T3" s="8" t="s">
        <v>153</v>
      </c>
      <c r="U3" s="8" t="s">
        <v>155</v>
      </c>
      <c r="V3" s="8" t="s">
        <v>129</v>
      </c>
      <c r="X3" s="2" t="s">
        <v>1</v>
      </c>
    </row>
    <row r="4" spans="1:24" x14ac:dyDescent="0.2">
      <c r="C4" s="8" t="s">
        <v>266</v>
      </c>
      <c r="D4" s="8" t="s">
        <v>266</v>
      </c>
      <c r="E4" s="8" t="s">
        <v>266</v>
      </c>
      <c r="F4" s="8" t="s">
        <v>371</v>
      </c>
      <c r="G4" s="8" t="s">
        <v>266</v>
      </c>
      <c r="H4" s="8" t="s">
        <v>144</v>
      </c>
      <c r="I4" s="8" t="s">
        <v>144</v>
      </c>
      <c r="J4" s="8" t="s">
        <v>144</v>
      </c>
      <c r="K4" s="8" t="s">
        <v>144</v>
      </c>
      <c r="L4" s="8" t="s">
        <v>144</v>
      </c>
      <c r="M4" s="8" t="s">
        <v>144</v>
      </c>
      <c r="N4" s="8" t="s">
        <v>426</v>
      </c>
      <c r="O4" s="8" t="s">
        <v>144</v>
      </c>
      <c r="P4" s="8" t="s">
        <v>144</v>
      </c>
      <c r="Q4" s="8" t="s">
        <v>144</v>
      </c>
      <c r="R4" s="8" t="s">
        <v>144</v>
      </c>
      <c r="S4" s="8" t="s">
        <v>144</v>
      </c>
      <c r="T4" s="8" t="s">
        <v>144</v>
      </c>
      <c r="U4" s="8" t="s">
        <v>144</v>
      </c>
      <c r="V4" s="8" t="s">
        <v>144</v>
      </c>
      <c r="X4" s="2" t="s">
        <v>1</v>
      </c>
    </row>
    <row r="5" spans="1:24" x14ac:dyDescent="0.2">
      <c r="X5" s="2" t="s">
        <v>1</v>
      </c>
    </row>
    <row r="6" spans="1:24" x14ac:dyDescent="0.2">
      <c r="X6" s="2" t="s">
        <v>1</v>
      </c>
    </row>
    <row r="7" spans="1:24" x14ac:dyDescent="0.2">
      <c r="A7" s="7">
        <f>DATE(92,4,7)</f>
        <v>33701</v>
      </c>
      <c r="B7" s="2">
        <v>1552</v>
      </c>
      <c r="C7" s="2">
        <v>512</v>
      </c>
      <c r="D7" s="2">
        <v>164</v>
      </c>
      <c r="E7" s="2">
        <v>1897</v>
      </c>
      <c r="F7" s="2">
        <v>388</v>
      </c>
      <c r="G7" s="2">
        <v>344.5</v>
      </c>
      <c r="H7" s="2">
        <v>579</v>
      </c>
      <c r="I7" s="2">
        <v>296</v>
      </c>
      <c r="J7" s="2">
        <v>64</v>
      </c>
      <c r="K7" s="2">
        <v>47</v>
      </c>
      <c r="L7" s="2">
        <v>463</v>
      </c>
      <c r="M7" s="2">
        <v>164</v>
      </c>
      <c r="N7" s="2">
        <v>168</v>
      </c>
      <c r="X7" s="2" t="s">
        <v>1</v>
      </c>
    </row>
    <row r="8" spans="1:24" x14ac:dyDescent="0.2">
      <c r="A8" s="7">
        <f>DATE(92,4,7)</f>
        <v>33701</v>
      </c>
      <c r="B8" s="2">
        <v>1436</v>
      </c>
      <c r="C8" s="2">
        <v>501</v>
      </c>
      <c r="D8" s="2">
        <v>165</v>
      </c>
      <c r="E8" s="2">
        <v>1853</v>
      </c>
      <c r="F8" s="2">
        <v>376</v>
      </c>
      <c r="G8" s="2">
        <v>344.8</v>
      </c>
      <c r="H8" s="2">
        <v>555</v>
      </c>
      <c r="I8" s="2">
        <v>297</v>
      </c>
      <c r="J8" s="2">
        <v>63</v>
      </c>
      <c r="K8" s="2">
        <v>30</v>
      </c>
      <c r="L8" s="2">
        <v>279</v>
      </c>
      <c r="M8" s="2">
        <v>168</v>
      </c>
      <c r="N8" s="2">
        <v>41</v>
      </c>
      <c r="X8" s="2" t="s">
        <v>1</v>
      </c>
    </row>
    <row r="9" spans="1:24" x14ac:dyDescent="0.2">
      <c r="A9" s="7">
        <f>DATE(92,4,7)</f>
        <v>33701</v>
      </c>
      <c r="B9" s="2">
        <v>1412</v>
      </c>
      <c r="C9" s="2">
        <v>504</v>
      </c>
      <c r="D9" s="2">
        <v>165</v>
      </c>
      <c r="E9" s="2">
        <v>1852</v>
      </c>
      <c r="F9" s="2">
        <v>368</v>
      </c>
      <c r="G9" s="2">
        <v>344.8</v>
      </c>
      <c r="H9" s="2">
        <v>538</v>
      </c>
      <c r="I9" s="2">
        <v>294</v>
      </c>
      <c r="J9" s="2">
        <v>61</v>
      </c>
      <c r="K9" s="2">
        <v>27</v>
      </c>
      <c r="L9" s="2">
        <v>237</v>
      </c>
      <c r="M9" s="2">
        <v>165</v>
      </c>
      <c r="N9" s="2">
        <v>16</v>
      </c>
      <c r="O9" s="2">
        <v>12.9</v>
      </c>
      <c r="P9" s="2">
        <v>2380</v>
      </c>
      <c r="Q9" s="2">
        <v>55</v>
      </c>
      <c r="R9" s="2">
        <v>812</v>
      </c>
      <c r="S9" s="2">
        <v>688</v>
      </c>
      <c r="T9" s="2">
        <v>193</v>
      </c>
      <c r="U9" s="2">
        <v>246</v>
      </c>
      <c r="V9" s="2">
        <v>28</v>
      </c>
      <c r="X9" s="2" t="s">
        <v>1</v>
      </c>
    </row>
    <row r="10" spans="1:24" x14ac:dyDescent="0.2">
      <c r="A10" s="7">
        <f>DATE(92,4,7)</f>
        <v>33701</v>
      </c>
      <c r="B10" s="2">
        <v>1352</v>
      </c>
      <c r="C10" s="2">
        <v>500</v>
      </c>
      <c r="D10" s="2">
        <v>167</v>
      </c>
      <c r="E10" s="2">
        <v>1852</v>
      </c>
      <c r="F10" s="2">
        <v>371</v>
      </c>
      <c r="G10" s="2">
        <v>344.5</v>
      </c>
      <c r="H10" s="2">
        <v>539</v>
      </c>
      <c r="I10" s="2">
        <v>296</v>
      </c>
      <c r="J10" s="2">
        <v>63</v>
      </c>
      <c r="K10" s="2">
        <v>25</v>
      </c>
      <c r="L10" s="2">
        <v>237</v>
      </c>
      <c r="M10" s="2">
        <v>167</v>
      </c>
      <c r="N10" s="2">
        <v>16</v>
      </c>
      <c r="O10" s="2">
        <v>12.6</v>
      </c>
      <c r="P10" s="2">
        <v>2250</v>
      </c>
      <c r="Q10" s="2">
        <v>102</v>
      </c>
      <c r="R10" s="2">
        <v>761</v>
      </c>
      <c r="S10" s="2">
        <v>609</v>
      </c>
      <c r="T10" s="2">
        <v>186</v>
      </c>
      <c r="U10" s="2">
        <v>213</v>
      </c>
      <c r="V10" s="2">
        <v>37</v>
      </c>
      <c r="X10" s="2" t="s">
        <v>1</v>
      </c>
    </row>
    <row r="11" spans="1:24" x14ac:dyDescent="0.2">
      <c r="A11" s="7">
        <f>DATE(92,4,10)</f>
        <v>33704</v>
      </c>
      <c r="B11" s="2">
        <v>1605</v>
      </c>
      <c r="C11" s="2">
        <v>503</v>
      </c>
      <c r="D11" s="2">
        <v>153</v>
      </c>
      <c r="E11" s="2">
        <v>1960</v>
      </c>
      <c r="F11" s="2">
        <v>366</v>
      </c>
      <c r="G11" s="2">
        <v>345.1</v>
      </c>
      <c r="H11" s="2">
        <v>528</v>
      </c>
      <c r="I11" s="2">
        <v>295</v>
      </c>
      <c r="J11" s="2">
        <v>63</v>
      </c>
      <c r="K11" s="2">
        <v>26</v>
      </c>
      <c r="L11" s="2">
        <v>238</v>
      </c>
      <c r="M11" s="2">
        <v>167</v>
      </c>
      <c r="N11" s="2">
        <v>23</v>
      </c>
      <c r="O11" s="2">
        <v>10.6</v>
      </c>
      <c r="P11" s="2">
        <v>2190</v>
      </c>
      <c r="Q11" s="2">
        <v>40</v>
      </c>
      <c r="R11" s="2">
        <v>772</v>
      </c>
      <c r="S11" s="2">
        <v>674</v>
      </c>
      <c r="T11" s="2">
        <v>183</v>
      </c>
      <c r="U11" s="2">
        <v>238</v>
      </c>
      <c r="V11" s="2">
        <v>17</v>
      </c>
      <c r="X11" s="2" t="s">
        <v>1</v>
      </c>
    </row>
    <row r="12" spans="1:24" x14ac:dyDescent="0.2">
      <c r="A12" s="7">
        <f>DATE(92,4,10)</f>
        <v>33704</v>
      </c>
      <c r="B12" s="2">
        <v>1535</v>
      </c>
      <c r="C12" s="2">
        <v>498</v>
      </c>
      <c r="D12" s="2">
        <v>155</v>
      </c>
      <c r="E12" s="2">
        <v>1838</v>
      </c>
      <c r="F12" s="2">
        <v>366</v>
      </c>
      <c r="G12" s="2">
        <v>344.8</v>
      </c>
      <c r="H12" s="2">
        <v>542</v>
      </c>
      <c r="I12" s="2">
        <v>293</v>
      </c>
      <c r="J12" s="2">
        <v>159</v>
      </c>
      <c r="L12" s="2">
        <v>240</v>
      </c>
      <c r="M12" s="2">
        <v>166</v>
      </c>
      <c r="N12" s="2">
        <v>24</v>
      </c>
      <c r="O12" s="17">
        <v>12</v>
      </c>
      <c r="P12" s="2">
        <v>2180</v>
      </c>
      <c r="Q12" s="2">
        <v>173</v>
      </c>
      <c r="R12" s="2">
        <v>726</v>
      </c>
      <c r="S12" s="2">
        <v>586</v>
      </c>
      <c r="T12" s="2">
        <v>252</v>
      </c>
      <c r="U12" s="2">
        <v>284</v>
      </c>
      <c r="V12" s="2">
        <v>22</v>
      </c>
      <c r="X12" s="2" t="s">
        <v>1</v>
      </c>
    </row>
    <row r="13" spans="1:24" x14ac:dyDescent="0.2">
      <c r="A13" s="7">
        <f>DATE(92,4,10)</f>
        <v>33704</v>
      </c>
      <c r="B13" s="2">
        <v>1524</v>
      </c>
      <c r="C13" s="2">
        <v>504</v>
      </c>
      <c r="D13" s="2">
        <v>154</v>
      </c>
      <c r="E13" s="2">
        <v>1932</v>
      </c>
      <c r="F13" s="2">
        <v>371</v>
      </c>
      <c r="G13" s="2">
        <v>345.3</v>
      </c>
      <c r="H13" s="2">
        <v>537</v>
      </c>
      <c r="I13" s="2">
        <v>293</v>
      </c>
      <c r="J13" s="2">
        <v>65</v>
      </c>
      <c r="K13" s="2">
        <v>33</v>
      </c>
      <c r="L13" s="2">
        <v>234</v>
      </c>
      <c r="M13" s="2">
        <v>165</v>
      </c>
      <c r="N13" s="2">
        <v>48</v>
      </c>
      <c r="X13" s="2" t="s">
        <v>1</v>
      </c>
    </row>
    <row r="14" spans="1:24" x14ac:dyDescent="0.2">
      <c r="A14" s="7">
        <f>DATE(92,4,10)</f>
        <v>33704</v>
      </c>
      <c r="B14" s="2">
        <v>1510</v>
      </c>
      <c r="C14" s="2">
        <v>509</v>
      </c>
      <c r="D14" s="2">
        <v>158</v>
      </c>
      <c r="E14" s="2">
        <v>1842</v>
      </c>
      <c r="F14" s="2">
        <v>374</v>
      </c>
      <c r="G14" s="2">
        <v>345.8</v>
      </c>
      <c r="H14" s="2">
        <v>552</v>
      </c>
      <c r="I14" s="2">
        <v>293</v>
      </c>
      <c r="J14" s="2">
        <v>70</v>
      </c>
      <c r="L14" s="2">
        <v>237</v>
      </c>
      <c r="M14" s="2">
        <v>165</v>
      </c>
      <c r="N14" s="2">
        <v>86</v>
      </c>
      <c r="X14" s="2" t="s">
        <v>1</v>
      </c>
    </row>
    <row r="15" spans="1:24" x14ac:dyDescent="0.2">
      <c r="A15" s="7">
        <v>33706</v>
      </c>
      <c r="B15" s="2">
        <v>1357</v>
      </c>
      <c r="C15" s="2">
        <v>501</v>
      </c>
      <c r="D15" s="2">
        <v>143</v>
      </c>
      <c r="E15" s="2" t="s">
        <v>1156</v>
      </c>
      <c r="F15" s="2">
        <v>364</v>
      </c>
      <c r="G15" s="2">
        <v>344.9</v>
      </c>
      <c r="H15" s="2">
        <v>537</v>
      </c>
      <c r="I15" s="2">
        <v>294</v>
      </c>
      <c r="J15" s="2">
        <v>62</v>
      </c>
      <c r="K15" s="2">
        <v>26</v>
      </c>
      <c r="L15" s="2">
        <v>236</v>
      </c>
      <c r="M15" s="2">
        <v>165</v>
      </c>
      <c r="N15" s="2">
        <v>14.9</v>
      </c>
      <c r="O15" s="2">
        <v>5.3</v>
      </c>
      <c r="P15" s="2">
        <v>2350</v>
      </c>
      <c r="Q15" s="2">
        <v>50</v>
      </c>
      <c r="R15" s="2">
        <v>940</v>
      </c>
      <c r="S15" s="2">
        <v>813</v>
      </c>
      <c r="T15" s="2">
        <v>200</v>
      </c>
      <c r="U15" s="2">
        <v>288</v>
      </c>
      <c r="V15" s="2">
        <v>0</v>
      </c>
      <c r="X15" s="2" t="s">
        <v>1</v>
      </c>
    </row>
    <row r="16" spans="1:24" x14ac:dyDescent="0.2">
      <c r="A16" s="7">
        <v>33706</v>
      </c>
      <c r="B16" s="2">
        <v>1257</v>
      </c>
      <c r="C16" s="2">
        <v>502</v>
      </c>
      <c r="D16" s="2">
        <v>160</v>
      </c>
      <c r="E16" s="2">
        <v>1855</v>
      </c>
      <c r="F16" s="2">
        <v>366</v>
      </c>
      <c r="G16" s="2">
        <v>344.8</v>
      </c>
      <c r="H16" s="2">
        <v>537</v>
      </c>
      <c r="I16" s="2">
        <v>292</v>
      </c>
      <c r="J16" s="2">
        <v>62</v>
      </c>
      <c r="L16" s="2">
        <v>235</v>
      </c>
      <c r="M16" s="2">
        <v>164</v>
      </c>
      <c r="N16" s="2">
        <v>11.1</v>
      </c>
      <c r="O16" s="2">
        <v>11.8</v>
      </c>
      <c r="P16" s="2">
        <v>1970</v>
      </c>
      <c r="Q16" s="2">
        <v>19</v>
      </c>
      <c r="R16" s="2">
        <v>471</v>
      </c>
      <c r="S16" s="2">
        <v>292</v>
      </c>
      <c r="T16" s="2">
        <v>112</v>
      </c>
      <c r="U16" s="2">
        <v>104</v>
      </c>
      <c r="V16" s="2">
        <v>0</v>
      </c>
      <c r="X16" s="2" t="s">
        <v>1</v>
      </c>
    </row>
    <row r="17" spans="1:24" x14ac:dyDescent="0.2">
      <c r="A17" s="7">
        <v>33706</v>
      </c>
      <c r="B17" s="2">
        <v>1421</v>
      </c>
      <c r="C17" s="2">
        <v>502</v>
      </c>
      <c r="D17" s="2">
        <v>153</v>
      </c>
      <c r="E17" s="2">
        <v>1842</v>
      </c>
      <c r="F17" s="2">
        <v>365</v>
      </c>
      <c r="G17" s="2">
        <v>345.8</v>
      </c>
      <c r="H17" s="2">
        <v>535</v>
      </c>
      <c r="I17" s="2">
        <v>292</v>
      </c>
      <c r="J17" s="2">
        <v>63</v>
      </c>
      <c r="K17" s="2">
        <v>25</v>
      </c>
      <c r="L17" s="2">
        <v>232</v>
      </c>
      <c r="M17" s="2">
        <v>163</v>
      </c>
      <c r="N17" s="2">
        <v>16.600000000000001</v>
      </c>
      <c r="O17" s="2">
        <v>10.199999999999999</v>
      </c>
      <c r="P17" s="2">
        <v>2450</v>
      </c>
      <c r="Q17" s="2">
        <v>49</v>
      </c>
      <c r="R17" s="2">
        <v>995</v>
      </c>
      <c r="S17" s="2">
        <v>784</v>
      </c>
      <c r="T17" s="2">
        <v>233</v>
      </c>
      <c r="U17" s="2">
        <v>330</v>
      </c>
      <c r="V17" s="2">
        <v>14</v>
      </c>
      <c r="X17" s="2" t="s">
        <v>1</v>
      </c>
    </row>
    <row r="18" spans="1:24" x14ac:dyDescent="0.2">
      <c r="A18" s="7">
        <v>33706</v>
      </c>
      <c r="B18" s="2">
        <v>1426</v>
      </c>
      <c r="C18" s="2">
        <v>502</v>
      </c>
      <c r="D18" s="2">
        <v>156</v>
      </c>
      <c r="E18" s="2">
        <v>1842</v>
      </c>
      <c r="F18" s="2">
        <v>367</v>
      </c>
      <c r="G18" s="2">
        <v>345.8</v>
      </c>
      <c r="H18" s="2">
        <v>534</v>
      </c>
      <c r="I18" s="2">
        <v>291</v>
      </c>
      <c r="J18" s="2">
        <v>62</v>
      </c>
      <c r="K18" s="2">
        <v>25</v>
      </c>
      <c r="L18" s="2">
        <v>232</v>
      </c>
      <c r="M18" s="2">
        <v>163</v>
      </c>
      <c r="N18" s="2">
        <v>15.5</v>
      </c>
      <c r="P18" s="2">
        <v>2470</v>
      </c>
      <c r="Q18" s="2">
        <v>85</v>
      </c>
      <c r="R18" s="2">
        <v>996</v>
      </c>
      <c r="S18" s="2">
        <v>800</v>
      </c>
      <c r="T18" s="2">
        <v>230</v>
      </c>
      <c r="U18" s="2">
        <v>319</v>
      </c>
      <c r="V18" s="2">
        <v>0</v>
      </c>
      <c r="X18" s="2" t="s">
        <v>1</v>
      </c>
    </row>
    <row r="19" spans="1:24" x14ac:dyDescent="0.2">
      <c r="A19" s="7">
        <v>33707</v>
      </c>
      <c r="B19" s="2">
        <v>1508</v>
      </c>
      <c r="C19" s="2">
        <v>502</v>
      </c>
      <c r="D19" s="2">
        <v>159</v>
      </c>
      <c r="E19" s="2">
        <v>1846</v>
      </c>
      <c r="F19" s="2">
        <v>366</v>
      </c>
      <c r="G19" s="2">
        <v>341.9</v>
      </c>
      <c r="H19" s="2">
        <v>529</v>
      </c>
      <c r="I19" s="2">
        <v>293</v>
      </c>
      <c r="J19" s="2">
        <v>63</v>
      </c>
      <c r="K19" s="2">
        <v>27</v>
      </c>
      <c r="L19" s="2">
        <v>249</v>
      </c>
      <c r="M19" s="2">
        <v>165</v>
      </c>
      <c r="N19" s="2">
        <v>14.9</v>
      </c>
      <c r="P19" s="2">
        <v>2040</v>
      </c>
      <c r="Q19" s="2">
        <v>29</v>
      </c>
      <c r="R19" s="2">
        <v>567</v>
      </c>
      <c r="S19" s="2">
        <v>464</v>
      </c>
      <c r="T19" s="2">
        <v>126</v>
      </c>
      <c r="U19" s="2">
        <v>144</v>
      </c>
      <c r="V19" s="2">
        <v>0</v>
      </c>
      <c r="X19" s="2" t="s">
        <v>1</v>
      </c>
    </row>
    <row r="20" spans="1:24" x14ac:dyDescent="0.2">
      <c r="A20" s="7">
        <v>33707</v>
      </c>
      <c r="B20" s="2">
        <v>1323</v>
      </c>
      <c r="C20" s="2">
        <v>499</v>
      </c>
      <c r="D20" s="2">
        <v>160</v>
      </c>
      <c r="E20" s="2">
        <v>1844</v>
      </c>
      <c r="F20" s="2">
        <v>367</v>
      </c>
      <c r="G20" s="2">
        <v>344.7</v>
      </c>
      <c r="H20" s="2">
        <v>537</v>
      </c>
      <c r="I20" s="2">
        <v>293</v>
      </c>
      <c r="J20" s="2">
        <v>62</v>
      </c>
      <c r="K20" s="2">
        <v>26</v>
      </c>
      <c r="L20" s="2">
        <v>235</v>
      </c>
      <c r="M20" s="2">
        <v>166</v>
      </c>
      <c r="N20" s="2">
        <v>18.100000000000001</v>
      </c>
      <c r="O20" s="2">
        <v>8.9</v>
      </c>
      <c r="P20" s="2">
        <v>2230</v>
      </c>
      <c r="Q20" s="2">
        <v>16</v>
      </c>
      <c r="R20" s="2">
        <v>640</v>
      </c>
      <c r="S20" s="2">
        <v>421</v>
      </c>
      <c r="T20" s="2">
        <v>144</v>
      </c>
      <c r="U20" s="2">
        <v>160</v>
      </c>
      <c r="V20" s="2">
        <v>0</v>
      </c>
      <c r="X20" s="2" t="s">
        <v>1</v>
      </c>
    </row>
    <row r="21" spans="1:24" x14ac:dyDescent="0.2">
      <c r="A21" s="7">
        <v>33707</v>
      </c>
      <c r="B21" s="2">
        <v>1505</v>
      </c>
      <c r="C21" s="2">
        <v>501</v>
      </c>
      <c r="D21" s="2">
        <v>154</v>
      </c>
      <c r="E21" s="2">
        <v>1844</v>
      </c>
      <c r="F21" s="2">
        <v>366</v>
      </c>
      <c r="G21" s="2">
        <v>342.3</v>
      </c>
      <c r="H21" s="2">
        <v>535</v>
      </c>
      <c r="I21" s="2">
        <v>292</v>
      </c>
      <c r="J21" s="2">
        <v>98</v>
      </c>
      <c r="K21" s="2">
        <v>27</v>
      </c>
      <c r="L21" s="2">
        <v>245</v>
      </c>
      <c r="M21" s="2">
        <v>165</v>
      </c>
      <c r="N21" s="2">
        <v>13.4</v>
      </c>
      <c r="O21" s="2">
        <v>11.1</v>
      </c>
      <c r="P21" s="2">
        <v>1870</v>
      </c>
      <c r="Q21" s="2">
        <v>846</v>
      </c>
      <c r="R21" s="2">
        <v>459</v>
      </c>
      <c r="S21" s="2">
        <v>281</v>
      </c>
      <c r="T21" s="2">
        <v>105</v>
      </c>
      <c r="U21" s="2">
        <v>99</v>
      </c>
      <c r="V21" s="2">
        <v>0</v>
      </c>
      <c r="X21" s="2" t="s">
        <v>1</v>
      </c>
    </row>
    <row r="22" spans="1:24" x14ac:dyDescent="0.2">
      <c r="A22" s="7">
        <v>33707</v>
      </c>
      <c r="B22" s="2">
        <v>1322</v>
      </c>
      <c r="C22" s="2">
        <v>495</v>
      </c>
      <c r="D22" s="2">
        <v>155</v>
      </c>
      <c r="E22" s="2">
        <v>1838</v>
      </c>
      <c r="F22" s="2">
        <v>364</v>
      </c>
      <c r="G22" s="2">
        <v>343.7</v>
      </c>
      <c r="H22" s="2">
        <v>534</v>
      </c>
      <c r="I22" s="2">
        <v>291</v>
      </c>
      <c r="J22" s="2">
        <v>63</v>
      </c>
      <c r="K22" s="2">
        <v>23</v>
      </c>
      <c r="L22" s="2">
        <v>240</v>
      </c>
      <c r="M22" s="2">
        <v>166</v>
      </c>
      <c r="N22" s="2">
        <v>11.6</v>
      </c>
      <c r="O22" s="2">
        <v>13.4</v>
      </c>
      <c r="P22" s="2">
        <v>1660</v>
      </c>
      <c r="Q22" s="2">
        <v>24</v>
      </c>
      <c r="R22" s="2">
        <v>335</v>
      </c>
      <c r="S22" s="2">
        <v>172</v>
      </c>
      <c r="T22" s="2">
        <v>75</v>
      </c>
      <c r="U22" s="2">
        <v>66</v>
      </c>
      <c r="V22" s="2">
        <v>0</v>
      </c>
      <c r="X22" s="2" t="s">
        <v>1</v>
      </c>
    </row>
    <row r="23" spans="1:24" x14ac:dyDescent="0.2">
      <c r="A23" s="7">
        <v>33707</v>
      </c>
      <c r="B23" s="2">
        <v>1325</v>
      </c>
      <c r="C23" s="2">
        <v>496</v>
      </c>
      <c r="D23" s="2">
        <v>161</v>
      </c>
      <c r="E23" s="2">
        <v>1848</v>
      </c>
      <c r="F23" s="2">
        <v>365</v>
      </c>
      <c r="G23" s="2">
        <v>342.5</v>
      </c>
      <c r="H23" s="2">
        <v>531</v>
      </c>
      <c r="I23" s="2">
        <v>292</v>
      </c>
      <c r="J23" s="2">
        <v>62</v>
      </c>
      <c r="K23" s="2">
        <v>25</v>
      </c>
      <c r="L23" s="2">
        <v>234</v>
      </c>
      <c r="M23" s="2">
        <v>165</v>
      </c>
      <c r="N23" s="2">
        <v>11.9</v>
      </c>
      <c r="P23" s="2">
        <v>1770</v>
      </c>
      <c r="Q23" s="2">
        <v>13</v>
      </c>
      <c r="R23" s="2">
        <v>380</v>
      </c>
      <c r="S23" s="2">
        <v>289</v>
      </c>
      <c r="T23" s="2">
        <v>89</v>
      </c>
      <c r="U23" s="2">
        <v>70</v>
      </c>
      <c r="V23" s="2">
        <v>0</v>
      </c>
      <c r="X23" s="2" t="s">
        <v>1</v>
      </c>
    </row>
    <row r="24" spans="1:24" x14ac:dyDescent="0.2">
      <c r="A24" s="7">
        <v>33707</v>
      </c>
      <c r="B24" s="2">
        <v>1347</v>
      </c>
      <c r="C24" s="2">
        <v>498</v>
      </c>
      <c r="D24" s="2">
        <v>158</v>
      </c>
      <c r="E24" s="2">
        <v>1840</v>
      </c>
      <c r="F24" s="2">
        <v>366</v>
      </c>
      <c r="G24" s="2">
        <v>343.4</v>
      </c>
      <c r="H24" s="2">
        <v>534</v>
      </c>
      <c r="I24" s="2">
        <v>291</v>
      </c>
      <c r="J24" s="2">
        <v>62</v>
      </c>
      <c r="K24" s="2">
        <v>26</v>
      </c>
      <c r="L24" s="2">
        <v>240</v>
      </c>
      <c r="M24" s="2">
        <v>166</v>
      </c>
      <c r="N24" s="2">
        <v>15.9</v>
      </c>
      <c r="P24" s="2">
        <v>2190</v>
      </c>
      <c r="Q24" s="2">
        <v>19</v>
      </c>
      <c r="R24" s="2">
        <v>631</v>
      </c>
      <c r="S24" s="2">
        <v>268</v>
      </c>
      <c r="T24" s="2">
        <v>132</v>
      </c>
      <c r="U24" s="2">
        <v>154</v>
      </c>
      <c r="V24" s="2">
        <v>0</v>
      </c>
      <c r="X24" s="2" t="s">
        <v>1</v>
      </c>
    </row>
    <row r="25" spans="1:24" x14ac:dyDescent="0.2">
      <c r="A25" s="7">
        <v>33708</v>
      </c>
      <c r="B25" s="2">
        <v>1552</v>
      </c>
      <c r="C25" s="2">
        <v>514</v>
      </c>
      <c r="D25" s="2">
        <v>162</v>
      </c>
      <c r="E25" s="2">
        <v>1837</v>
      </c>
      <c r="F25" s="2">
        <v>365</v>
      </c>
      <c r="G25" s="2">
        <v>344.6</v>
      </c>
      <c r="H25" s="2">
        <v>522</v>
      </c>
      <c r="I25" s="2">
        <v>298</v>
      </c>
      <c r="J25" s="2">
        <v>62</v>
      </c>
      <c r="K25" s="2">
        <v>24</v>
      </c>
      <c r="L25" s="2">
        <v>301</v>
      </c>
      <c r="M25" s="2">
        <v>165</v>
      </c>
      <c r="N25" s="2">
        <v>21.1</v>
      </c>
      <c r="O25" s="2">
        <v>2.8</v>
      </c>
      <c r="P25" s="2">
        <v>2660</v>
      </c>
      <c r="Q25" s="2">
        <v>56</v>
      </c>
      <c r="R25" s="2">
        <v>1030</v>
      </c>
      <c r="S25" s="2">
        <v>846</v>
      </c>
      <c r="T25" s="2">
        <v>215</v>
      </c>
      <c r="U25" s="2">
        <v>326</v>
      </c>
      <c r="V25" s="2">
        <v>12</v>
      </c>
      <c r="X25" s="2" t="s">
        <v>1</v>
      </c>
    </row>
    <row r="26" spans="1:24" x14ac:dyDescent="0.2">
      <c r="A26" s="7">
        <v>33708</v>
      </c>
      <c r="B26" s="2">
        <v>1556</v>
      </c>
      <c r="C26" s="2">
        <v>498</v>
      </c>
      <c r="D26" s="2">
        <v>161</v>
      </c>
      <c r="E26" s="2">
        <v>1839</v>
      </c>
      <c r="F26" s="2">
        <v>365</v>
      </c>
      <c r="G26" s="2">
        <v>344.8</v>
      </c>
      <c r="H26" s="2">
        <v>529</v>
      </c>
      <c r="I26" s="2">
        <v>295</v>
      </c>
      <c r="J26" s="2">
        <v>62</v>
      </c>
      <c r="K26" s="2">
        <v>24</v>
      </c>
      <c r="L26" s="2">
        <v>253</v>
      </c>
      <c r="M26" s="2">
        <v>166</v>
      </c>
      <c r="N26" s="2">
        <v>26.8</v>
      </c>
      <c r="P26" s="2">
        <v>2660</v>
      </c>
      <c r="Q26" s="2">
        <v>50</v>
      </c>
      <c r="R26" s="2">
        <v>1020</v>
      </c>
      <c r="S26" s="2">
        <v>765</v>
      </c>
      <c r="T26" s="2">
        <v>221</v>
      </c>
      <c r="U26" s="2">
        <v>326</v>
      </c>
      <c r="V26" s="2">
        <v>12</v>
      </c>
      <c r="X26" s="2" t="s">
        <v>1</v>
      </c>
    </row>
    <row r="27" spans="1:24" x14ac:dyDescent="0.2">
      <c r="A27" s="7">
        <v>33708</v>
      </c>
      <c r="B27" s="2">
        <v>1517</v>
      </c>
      <c r="C27" s="2">
        <v>499</v>
      </c>
      <c r="D27" s="2">
        <v>158</v>
      </c>
      <c r="E27" s="2">
        <v>1845</v>
      </c>
      <c r="F27" s="2">
        <v>366</v>
      </c>
      <c r="G27" s="2">
        <v>342.1</v>
      </c>
      <c r="H27" s="2">
        <v>534</v>
      </c>
      <c r="I27" s="2">
        <v>294</v>
      </c>
      <c r="J27" s="2">
        <v>62</v>
      </c>
      <c r="L27" s="2">
        <v>238</v>
      </c>
      <c r="M27" s="2">
        <v>167</v>
      </c>
      <c r="N27" s="2">
        <v>15.2</v>
      </c>
      <c r="O27" s="2">
        <v>13.1</v>
      </c>
      <c r="P27" s="2">
        <v>1720</v>
      </c>
      <c r="Q27" s="2">
        <v>26</v>
      </c>
      <c r="R27" s="2">
        <v>372</v>
      </c>
      <c r="S27" s="2">
        <v>134</v>
      </c>
      <c r="T27" s="2">
        <v>83</v>
      </c>
      <c r="U27" s="2">
        <v>78</v>
      </c>
      <c r="V27" s="2">
        <v>0</v>
      </c>
      <c r="X27" s="2" t="s">
        <v>1</v>
      </c>
    </row>
    <row r="28" spans="1:24" x14ac:dyDescent="0.2">
      <c r="A28" s="7">
        <v>33708</v>
      </c>
      <c r="B28" s="2">
        <v>1521</v>
      </c>
      <c r="C28" s="2">
        <v>498</v>
      </c>
      <c r="D28" s="2">
        <v>158</v>
      </c>
      <c r="E28" s="2">
        <v>1847</v>
      </c>
      <c r="F28" s="2">
        <v>367</v>
      </c>
      <c r="G28" s="2">
        <v>342.6</v>
      </c>
      <c r="H28" s="2">
        <v>533</v>
      </c>
      <c r="I28" s="2">
        <v>294</v>
      </c>
      <c r="J28" s="2">
        <v>63</v>
      </c>
      <c r="L28" s="2">
        <v>241</v>
      </c>
      <c r="M28" s="2">
        <v>166</v>
      </c>
      <c r="N28" s="2">
        <v>11.8</v>
      </c>
      <c r="P28" s="2">
        <v>1780</v>
      </c>
      <c r="Q28" s="2">
        <v>19</v>
      </c>
      <c r="R28" s="2">
        <v>382</v>
      </c>
      <c r="S28" s="2">
        <v>84</v>
      </c>
      <c r="T28" s="2">
        <v>90</v>
      </c>
      <c r="U28" s="2">
        <v>88</v>
      </c>
      <c r="V28" s="2">
        <v>0</v>
      </c>
      <c r="X28" s="2" t="s">
        <v>1</v>
      </c>
    </row>
    <row r="29" spans="1:24" x14ac:dyDescent="0.2">
      <c r="A29" s="7">
        <v>33712</v>
      </c>
      <c r="B29" s="2">
        <v>1508</v>
      </c>
      <c r="C29" s="2">
        <v>503</v>
      </c>
      <c r="D29" s="2">
        <v>155</v>
      </c>
      <c r="E29" s="2">
        <v>1839</v>
      </c>
      <c r="F29" s="2">
        <v>366</v>
      </c>
      <c r="G29" s="2">
        <v>342.9</v>
      </c>
      <c r="H29" s="2">
        <v>523</v>
      </c>
      <c r="I29" s="2">
        <v>298</v>
      </c>
      <c r="J29" s="2">
        <v>63</v>
      </c>
      <c r="L29" s="2">
        <v>238</v>
      </c>
      <c r="M29" s="2">
        <v>165</v>
      </c>
      <c r="N29" s="2">
        <v>15.7</v>
      </c>
      <c r="O29" s="2">
        <v>10.5</v>
      </c>
      <c r="P29" s="2">
        <v>2040</v>
      </c>
      <c r="Q29" s="2">
        <v>25</v>
      </c>
      <c r="R29" s="2">
        <v>608</v>
      </c>
      <c r="S29" s="2">
        <v>465</v>
      </c>
      <c r="T29" s="2">
        <v>131</v>
      </c>
      <c r="U29" s="2">
        <v>159</v>
      </c>
      <c r="V29" s="2">
        <v>0</v>
      </c>
      <c r="X29" s="2" t="s">
        <v>1</v>
      </c>
    </row>
    <row r="30" spans="1:24" x14ac:dyDescent="0.2">
      <c r="A30" s="7">
        <v>33712</v>
      </c>
      <c r="B30" s="2">
        <v>1446</v>
      </c>
      <c r="C30" s="2">
        <v>504</v>
      </c>
      <c r="D30" s="2">
        <v>155</v>
      </c>
      <c r="E30" s="2">
        <v>1852</v>
      </c>
      <c r="F30" s="2">
        <v>364</v>
      </c>
      <c r="G30" s="2">
        <v>342.5</v>
      </c>
      <c r="H30" s="2">
        <v>523</v>
      </c>
      <c r="I30" s="2">
        <v>300</v>
      </c>
      <c r="J30" s="2">
        <v>63</v>
      </c>
      <c r="K30" s="2">
        <v>30</v>
      </c>
      <c r="L30" s="2">
        <v>242</v>
      </c>
      <c r="M30" s="2">
        <v>166</v>
      </c>
      <c r="N30" s="2">
        <v>16.3</v>
      </c>
      <c r="O30" s="2">
        <v>9.4</v>
      </c>
      <c r="P30" s="2">
        <v>2060</v>
      </c>
      <c r="Q30" s="2">
        <v>18</v>
      </c>
      <c r="R30" s="2">
        <v>905</v>
      </c>
      <c r="S30" s="2">
        <v>172</v>
      </c>
      <c r="T30" s="2">
        <v>282</v>
      </c>
      <c r="U30" s="2">
        <v>160</v>
      </c>
      <c r="V30" s="2">
        <v>0</v>
      </c>
      <c r="X30" s="2" t="s">
        <v>1</v>
      </c>
    </row>
    <row r="31" spans="1:24" x14ac:dyDescent="0.2">
      <c r="A31" s="7">
        <v>33712</v>
      </c>
      <c r="B31" s="2">
        <v>1422</v>
      </c>
      <c r="C31" s="2">
        <v>505</v>
      </c>
      <c r="D31" s="2">
        <v>157</v>
      </c>
      <c r="E31" s="2">
        <v>1835</v>
      </c>
      <c r="F31" s="2">
        <v>365</v>
      </c>
      <c r="G31" s="2">
        <v>343.9</v>
      </c>
      <c r="H31" s="2">
        <v>526</v>
      </c>
      <c r="I31" s="2">
        <v>297</v>
      </c>
      <c r="J31" s="2">
        <v>63</v>
      </c>
      <c r="K31" s="2">
        <v>26</v>
      </c>
      <c r="L31" s="2">
        <v>237</v>
      </c>
      <c r="M31" s="2">
        <v>167</v>
      </c>
      <c r="N31" s="2">
        <v>15.4</v>
      </c>
      <c r="P31" s="2">
        <v>2420</v>
      </c>
      <c r="Q31" s="2">
        <v>48</v>
      </c>
      <c r="R31" s="2">
        <v>790</v>
      </c>
      <c r="S31" s="2">
        <v>717</v>
      </c>
      <c r="T31" s="2">
        <v>147</v>
      </c>
      <c r="U31" s="2">
        <v>209</v>
      </c>
      <c r="V31" s="2">
        <v>0</v>
      </c>
      <c r="X31" s="2" t="s">
        <v>1</v>
      </c>
    </row>
    <row r="32" spans="1:24" x14ac:dyDescent="0.2">
      <c r="A32" s="7">
        <v>33712</v>
      </c>
      <c r="B32" s="2">
        <v>1415</v>
      </c>
      <c r="C32" s="2">
        <v>506</v>
      </c>
      <c r="D32" s="2">
        <v>170</v>
      </c>
      <c r="E32" s="2">
        <v>1851</v>
      </c>
      <c r="F32" s="2">
        <v>367</v>
      </c>
      <c r="G32" s="2">
        <v>343.4</v>
      </c>
      <c r="H32" s="2">
        <v>530</v>
      </c>
      <c r="I32" s="2">
        <v>296</v>
      </c>
      <c r="J32" s="2">
        <v>63</v>
      </c>
      <c r="K32" s="2">
        <v>25</v>
      </c>
      <c r="L32" s="2">
        <v>237</v>
      </c>
      <c r="M32" s="2">
        <v>167</v>
      </c>
      <c r="N32" s="2">
        <v>17.3</v>
      </c>
      <c r="O32" s="2">
        <v>4.7</v>
      </c>
      <c r="P32" s="2">
        <v>2980</v>
      </c>
      <c r="Q32" s="2">
        <v>55</v>
      </c>
      <c r="R32" s="2">
        <v>1110</v>
      </c>
      <c r="S32" s="2">
        <v>803</v>
      </c>
      <c r="T32" s="2">
        <v>220</v>
      </c>
      <c r="U32" s="2">
        <v>331</v>
      </c>
      <c r="V32" s="2">
        <v>0</v>
      </c>
      <c r="X32" s="2" t="s">
        <v>1</v>
      </c>
    </row>
    <row r="33" spans="1:24" x14ac:dyDescent="0.2">
      <c r="A33" s="7">
        <v>33712</v>
      </c>
      <c r="B33" s="2">
        <v>1357</v>
      </c>
      <c r="C33" s="2">
        <v>498</v>
      </c>
      <c r="D33" s="2">
        <v>142</v>
      </c>
      <c r="E33" s="2">
        <v>1826</v>
      </c>
      <c r="F33" s="2">
        <v>364</v>
      </c>
      <c r="G33" s="2">
        <v>344.2</v>
      </c>
      <c r="H33" s="2">
        <v>524</v>
      </c>
      <c r="I33" s="2">
        <v>295</v>
      </c>
      <c r="J33" s="2">
        <v>62</v>
      </c>
      <c r="L33" s="2">
        <v>248</v>
      </c>
      <c r="M33" s="2">
        <v>168</v>
      </c>
      <c r="N33" s="2">
        <v>24.6</v>
      </c>
      <c r="P33" s="2">
        <v>2350</v>
      </c>
      <c r="Q33" s="2">
        <v>43</v>
      </c>
      <c r="R33" s="2">
        <v>589</v>
      </c>
      <c r="S33" s="2">
        <v>561</v>
      </c>
      <c r="T33" s="2">
        <v>109</v>
      </c>
      <c r="U33" s="2">
        <v>138</v>
      </c>
      <c r="V33" s="2">
        <v>20</v>
      </c>
      <c r="X33" s="2" t="s">
        <v>1</v>
      </c>
    </row>
    <row r="34" spans="1:24" x14ac:dyDescent="0.2">
      <c r="A34" s="7">
        <v>33712</v>
      </c>
      <c r="B34" s="2">
        <v>1352</v>
      </c>
      <c r="C34" s="2">
        <v>497</v>
      </c>
      <c r="D34" s="2">
        <v>150</v>
      </c>
      <c r="E34" s="2">
        <v>1828</v>
      </c>
      <c r="F34" s="2">
        <v>365</v>
      </c>
      <c r="G34" s="2">
        <v>343.2</v>
      </c>
      <c r="H34" s="2">
        <v>524</v>
      </c>
      <c r="I34" s="2">
        <v>293</v>
      </c>
      <c r="J34" s="2">
        <v>62</v>
      </c>
      <c r="K34" s="2">
        <v>25</v>
      </c>
      <c r="L34" s="2">
        <v>236</v>
      </c>
      <c r="M34" s="2">
        <v>166</v>
      </c>
      <c r="N34" s="2">
        <v>25.5</v>
      </c>
      <c r="O34" s="2">
        <v>3.8</v>
      </c>
      <c r="P34" s="2">
        <v>2510</v>
      </c>
      <c r="Q34" s="2">
        <v>53</v>
      </c>
      <c r="R34" s="2">
        <v>640</v>
      </c>
      <c r="S34" s="2">
        <v>625</v>
      </c>
      <c r="T34" s="2">
        <v>120</v>
      </c>
      <c r="U34" s="2">
        <v>157</v>
      </c>
      <c r="V34" s="2">
        <v>21</v>
      </c>
      <c r="X34" s="2" t="s">
        <v>1</v>
      </c>
    </row>
    <row r="35" spans="1:24" x14ac:dyDescent="0.2">
      <c r="A35" s="7">
        <v>33713</v>
      </c>
      <c r="B35" s="2">
        <v>1407</v>
      </c>
      <c r="C35" s="2">
        <v>501</v>
      </c>
      <c r="D35" s="2">
        <v>150</v>
      </c>
      <c r="E35" s="2">
        <v>1842</v>
      </c>
      <c r="F35" s="2">
        <v>364</v>
      </c>
      <c r="G35" s="2">
        <v>343.7</v>
      </c>
      <c r="H35" s="2">
        <v>529</v>
      </c>
      <c r="I35" s="2">
        <v>291</v>
      </c>
      <c r="J35" s="2">
        <v>61</v>
      </c>
      <c r="K35" s="2">
        <v>23</v>
      </c>
      <c r="L35" s="2">
        <v>244</v>
      </c>
      <c r="M35" s="2">
        <v>164</v>
      </c>
      <c r="N35" s="2">
        <v>28.2</v>
      </c>
      <c r="P35" s="2">
        <v>2120</v>
      </c>
      <c r="Q35" s="2">
        <v>43</v>
      </c>
      <c r="R35" s="2">
        <v>623</v>
      </c>
      <c r="S35" s="2">
        <v>578</v>
      </c>
      <c r="T35" s="2">
        <v>124</v>
      </c>
      <c r="U35" s="2">
        <v>156</v>
      </c>
      <c r="V35" s="2">
        <v>0</v>
      </c>
      <c r="X35" s="2" t="s">
        <v>1</v>
      </c>
    </row>
    <row r="36" spans="1:24" x14ac:dyDescent="0.2">
      <c r="A36" s="7">
        <v>33713</v>
      </c>
      <c r="B36" s="2">
        <v>1403</v>
      </c>
      <c r="C36" s="2">
        <v>502</v>
      </c>
      <c r="D36" s="2">
        <v>158</v>
      </c>
      <c r="E36" s="2">
        <v>1844</v>
      </c>
      <c r="F36" s="2">
        <v>366</v>
      </c>
      <c r="G36" s="2">
        <v>344.1</v>
      </c>
      <c r="H36" s="2">
        <v>527</v>
      </c>
      <c r="I36" s="2">
        <v>291</v>
      </c>
      <c r="J36" s="2">
        <v>61</v>
      </c>
      <c r="K36" s="2">
        <v>22</v>
      </c>
      <c r="L36" s="2">
        <v>239</v>
      </c>
      <c r="M36" s="2">
        <v>164</v>
      </c>
      <c r="N36" s="2">
        <v>14.5</v>
      </c>
      <c r="P36" s="2">
        <v>2090</v>
      </c>
      <c r="Q36" s="2">
        <v>25</v>
      </c>
      <c r="R36" s="2">
        <v>631</v>
      </c>
      <c r="S36" s="2">
        <v>616</v>
      </c>
      <c r="T36" s="2">
        <v>123</v>
      </c>
      <c r="U36" s="2">
        <v>156</v>
      </c>
      <c r="V36" s="2">
        <v>0</v>
      </c>
      <c r="X36" s="2" t="s">
        <v>1</v>
      </c>
    </row>
    <row r="37" spans="1:24" x14ac:dyDescent="0.2">
      <c r="A37" s="7">
        <v>33713</v>
      </c>
      <c r="B37" s="2">
        <v>1355</v>
      </c>
      <c r="C37" s="2">
        <v>496</v>
      </c>
      <c r="D37" s="2">
        <v>153</v>
      </c>
      <c r="E37" s="2">
        <v>1840</v>
      </c>
      <c r="F37" s="2">
        <v>365</v>
      </c>
      <c r="G37" s="2">
        <v>343.9</v>
      </c>
      <c r="H37" s="2">
        <v>524</v>
      </c>
      <c r="I37" s="2">
        <v>291</v>
      </c>
      <c r="J37" s="2">
        <v>62</v>
      </c>
      <c r="K37" s="2">
        <v>26</v>
      </c>
      <c r="L37" s="2">
        <v>261</v>
      </c>
      <c r="M37" s="2">
        <v>164</v>
      </c>
      <c r="N37" s="2">
        <v>13.5</v>
      </c>
      <c r="P37" s="2">
        <v>2300</v>
      </c>
      <c r="Q37" s="2">
        <v>31</v>
      </c>
      <c r="R37" s="2">
        <v>722</v>
      </c>
      <c r="S37" s="2">
        <v>633</v>
      </c>
      <c r="T37" s="2">
        <v>135</v>
      </c>
      <c r="U37" s="2">
        <v>191</v>
      </c>
      <c r="V37" s="2">
        <v>0</v>
      </c>
      <c r="X37" s="2" t="s">
        <v>1</v>
      </c>
    </row>
    <row r="38" spans="1:24" x14ac:dyDescent="0.2">
      <c r="A38" s="7">
        <v>33713</v>
      </c>
      <c r="B38" s="2">
        <v>1350</v>
      </c>
      <c r="C38" s="2">
        <v>498</v>
      </c>
      <c r="D38" s="2">
        <v>154</v>
      </c>
      <c r="E38" s="2">
        <v>1833</v>
      </c>
      <c r="F38" s="2">
        <v>365</v>
      </c>
      <c r="G38" s="2">
        <v>344.3</v>
      </c>
      <c r="H38" s="2">
        <v>523</v>
      </c>
      <c r="I38" s="2">
        <v>291</v>
      </c>
      <c r="J38" s="2">
        <v>62</v>
      </c>
      <c r="K38" s="2">
        <v>26</v>
      </c>
      <c r="L38" s="2">
        <v>266</v>
      </c>
      <c r="M38" s="2">
        <v>164</v>
      </c>
      <c r="N38" s="2">
        <v>16.2</v>
      </c>
      <c r="P38" s="2">
        <v>2250</v>
      </c>
      <c r="Q38" s="2">
        <v>46</v>
      </c>
      <c r="R38" s="2">
        <v>714</v>
      </c>
      <c r="S38" s="2">
        <v>682</v>
      </c>
      <c r="T38" s="2">
        <v>136</v>
      </c>
      <c r="U38" s="2">
        <v>188</v>
      </c>
      <c r="V38" s="2">
        <v>0</v>
      </c>
      <c r="X38" s="2" t="s">
        <v>1</v>
      </c>
    </row>
    <row r="39" spans="1:24" x14ac:dyDescent="0.2">
      <c r="A39" s="7">
        <v>33715</v>
      </c>
      <c r="B39" s="2">
        <v>1343</v>
      </c>
      <c r="C39" s="2">
        <v>497</v>
      </c>
      <c r="D39" s="2">
        <v>151</v>
      </c>
      <c r="E39" s="2">
        <v>1836</v>
      </c>
      <c r="F39" s="2">
        <v>366</v>
      </c>
      <c r="G39" s="17">
        <v>340.8</v>
      </c>
      <c r="H39" s="2">
        <v>531</v>
      </c>
      <c r="I39" s="2">
        <v>292</v>
      </c>
      <c r="J39" s="2">
        <v>90</v>
      </c>
      <c r="L39" s="2">
        <v>239</v>
      </c>
      <c r="M39" s="2">
        <v>163</v>
      </c>
      <c r="N39" s="2">
        <v>22.1</v>
      </c>
      <c r="P39" s="2">
        <v>2190</v>
      </c>
      <c r="Q39" s="2">
        <v>65</v>
      </c>
      <c r="R39" s="2">
        <v>621</v>
      </c>
      <c r="S39" s="2">
        <v>589</v>
      </c>
      <c r="T39" s="2">
        <v>130</v>
      </c>
      <c r="U39" s="2">
        <v>169</v>
      </c>
      <c r="X39" s="2" t="s">
        <v>1</v>
      </c>
    </row>
    <row r="40" spans="1:24" x14ac:dyDescent="0.2">
      <c r="A40" s="7">
        <v>33715</v>
      </c>
      <c r="B40" s="2">
        <v>1308</v>
      </c>
      <c r="C40" s="2">
        <v>502</v>
      </c>
      <c r="D40" s="2">
        <v>154</v>
      </c>
      <c r="E40" s="2">
        <v>1835</v>
      </c>
      <c r="F40" s="2">
        <v>366</v>
      </c>
      <c r="G40" s="17">
        <v>343</v>
      </c>
      <c r="H40" s="2">
        <v>520</v>
      </c>
      <c r="I40" s="2">
        <v>295</v>
      </c>
      <c r="J40" s="2">
        <v>63</v>
      </c>
      <c r="K40" s="2">
        <v>27</v>
      </c>
      <c r="L40" s="2">
        <v>257</v>
      </c>
      <c r="M40" s="2">
        <v>168</v>
      </c>
      <c r="N40" s="17">
        <v>38</v>
      </c>
      <c r="P40" s="2">
        <v>1670</v>
      </c>
      <c r="Q40" s="2">
        <v>38</v>
      </c>
      <c r="R40" s="2">
        <v>322</v>
      </c>
      <c r="S40" s="2">
        <v>405</v>
      </c>
      <c r="T40" s="2">
        <v>61</v>
      </c>
      <c r="U40" s="2">
        <v>61</v>
      </c>
      <c r="V40" s="2">
        <v>0</v>
      </c>
      <c r="X40" s="2" t="s">
        <v>1</v>
      </c>
    </row>
    <row r="41" spans="1:24" x14ac:dyDescent="0.2">
      <c r="A41" s="7">
        <v>33715</v>
      </c>
      <c r="B41" s="2">
        <v>1348</v>
      </c>
      <c r="C41" s="2">
        <v>498</v>
      </c>
      <c r="D41" s="2">
        <v>146</v>
      </c>
      <c r="E41" s="2">
        <v>1835</v>
      </c>
      <c r="F41" s="2">
        <v>366</v>
      </c>
      <c r="G41" s="17">
        <v>342</v>
      </c>
      <c r="H41" s="2">
        <v>529</v>
      </c>
      <c r="I41" s="2">
        <v>290</v>
      </c>
      <c r="J41" s="2">
        <v>62</v>
      </c>
      <c r="K41" s="2">
        <v>26</v>
      </c>
      <c r="L41" s="2">
        <v>243</v>
      </c>
      <c r="M41" s="2">
        <v>163</v>
      </c>
      <c r="O41" s="2">
        <v>6.5</v>
      </c>
      <c r="P41" s="2">
        <v>2160</v>
      </c>
      <c r="Q41" s="2">
        <v>37</v>
      </c>
      <c r="R41" s="2">
        <v>636</v>
      </c>
      <c r="S41" s="2">
        <v>565</v>
      </c>
      <c r="T41" s="2">
        <v>113</v>
      </c>
      <c r="U41" s="2">
        <v>155</v>
      </c>
      <c r="V41" s="2">
        <v>0</v>
      </c>
      <c r="X41" s="2" t="s">
        <v>1</v>
      </c>
    </row>
    <row r="42" spans="1:24" x14ac:dyDescent="0.2">
      <c r="A42" s="7">
        <v>33715</v>
      </c>
      <c r="B42" s="2">
        <v>1312</v>
      </c>
      <c r="C42" s="2">
        <v>501</v>
      </c>
      <c r="D42" s="2">
        <v>156</v>
      </c>
      <c r="E42" s="2">
        <v>1838</v>
      </c>
      <c r="F42" s="2">
        <v>366</v>
      </c>
      <c r="G42" s="17">
        <v>344</v>
      </c>
      <c r="H42" s="2">
        <v>530</v>
      </c>
      <c r="I42" s="2">
        <v>295</v>
      </c>
      <c r="J42" s="2">
        <v>63</v>
      </c>
      <c r="K42" s="2">
        <v>24</v>
      </c>
      <c r="L42" s="2">
        <v>247</v>
      </c>
      <c r="M42" s="2">
        <v>168</v>
      </c>
      <c r="N42" s="2">
        <v>21.4</v>
      </c>
      <c r="P42" s="2">
        <v>1690</v>
      </c>
      <c r="Q42" s="2">
        <v>33</v>
      </c>
      <c r="R42" s="2">
        <v>307</v>
      </c>
      <c r="S42" s="2">
        <v>359</v>
      </c>
      <c r="T42" s="2">
        <v>67</v>
      </c>
      <c r="U42" s="2">
        <v>67</v>
      </c>
      <c r="V42" s="2">
        <v>0</v>
      </c>
      <c r="X42" s="2" t="s">
        <v>1</v>
      </c>
    </row>
    <row r="43" spans="1:24" x14ac:dyDescent="0.2">
      <c r="A43" s="7">
        <v>33717</v>
      </c>
      <c r="B43" s="2">
        <v>1643</v>
      </c>
      <c r="D43" s="2">
        <v>160</v>
      </c>
      <c r="E43" s="2">
        <v>1894</v>
      </c>
      <c r="F43" s="2">
        <v>372</v>
      </c>
      <c r="G43" s="17">
        <v>345</v>
      </c>
      <c r="H43" s="2">
        <v>529</v>
      </c>
      <c r="I43" s="2">
        <v>293</v>
      </c>
      <c r="J43" s="2">
        <v>65</v>
      </c>
      <c r="L43" s="2">
        <v>238</v>
      </c>
      <c r="M43" s="2">
        <v>164</v>
      </c>
      <c r="N43" s="2">
        <v>61</v>
      </c>
      <c r="P43" s="2">
        <v>7600</v>
      </c>
      <c r="Q43" s="2">
        <v>154</v>
      </c>
      <c r="R43" s="2">
        <v>4530</v>
      </c>
      <c r="S43" s="2">
        <v>590</v>
      </c>
      <c r="T43" s="2">
        <v>897</v>
      </c>
      <c r="U43" s="2">
        <v>1940</v>
      </c>
      <c r="V43" s="2">
        <v>0</v>
      </c>
      <c r="X43" s="2" t="s">
        <v>1</v>
      </c>
    </row>
    <row r="44" spans="1:24" x14ac:dyDescent="0.2">
      <c r="A44" s="7">
        <v>33717</v>
      </c>
      <c r="B44" s="2">
        <v>1630</v>
      </c>
      <c r="C44" s="2">
        <v>507</v>
      </c>
      <c r="D44" s="2">
        <v>157</v>
      </c>
      <c r="E44" s="2">
        <v>1843</v>
      </c>
      <c r="F44" s="2">
        <v>364</v>
      </c>
      <c r="G44" s="2">
        <v>346.6</v>
      </c>
      <c r="H44" s="2">
        <v>519</v>
      </c>
      <c r="I44" s="2">
        <v>292</v>
      </c>
      <c r="J44" s="2">
        <v>67</v>
      </c>
      <c r="L44" s="2">
        <v>232</v>
      </c>
      <c r="M44" s="2">
        <v>163</v>
      </c>
      <c r="N44" s="2">
        <v>33.1</v>
      </c>
      <c r="P44" s="2">
        <v>1850</v>
      </c>
      <c r="Q44" s="2">
        <v>19</v>
      </c>
      <c r="R44" s="2">
        <v>443</v>
      </c>
      <c r="S44" s="2">
        <v>405</v>
      </c>
      <c r="T44" s="2">
        <v>97</v>
      </c>
      <c r="U44" s="2">
        <v>91</v>
      </c>
      <c r="V44" s="2">
        <v>0</v>
      </c>
      <c r="X44" s="2" t="s">
        <v>1</v>
      </c>
    </row>
    <row r="45" spans="1:24" x14ac:dyDescent="0.2">
      <c r="A45" s="7">
        <v>33717</v>
      </c>
      <c r="B45" s="2">
        <v>1616</v>
      </c>
      <c r="C45" s="2">
        <v>507</v>
      </c>
      <c r="D45" s="2">
        <v>161</v>
      </c>
      <c r="E45" s="2">
        <v>1868</v>
      </c>
      <c r="F45" s="2">
        <v>366</v>
      </c>
      <c r="G45" s="17">
        <v>345.8</v>
      </c>
      <c r="H45" s="2">
        <v>527</v>
      </c>
      <c r="I45" s="2">
        <v>293</v>
      </c>
      <c r="J45" s="2">
        <v>62</v>
      </c>
      <c r="K45" s="2">
        <v>24</v>
      </c>
      <c r="L45" s="2">
        <v>236</v>
      </c>
      <c r="M45" s="2">
        <v>164</v>
      </c>
      <c r="N45" s="2">
        <v>37.9</v>
      </c>
      <c r="P45" s="2">
        <v>4070</v>
      </c>
      <c r="Q45" s="2">
        <v>131</v>
      </c>
      <c r="R45" s="2">
        <v>1760</v>
      </c>
      <c r="S45" s="2">
        <v>517</v>
      </c>
      <c r="T45" s="2">
        <v>320</v>
      </c>
      <c r="U45" s="2">
        <v>578</v>
      </c>
      <c r="V45" s="2">
        <v>0</v>
      </c>
    </row>
    <row r="46" spans="1:24" x14ac:dyDescent="0.2">
      <c r="A46" s="7">
        <v>33718</v>
      </c>
      <c r="B46" s="2">
        <v>1458</v>
      </c>
      <c r="C46" s="2">
        <v>503</v>
      </c>
      <c r="D46" s="2">
        <v>152</v>
      </c>
      <c r="E46" s="2">
        <v>1838</v>
      </c>
      <c r="F46" s="2">
        <v>366</v>
      </c>
      <c r="G46" s="2">
        <v>346.7</v>
      </c>
      <c r="H46" s="2">
        <v>523</v>
      </c>
      <c r="I46" s="2">
        <v>310</v>
      </c>
      <c r="J46" s="2">
        <v>62</v>
      </c>
      <c r="K46" s="2">
        <v>30</v>
      </c>
      <c r="L46" s="2">
        <v>234</v>
      </c>
      <c r="M46" s="2">
        <v>164</v>
      </c>
      <c r="N46" s="2">
        <v>13.8</v>
      </c>
      <c r="P46" s="2">
        <v>1690</v>
      </c>
      <c r="Q46" s="2">
        <v>19</v>
      </c>
      <c r="R46" s="2">
        <v>321</v>
      </c>
      <c r="S46" s="2">
        <v>306</v>
      </c>
      <c r="T46" s="2">
        <v>67</v>
      </c>
      <c r="U46" s="2">
        <v>64</v>
      </c>
      <c r="V46" s="2">
        <v>0</v>
      </c>
    </row>
    <row r="47" spans="1:24" x14ac:dyDescent="0.2">
      <c r="A47" s="7">
        <v>33718</v>
      </c>
      <c r="B47" s="2">
        <v>1733</v>
      </c>
      <c r="C47" s="2">
        <v>504</v>
      </c>
      <c r="D47" s="2">
        <v>152</v>
      </c>
      <c r="E47" s="2">
        <v>1832</v>
      </c>
      <c r="F47" s="2">
        <v>364</v>
      </c>
      <c r="G47" s="2">
        <v>343.7</v>
      </c>
      <c r="H47" s="2">
        <v>528</v>
      </c>
      <c r="I47" s="2">
        <v>292</v>
      </c>
      <c r="J47" s="2">
        <v>67</v>
      </c>
      <c r="K47" s="2">
        <v>27</v>
      </c>
      <c r="L47" s="2">
        <v>240</v>
      </c>
      <c r="M47" s="2">
        <v>164</v>
      </c>
      <c r="N47" s="2">
        <v>10.5</v>
      </c>
      <c r="P47" s="2">
        <v>1240</v>
      </c>
      <c r="Q47" s="2">
        <v>24</v>
      </c>
      <c r="R47" s="2">
        <v>164</v>
      </c>
      <c r="S47" s="2">
        <v>81</v>
      </c>
      <c r="T47" s="2">
        <v>41</v>
      </c>
      <c r="U47" s="2">
        <v>31</v>
      </c>
      <c r="V47" s="2">
        <v>0</v>
      </c>
    </row>
    <row r="48" spans="1:24" x14ac:dyDescent="0.2">
      <c r="A48" s="7">
        <v>33718</v>
      </c>
      <c r="B48" s="2">
        <v>1445</v>
      </c>
      <c r="C48" s="2">
        <v>508</v>
      </c>
      <c r="D48" s="2">
        <v>151</v>
      </c>
      <c r="E48" s="2">
        <v>1843</v>
      </c>
      <c r="F48" s="2">
        <v>364</v>
      </c>
      <c r="G48" s="2">
        <v>343.8</v>
      </c>
      <c r="H48" s="2">
        <v>523</v>
      </c>
      <c r="I48" s="2">
        <v>292</v>
      </c>
      <c r="J48" s="2">
        <v>62</v>
      </c>
      <c r="K48" s="2">
        <v>29</v>
      </c>
      <c r="L48" s="2">
        <v>234</v>
      </c>
      <c r="M48" s="2">
        <v>164</v>
      </c>
      <c r="N48" s="17">
        <v>19</v>
      </c>
      <c r="P48" s="2">
        <v>1480</v>
      </c>
      <c r="Q48" s="2">
        <v>25</v>
      </c>
      <c r="R48" s="2">
        <v>292</v>
      </c>
      <c r="S48" s="2">
        <v>324</v>
      </c>
      <c r="T48" s="2">
        <v>62</v>
      </c>
      <c r="U48" s="2">
        <v>57</v>
      </c>
      <c r="V48" s="2">
        <v>0</v>
      </c>
    </row>
    <row r="49" spans="1:22" x14ac:dyDescent="0.2">
      <c r="A49" s="7">
        <v>33718</v>
      </c>
      <c r="B49" s="2">
        <v>1819</v>
      </c>
      <c r="C49" s="2">
        <v>502</v>
      </c>
      <c r="D49" s="2">
        <v>147</v>
      </c>
      <c r="E49" s="2">
        <v>1839</v>
      </c>
      <c r="F49" s="2">
        <v>363</v>
      </c>
      <c r="G49" s="2">
        <v>341.5</v>
      </c>
      <c r="H49" s="2">
        <v>527</v>
      </c>
      <c r="I49" s="2">
        <v>294</v>
      </c>
      <c r="J49" s="2">
        <v>65</v>
      </c>
      <c r="K49" s="2">
        <v>27</v>
      </c>
      <c r="L49" s="2">
        <v>240</v>
      </c>
      <c r="M49" s="2">
        <v>167</v>
      </c>
      <c r="N49" s="2">
        <v>14.1</v>
      </c>
      <c r="P49" s="2">
        <v>1270</v>
      </c>
      <c r="Q49" s="2">
        <v>25</v>
      </c>
      <c r="R49" s="2">
        <v>198</v>
      </c>
      <c r="S49" s="2">
        <v>273</v>
      </c>
      <c r="T49" s="2">
        <v>44</v>
      </c>
      <c r="U49" s="2">
        <v>34</v>
      </c>
      <c r="V49" s="2">
        <v>0</v>
      </c>
    </row>
    <row r="50" spans="1:22" x14ac:dyDescent="0.2">
      <c r="A50" s="7">
        <v>33718</v>
      </c>
      <c r="B50" s="2">
        <v>1141</v>
      </c>
      <c r="C50" s="2">
        <v>505</v>
      </c>
      <c r="D50" s="2">
        <v>139</v>
      </c>
      <c r="E50" s="2">
        <v>1823</v>
      </c>
      <c r="F50" s="2">
        <v>363</v>
      </c>
      <c r="G50" s="17">
        <v>342.9</v>
      </c>
      <c r="H50" s="2">
        <v>523</v>
      </c>
      <c r="I50" s="2">
        <v>292</v>
      </c>
      <c r="J50" s="2">
        <v>66</v>
      </c>
      <c r="K50" s="2">
        <v>28</v>
      </c>
      <c r="L50" s="2">
        <v>234</v>
      </c>
      <c r="M50" s="2">
        <v>164</v>
      </c>
      <c r="N50" s="2">
        <v>12.6</v>
      </c>
      <c r="P50" s="2">
        <v>2100</v>
      </c>
      <c r="Q50" s="2">
        <v>19</v>
      </c>
      <c r="R50" s="2">
        <v>491</v>
      </c>
      <c r="S50" s="2">
        <v>524</v>
      </c>
      <c r="T50" s="2">
        <v>71</v>
      </c>
      <c r="U50" s="2">
        <v>93</v>
      </c>
      <c r="V50" s="2">
        <v>0</v>
      </c>
    </row>
    <row r="51" spans="1:22" x14ac:dyDescent="0.2">
      <c r="A51" s="7">
        <v>33718</v>
      </c>
      <c r="B51" s="2">
        <v>1822</v>
      </c>
      <c r="C51" s="2">
        <v>504</v>
      </c>
      <c r="D51" s="2">
        <v>150</v>
      </c>
      <c r="E51" s="2">
        <v>1830</v>
      </c>
      <c r="F51" s="2">
        <v>363</v>
      </c>
      <c r="G51" s="2">
        <v>343.7</v>
      </c>
      <c r="H51" s="2">
        <v>526</v>
      </c>
      <c r="I51" s="2">
        <v>302</v>
      </c>
      <c r="J51" s="2">
        <v>71</v>
      </c>
      <c r="K51" s="2">
        <v>30</v>
      </c>
      <c r="L51" s="2">
        <v>243</v>
      </c>
      <c r="M51" s="2">
        <v>167</v>
      </c>
      <c r="N51" s="2">
        <v>11.9</v>
      </c>
      <c r="P51" s="2">
        <v>1270</v>
      </c>
      <c r="Q51" s="2">
        <v>25</v>
      </c>
      <c r="R51" s="2">
        <v>198</v>
      </c>
      <c r="S51" s="2">
        <v>273</v>
      </c>
      <c r="T51" s="2">
        <v>44</v>
      </c>
      <c r="U51" s="2">
        <v>34</v>
      </c>
      <c r="V51" s="2">
        <v>0</v>
      </c>
    </row>
    <row r="52" spans="1:22" x14ac:dyDescent="0.2">
      <c r="A52" s="7">
        <v>33718</v>
      </c>
      <c r="B52" s="2">
        <v>1728</v>
      </c>
      <c r="C52" s="2">
        <v>503</v>
      </c>
      <c r="D52" s="2">
        <v>158</v>
      </c>
      <c r="E52" s="2">
        <v>1843</v>
      </c>
      <c r="F52" s="2">
        <v>366</v>
      </c>
      <c r="G52" s="2">
        <v>346.1</v>
      </c>
      <c r="H52" s="2">
        <v>528</v>
      </c>
      <c r="I52" s="2">
        <v>292</v>
      </c>
      <c r="J52" s="2">
        <v>64</v>
      </c>
      <c r="K52" s="2">
        <v>33</v>
      </c>
      <c r="L52" s="2">
        <v>236</v>
      </c>
      <c r="M52" s="2">
        <v>164</v>
      </c>
      <c r="N52" s="17">
        <v>19</v>
      </c>
      <c r="P52" s="2">
        <v>1420</v>
      </c>
      <c r="Q52" s="2">
        <v>12</v>
      </c>
      <c r="R52" s="2">
        <v>265</v>
      </c>
      <c r="S52" s="2">
        <v>285</v>
      </c>
      <c r="T52" s="2">
        <v>60</v>
      </c>
      <c r="U52" s="2">
        <v>45</v>
      </c>
      <c r="V52" s="2">
        <v>0</v>
      </c>
    </row>
    <row r="53" spans="1:22" x14ac:dyDescent="0.2">
      <c r="A53" s="7">
        <v>33721</v>
      </c>
      <c r="B53" s="2">
        <v>1352</v>
      </c>
      <c r="C53" s="2">
        <v>508</v>
      </c>
      <c r="D53" s="2">
        <v>150</v>
      </c>
      <c r="E53" s="2">
        <v>1832</v>
      </c>
      <c r="F53" s="2">
        <v>363</v>
      </c>
      <c r="G53" s="2">
        <v>345.4</v>
      </c>
      <c r="H53" s="2">
        <v>543</v>
      </c>
      <c r="I53" s="2">
        <v>294</v>
      </c>
      <c r="J53" s="2">
        <v>63</v>
      </c>
      <c r="L53" s="2">
        <v>239</v>
      </c>
      <c r="M53" s="2">
        <v>166</v>
      </c>
      <c r="N53" s="2">
        <v>12.5</v>
      </c>
      <c r="P53" s="2">
        <v>2220</v>
      </c>
      <c r="Q53" s="2">
        <v>37</v>
      </c>
      <c r="R53" s="2">
        <v>656</v>
      </c>
      <c r="S53" s="2">
        <v>606</v>
      </c>
      <c r="T53" s="2">
        <v>109</v>
      </c>
      <c r="U53" s="2">
        <v>158</v>
      </c>
      <c r="V53" s="2">
        <v>0</v>
      </c>
    </row>
    <row r="54" spans="1:22" x14ac:dyDescent="0.2">
      <c r="A54" s="7"/>
    </row>
    <row r="55" spans="1:22" x14ac:dyDescent="0.2">
      <c r="C55" s="8" t="s">
        <v>117</v>
      </c>
      <c r="D55" s="8" t="s">
        <v>118</v>
      </c>
      <c r="E55" s="8" t="s">
        <v>123</v>
      </c>
      <c r="F55" s="8" t="s">
        <v>134</v>
      </c>
      <c r="G55" s="8" t="s">
        <v>138</v>
      </c>
      <c r="H55" s="8" t="s">
        <v>136</v>
      </c>
      <c r="I55" s="8" t="s">
        <v>130</v>
      </c>
      <c r="J55" s="8" t="s">
        <v>133</v>
      </c>
      <c r="K55" s="8" t="s">
        <v>127</v>
      </c>
      <c r="L55" s="8" t="s">
        <v>121</v>
      </c>
      <c r="M55" s="8" t="s">
        <v>112</v>
      </c>
      <c r="N55" s="8" t="s">
        <v>146</v>
      </c>
      <c r="O55" s="8" t="s">
        <v>145</v>
      </c>
      <c r="P55" s="8" t="s">
        <v>126</v>
      </c>
      <c r="Q55" s="8" t="s">
        <v>122</v>
      </c>
      <c r="R55" s="8" t="s">
        <v>131</v>
      </c>
      <c r="S55" s="8" t="s">
        <v>113</v>
      </c>
      <c r="T55" s="8" t="s">
        <v>153</v>
      </c>
      <c r="U55" s="8" t="s">
        <v>155</v>
      </c>
      <c r="V55" s="8" t="s">
        <v>129</v>
      </c>
    </row>
    <row r="56" spans="1:22" x14ac:dyDescent="0.2">
      <c r="C56" s="8" t="s">
        <v>266</v>
      </c>
      <c r="D56" s="8" t="s">
        <v>266</v>
      </c>
      <c r="E56" s="8" t="s">
        <v>266</v>
      </c>
      <c r="F56" s="8" t="s">
        <v>371</v>
      </c>
      <c r="G56" s="8" t="s">
        <v>266</v>
      </c>
      <c r="H56" s="8" t="s">
        <v>144</v>
      </c>
      <c r="I56" s="8" t="s">
        <v>144</v>
      </c>
      <c r="J56" s="8" t="s">
        <v>144</v>
      </c>
      <c r="K56" s="8" t="s">
        <v>144</v>
      </c>
      <c r="L56" s="8" t="s">
        <v>144</v>
      </c>
      <c r="M56" s="8" t="s">
        <v>144</v>
      </c>
      <c r="N56" s="8" t="s">
        <v>426</v>
      </c>
      <c r="O56" s="8" t="s">
        <v>144</v>
      </c>
      <c r="P56" s="8" t="s">
        <v>144</v>
      </c>
      <c r="Q56" s="8" t="s">
        <v>144</v>
      </c>
      <c r="R56" s="8" t="s">
        <v>144</v>
      </c>
      <c r="S56" s="8" t="s">
        <v>144</v>
      </c>
      <c r="T56" s="8" t="s">
        <v>144</v>
      </c>
      <c r="U56" s="8" t="s">
        <v>144</v>
      </c>
      <c r="V56" s="8" t="s">
        <v>144</v>
      </c>
    </row>
    <row r="58" spans="1:22" x14ac:dyDescent="0.2">
      <c r="A58" s="7">
        <f>AVERAGE(A7:A53)</f>
        <v>33710.638297872341</v>
      </c>
      <c r="B58" s="2" t="s">
        <v>529</v>
      </c>
      <c r="C58" s="4">
        <f t="shared" ref="C58:V58" si="0">AVERAGE(C7:C53)</f>
        <v>502.10869565217394</v>
      </c>
      <c r="D58" s="4">
        <f t="shared" si="0"/>
        <v>155.46808510638297</v>
      </c>
      <c r="E58" s="4">
        <f t="shared" si="0"/>
        <v>1848.0869565217392</v>
      </c>
      <c r="F58" s="4">
        <f t="shared" si="0"/>
        <v>366.55319148936172</v>
      </c>
      <c r="G58" s="4">
        <f t="shared" si="0"/>
        <v>344.05531914893623</v>
      </c>
      <c r="H58" s="4">
        <f t="shared" si="0"/>
        <v>531.70212765957444</v>
      </c>
      <c r="I58" s="4">
        <f t="shared" si="0"/>
        <v>294.04255319148939</v>
      </c>
      <c r="J58" s="4">
        <f t="shared" si="0"/>
        <v>66.59574468085107</v>
      </c>
      <c r="K58" s="4">
        <f t="shared" si="0"/>
        <v>27.055555555555557</v>
      </c>
      <c r="L58" s="4">
        <f t="shared" si="0"/>
        <v>247.14893617021278</v>
      </c>
      <c r="M58" s="4">
        <f t="shared" si="0"/>
        <v>165.25531914893617</v>
      </c>
      <c r="N58" s="4">
        <f t="shared" si="0"/>
        <v>25.106521739130432</v>
      </c>
      <c r="O58" s="4">
        <f t="shared" si="0"/>
        <v>9.3882352941176475</v>
      </c>
      <c r="P58" s="4">
        <f t="shared" si="0"/>
        <v>2229.3023255813955</v>
      </c>
      <c r="Q58" s="4">
        <f t="shared" si="0"/>
        <v>63.279069767441861</v>
      </c>
      <c r="R58" s="4">
        <f t="shared" si="0"/>
        <v>716.8604651162791</v>
      </c>
      <c r="S58" s="4">
        <f t="shared" si="0"/>
        <v>486.60465116279067</v>
      </c>
      <c r="T58" s="4">
        <f t="shared" si="0"/>
        <v>153</v>
      </c>
      <c r="U58" s="4">
        <f t="shared" si="0"/>
        <v>208.25581395348837</v>
      </c>
      <c r="V58" s="4">
        <f t="shared" si="0"/>
        <v>4.3571428571428568</v>
      </c>
    </row>
    <row r="59" spans="1:22" x14ac:dyDescent="0.2">
      <c r="B59" s="2" t="s">
        <v>255</v>
      </c>
      <c r="C59" s="4">
        <f t="shared" ref="C59:V59" si="1">STDEV(C7:C53)</f>
        <v>4.1698828167364637</v>
      </c>
      <c r="D59" s="4">
        <f t="shared" si="1"/>
        <v>6.3102782403678788</v>
      </c>
      <c r="E59" s="4">
        <f t="shared" si="1"/>
        <v>25.404134472742395</v>
      </c>
      <c r="F59" s="4">
        <f t="shared" si="1"/>
        <v>4.179705162465817</v>
      </c>
      <c r="G59" s="4">
        <f t="shared" si="1"/>
        <v>1.364903008281783</v>
      </c>
      <c r="H59" s="4">
        <f t="shared" si="1"/>
        <v>10.337594736681762</v>
      </c>
      <c r="I59" s="4">
        <f t="shared" si="1"/>
        <v>3.4575528340677644</v>
      </c>
      <c r="J59" s="4">
        <f t="shared" si="1"/>
        <v>15.293732126860908</v>
      </c>
      <c r="K59" s="4">
        <f t="shared" si="1"/>
        <v>4.2691213177183043</v>
      </c>
      <c r="L59" s="4">
        <f t="shared" si="1"/>
        <v>34.563098393847632</v>
      </c>
      <c r="M59" s="4">
        <f t="shared" si="1"/>
        <v>1.4959086973182236</v>
      </c>
      <c r="N59" s="4">
        <f t="shared" si="1"/>
        <v>25.800571933143164</v>
      </c>
      <c r="O59" s="4">
        <f t="shared" si="1"/>
        <v>3.4763275077553395</v>
      </c>
      <c r="P59" s="4">
        <f t="shared" si="1"/>
        <v>974.35789686589965</v>
      </c>
      <c r="Q59" s="4">
        <f t="shared" si="1"/>
        <v>127.27853325555529</v>
      </c>
      <c r="R59" s="4">
        <f t="shared" si="1"/>
        <v>668.87960983079574</v>
      </c>
      <c r="S59" s="4">
        <f t="shared" si="1"/>
        <v>215.39500143809812</v>
      </c>
      <c r="T59" s="4">
        <f t="shared" si="1"/>
        <v>134.47888841216462</v>
      </c>
      <c r="U59" s="4">
        <f t="shared" si="1"/>
        <v>291.93501339977445</v>
      </c>
      <c r="V59" s="4">
        <f t="shared" si="1"/>
        <v>9.1779731769945077</v>
      </c>
    </row>
    <row r="60" spans="1:22" x14ac:dyDescent="0.2">
      <c r="B60" s="2" t="s">
        <v>365</v>
      </c>
      <c r="C60" s="4">
        <f t="shared" ref="C60:V60" si="2">COUNTA(C7:C53)</f>
        <v>46</v>
      </c>
      <c r="D60" s="4">
        <f t="shared" si="2"/>
        <v>47</v>
      </c>
      <c r="E60" s="4">
        <f t="shared" si="2"/>
        <v>47</v>
      </c>
      <c r="F60" s="4">
        <f t="shared" si="2"/>
        <v>47</v>
      </c>
      <c r="G60" s="4">
        <f t="shared" si="2"/>
        <v>47</v>
      </c>
      <c r="H60" s="4">
        <f t="shared" si="2"/>
        <v>47</v>
      </c>
      <c r="I60" s="4">
        <f t="shared" si="2"/>
        <v>47</v>
      </c>
      <c r="J60" s="4">
        <f t="shared" si="2"/>
        <v>47</v>
      </c>
      <c r="K60" s="4">
        <f t="shared" si="2"/>
        <v>36</v>
      </c>
      <c r="L60" s="4">
        <f t="shared" si="2"/>
        <v>47</v>
      </c>
      <c r="M60" s="4">
        <f t="shared" si="2"/>
        <v>47</v>
      </c>
      <c r="N60" s="4">
        <f t="shared" si="2"/>
        <v>46</v>
      </c>
      <c r="O60" s="4">
        <f t="shared" si="2"/>
        <v>17</v>
      </c>
      <c r="P60" s="4">
        <f t="shared" si="2"/>
        <v>43</v>
      </c>
      <c r="Q60" s="4">
        <f t="shared" si="2"/>
        <v>43</v>
      </c>
      <c r="R60" s="4">
        <f t="shared" si="2"/>
        <v>43</v>
      </c>
      <c r="S60" s="4">
        <f t="shared" si="2"/>
        <v>43</v>
      </c>
      <c r="T60" s="4">
        <f t="shared" si="2"/>
        <v>43</v>
      </c>
      <c r="U60" s="4">
        <f t="shared" si="2"/>
        <v>43</v>
      </c>
      <c r="V60" s="4">
        <f t="shared" si="2"/>
        <v>42</v>
      </c>
    </row>
  </sheetData>
  <pageMargins left="0.5" right="0.5" top="0.75" bottom="0.75" header="0.5" footer="0.5"/>
  <pageSetup orientation="portrait" horizontalDpi="0" verticalDpi="0" copies="0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5"/>
  <sheetViews>
    <sheetView showOutlineSymbols="0" defaultGridColor="0" colorId="9" workbookViewId="0">
      <selection activeCell="B29" sqref="B29"/>
    </sheetView>
  </sheetViews>
  <sheetFormatPr defaultColWidth="8.6640625" defaultRowHeight="15" x14ac:dyDescent="0.2"/>
  <cols>
    <col min="1" max="16384" width="8.6640625" style="2"/>
  </cols>
  <sheetData>
    <row r="1" spans="1:25" ht="18" x14ac:dyDescent="0.25">
      <c r="A1" s="18" t="s">
        <v>1157</v>
      </c>
      <c r="Y1" s="2" t="s">
        <v>1</v>
      </c>
    </row>
    <row r="2" spans="1:25" x14ac:dyDescent="0.2">
      <c r="A2" s="2" t="s">
        <v>1158</v>
      </c>
      <c r="Y2" s="2" t="s">
        <v>1</v>
      </c>
    </row>
    <row r="3" spans="1:25" x14ac:dyDescent="0.2">
      <c r="A3" s="2" t="s">
        <v>284</v>
      </c>
      <c r="B3" s="15" t="s">
        <v>285</v>
      </c>
      <c r="C3" s="15" t="s">
        <v>253</v>
      </c>
      <c r="D3" s="8" t="s">
        <v>286</v>
      </c>
      <c r="E3" s="8" t="s">
        <v>117</v>
      </c>
      <c r="F3" s="8" t="s">
        <v>118</v>
      </c>
      <c r="G3" s="8" t="s">
        <v>118</v>
      </c>
      <c r="H3" s="8" t="s">
        <v>123</v>
      </c>
      <c r="I3" s="8" t="s">
        <v>134</v>
      </c>
      <c r="J3" s="8" t="s">
        <v>138</v>
      </c>
      <c r="K3" s="8" t="s">
        <v>136</v>
      </c>
      <c r="L3" s="8" t="s">
        <v>130</v>
      </c>
      <c r="M3" s="8" t="s">
        <v>133</v>
      </c>
      <c r="N3" s="8" t="s">
        <v>127</v>
      </c>
      <c r="O3" s="8" t="s">
        <v>121</v>
      </c>
      <c r="P3" s="8" t="s">
        <v>112</v>
      </c>
      <c r="Q3" s="8" t="s">
        <v>126</v>
      </c>
      <c r="R3" s="8" t="s">
        <v>122</v>
      </c>
      <c r="S3" s="8" t="s">
        <v>113</v>
      </c>
      <c r="T3" s="8" t="s">
        <v>131</v>
      </c>
      <c r="U3" s="8" t="s">
        <v>126</v>
      </c>
      <c r="V3" s="8" t="s">
        <v>149</v>
      </c>
      <c r="W3" s="8" t="s">
        <v>151</v>
      </c>
      <c r="Y3" s="2" t="s">
        <v>1</v>
      </c>
    </row>
    <row r="4" spans="1:25" x14ac:dyDescent="0.2">
      <c r="A4" s="2" t="s">
        <v>289</v>
      </c>
      <c r="B4" s="15" t="s">
        <v>367</v>
      </c>
      <c r="C4" s="19"/>
      <c r="E4" s="8" t="s">
        <v>266</v>
      </c>
      <c r="F4" s="8" t="s">
        <v>266</v>
      </c>
      <c r="G4" s="8" t="s">
        <v>266</v>
      </c>
      <c r="H4" s="8" t="s">
        <v>266</v>
      </c>
      <c r="I4" s="8" t="s">
        <v>371</v>
      </c>
      <c r="J4" s="8" t="s">
        <v>266</v>
      </c>
      <c r="K4" s="8" t="s">
        <v>144</v>
      </c>
      <c r="L4" s="8" t="s">
        <v>144</v>
      </c>
      <c r="M4" s="8" t="s">
        <v>144</v>
      </c>
      <c r="N4" s="8" t="s">
        <v>144</v>
      </c>
      <c r="O4" s="8" t="s">
        <v>144</v>
      </c>
      <c r="P4" s="8" t="s">
        <v>144</v>
      </c>
      <c r="Q4" s="8" t="s">
        <v>144</v>
      </c>
      <c r="R4" s="8" t="s">
        <v>144</v>
      </c>
      <c r="S4" s="8" t="s">
        <v>144</v>
      </c>
      <c r="T4" s="8" t="s">
        <v>144</v>
      </c>
      <c r="U4" s="8" t="s">
        <v>144</v>
      </c>
      <c r="V4" s="8" t="s">
        <v>144</v>
      </c>
      <c r="W4" s="8" t="s">
        <v>144</v>
      </c>
      <c r="Y4" s="2" t="s">
        <v>1</v>
      </c>
    </row>
    <row r="5" spans="1:25" x14ac:dyDescent="0.2">
      <c r="C5" s="19"/>
      <c r="Y5" s="2" t="s">
        <v>1</v>
      </c>
    </row>
    <row r="6" spans="1:25" x14ac:dyDescent="0.2">
      <c r="Y6" s="2" t="s">
        <v>1</v>
      </c>
    </row>
    <row r="7" spans="1:25" x14ac:dyDescent="0.2">
      <c r="A7" s="2">
        <v>1</v>
      </c>
      <c r="B7" s="2" t="s">
        <v>1159</v>
      </c>
      <c r="C7" s="19">
        <f>DATE(88,8,8)</f>
        <v>32363</v>
      </c>
      <c r="D7" s="2">
        <v>1400</v>
      </c>
      <c r="E7" s="2">
        <v>770</v>
      </c>
      <c r="F7" s="2">
        <v>378</v>
      </c>
      <c r="G7" s="2">
        <v>416</v>
      </c>
      <c r="H7" s="2">
        <v>1933</v>
      </c>
      <c r="I7" s="2">
        <v>360</v>
      </c>
      <c r="J7" s="17">
        <v>347</v>
      </c>
      <c r="K7" s="2">
        <v>661</v>
      </c>
      <c r="L7" s="2">
        <v>365</v>
      </c>
      <c r="M7" s="2">
        <v>103</v>
      </c>
      <c r="N7" s="2">
        <v>64</v>
      </c>
      <c r="O7" s="2">
        <v>498</v>
      </c>
      <c r="P7" s="2">
        <v>241</v>
      </c>
      <c r="Q7" s="2">
        <v>2290</v>
      </c>
      <c r="R7" s="2">
        <v>2040</v>
      </c>
      <c r="S7" s="2">
        <v>1980</v>
      </c>
      <c r="T7" s="2">
        <v>2700</v>
      </c>
      <c r="U7" s="2">
        <v>355</v>
      </c>
      <c r="V7" s="2">
        <v>2680</v>
      </c>
      <c r="W7" s="2">
        <v>5180</v>
      </c>
      <c r="Y7" s="2" t="s">
        <v>1</v>
      </c>
    </row>
    <row r="8" spans="1:25" x14ac:dyDescent="0.2">
      <c r="A8" s="2">
        <v>2</v>
      </c>
      <c r="B8" s="2" t="s">
        <v>1160</v>
      </c>
      <c r="C8" s="19">
        <f>DATE(88,8,8)</f>
        <v>32363</v>
      </c>
      <c r="D8" s="2">
        <v>2100</v>
      </c>
      <c r="E8" s="2">
        <v>566</v>
      </c>
      <c r="F8" s="2">
        <v>223</v>
      </c>
      <c r="G8" s="2">
        <v>238</v>
      </c>
      <c r="H8" s="2">
        <v>1836</v>
      </c>
      <c r="I8" s="2">
        <v>376</v>
      </c>
      <c r="J8" s="2">
        <v>356.9</v>
      </c>
      <c r="K8" s="2">
        <v>584</v>
      </c>
      <c r="L8" s="2">
        <v>1971</v>
      </c>
      <c r="M8" s="2">
        <v>50</v>
      </c>
      <c r="N8" s="2">
        <v>43</v>
      </c>
      <c r="O8" s="2">
        <v>307</v>
      </c>
      <c r="P8" s="2">
        <v>160</v>
      </c>
      <c r="Q8" s="2">
        <v>1310</v>
      </c>
      <c r="R8" s="2">
        <v>1540</v>
      </c>
      <c r="S8" s="2">
        <v>912</v>
      </c>
      <c r="T8" s="2">
        <v>673</v>
      </c>
      <c r="U8" s="2">
        <v>348</v>
      </c>
      <c r="V8" s="2">
        <v>413</v>
      </c>
      <c r="W8" s="2">
        <v>755</v>
      </c>
      <c r="Y8" s="2" t="s">
        <v>1</v>
      </c>
    </row>
    <row r="9" spans="1:25" x14ac:dyDescent="0.2">
      <c r="A9" s="2">
        <v>3</v>
      </c>
      <c r="B9" s="2" t="s">
        <v>1161</v>
      </c>
      <c r="C9" s="19">
        <f>DATE(88,8,8)</f>
        <v>32363</v>
      </c>
      <c r="D9" s="2">
        <v>2300</v>
      </c>
      <c r="E9" s="2">
        <v>552</v>
      </c>
      <c r="F9" s="2">
        <v>262</v>
      </c>
      <c r="G9" s="2">
        <v>288</v>
      </c>
      <c r="H9" s="2">
        <v>1799</v>
      </c>
      <c r="I9" s="2">
        <v>354</v>
      </c>
      <c r="J9" s="2">
        <v>341.4</v>
      </c>
      <c r="K9" s="2">
        <v>525</v>
      </c>
      <c r="L9" s="2">
        <v>299</v>
      </c>
      <c r="M9" s="2">
        <v>61</v>
      </c>
      <c r="N9" s="2">
        <v>46</v>
      </c>
      <c r="O9" s="2">
        <v>371</v>
      </c>
      <c r="P9" s="2">
        <v>158</v>
      </c>
      <c r="Q9" s="2">
        <v>1170</v>
      </c>
      <c r="R9" s="2">
        <v>1760</v>
      </c>
      <c r="S9" s="2">
        <v>1130</v>
      </c>
      <c r="T9" s="2">
        <v>646</v>
      </c>
      <c r="U9" s="2">
        <v>381</v>
      </c>
      <c r="V9" s="2">
        <v>366</v>
      </c>
      <c r="W9" s="2">
        <v>708</v>
      </c>
      <c r="Y9" s="2" t="s">
        <v>1</v>
      </c>
    </row>
    <row r="10" spans="1:25" x14ac:dyDescent="0.2">
      <c r="A10" s="2">
        <v>4</v>
      </c>
      <c r="B10" s="2" t="s">
        <v>1162</v>
      </c>
      <c r="C10" s="19">
        <f>DATE(88,8,9)</f>
        <v>32364</v>
      </c>
      <c r="D10" s="2">
        <v>300</v>
      </c>
      <c r="E10" s="2">
        <v>548</v>
      </c>
      <c r="F10" s="2">
        <v>340</v>
      </c>
      <c r="G10" s="2">
        <v>368</v>
      </c>
      <c r="H10" s="2">
        <v>1965</v>
      </c>
      <c r="I10" s="2">
        <v>454</v>
      </c>
      <c r="J10" s="17">
        <v>379.6</v>
      </c>
      <c r="K10" s="2">
        <v>467</v>
      </c>
      <c r="L10" s="2">
        <v>442</v>
      </c>
      <c r="M10" s="2">
        <v>249</v>
      </c>
      <c r="N10" s="2">
        <v>88</v>
      </c>
      <c r="O10" s="2">
        <v>372</v>
      </c>
      <c r="P10" s="2">
        <v>356</v>
      </c>
      <c r="Q10" s="2">
        <v>2640</v>
      </c>
      <c r="R10" s="2">
        <v>2330</v>
      </c>
      <c r="S10" s="2">
        <v>1540</v>
      </c>
      <c r="T10" s="2">
        <v>2340</v>
      </c>
      <c r="U10" s="2">
        <v>890</v>
      </c>
      <c r="V10" s="2">
        <v>654</v>
      </c>
      <c r="W10" s="2">
        <v>1240</v>
      </c>
      <c r="Y10" s="2" t="s">
        <v>1</v>
      </c>
    </row>
    <row r="11" spans="1:25" x14ac:dyDescent="0.2">
      <c r="A11" s="2">
        <v>5</v>
      </c>
      <c r="B11" s="2" t="s">
        <v>1163</v>
      </c>
      <c r="C11" s="19">
        <f>DATE(88,8,9)</f>
        <v>32364</v>
      </c>
      <c r="D11" s="2">
        <v>500</v>
      </c>
      <c r="E11" s="2">
        <v>515</v>
      </c>
      <c r="F11" s="2">
        <v>229</v>
      </c>
      <c r="G11" s="2">
        <v>248</v>
      </c>
      <c r="H11" s="2">
        <v>1974</v>
      </c>
      <c r="I11" s="2">
        <v>455</v>
      </c>
      <c r="J11" s="17">
        <v>387.3</v>
      </c>
      <c r="K11" s="2">
        <v>551</v>
      </c>
      <c r="L11" s="2">
        <v>298</v>
      </c>
      <c r="M11" s="2">
        <v>83</v>
      </c>
      <c r="N11" s="2">
        <v>76</v>
      </c>
      <c r="O11" s="2">
        <v>390</v>
      </c>
      <c r="P11" s="2">
        <v>179</v>
      </c>
      <c r="Q11" s="2">
        <v>2990</v>
      </c>
      <c r="R11" s="2">
        <v>1940</v>
      </c>
      <c r="S11" s="2">
        <v>1110</v>
      </c>
      <c r="T11" s="2">
        <v>3580</v>
      </c>
      <c r="U11" s="2">
        <v>956</v>
      </c>
      <c r="V11" s="2">
        <v>1940</v>
      </c>
      <c r="W11" s="2">
        <v>2760</v>
      </c>
      <c r="Y11" s="2" t="s">
        <v>1</v>
      </c>
    </row>
    <row r="12" spans="1:25" x14ac:dyDescent="0.2">
      <c r="A12" s="2">
        <v>6</v>
      </c>
      <c r="B12" s="2" t="s">
        <v>1164</v>
      </c>
      <c r="C12" s="19">
        <f>DATE(88,8,9)</f>
        <v>32364</v>
      </c>
      <c r="D12" s="2">
        <v>700</v>
      </c>
      <c r="E12" s="2">
        <v>598</v>
      </c>
      <c r="F12" s="2">
        <v>377</v>
      </c>
      <c r="G12" s="2">
        <v>403</v>
      </c>
      <c r="H12" s="2">
        <v>2011</v>
      </c>
      <c r="I12" s="2">
        <v>440</v>
      </c>
      <c r="J12" s="17">
        <v>376.6</v>
      </c>
      <c r="K12" s="2">
        <v>668</v>
      </c>
      <c r="L12" s="2">
        <v>380</v>
      </c>
      <c r="M12" s="2">
        <v>141</v>
      </c>
      <c r="N12" s="2">
        <v>71</v>
      </c>
      <c r="O12" s="2">
        <v>390</v>
      </c>
      <c r="P12" s="2">
        <v>185</v>
      </c>
      <c r="Q12" s="2">
        <v>3630</v>
      </c>
      <c r="R12" s="2">
        <v>3170</v>
      </c>
      <c r="S12" s="2">
        <v>1650</v>
      </c>
      <c r="T12" s="2">
        <v>5890</v>
      </c>
      <c r="U12" s="2">
        <v>2050</v>
      </c>
      <c r="V12" s="2">
        <v>2630</v>
      </c>
      <c r="W12" s="2">
        <v>3390</v>
      </c>
      <c r="Y12" s="2" t="s">
        <v>1</v>
      </c>
    </row>
    <row r="13" spans="1:25" x14ac:dyDescent="0.2">
      <c r="A13" s="2">
        <v>8</v>
      </c>
      <c r="B13" s="2" t="s">
        <v>1165</v>
      </c>
      <c r="C13" s="19">
        <f>DATE(88,8,9)</f>
        <v>32364</v>
      </c>
      <c r="D13" s="2">
        <v>1400</v>
      </c>
      <c r="E13" s="2">
        <v>758</v>
      </c>
      <c r="F13" s="2">
        <v>352</v>
      </c>
      <c r="G13" s="2">
        <v>372</v>
      </c>
      <c r="H13" s="2">
        <v>1941</v>
      </c>
      <c r="I13" s="2">
        <v>358</v>
      </c>
      <c r="J13" s="17">
        <v>345.6</v>
      </c>
      <c r="K13" s="2">
        <v>649</v>
      </c>
      <c r="L13" s="2">
        <v>382</v>
      </c>
      <c r="M13" s="2">
        <v>120</v>
      </c>
      <c r="N13" s="2">
        <v>52</v>
      </c>
      <c r="O13" s="2">
        <v>515</v>
      </c>
      <c r="P13" s="2">
        <v>208</v>
      </c>
      <c r="Q13" s="2">
        <v>2000</v>
      </c>
      <c r="R13" s="2">
        <v>1930</v>
      </c>
      <c r="S13" s="2">
        <v>1470</v>
      </c>
      <c r="T13" s="2">
        <v>10100</v>
      </c>
      <c r="U13" s="2">
        <v>1110</v>
      </c>
      <c r="V13" s="2">
        <v>4190</v>
      </c>
      <c r="W13" s="2">
        <v>7110</v>
      </c>
      <c r="Y13" s="2" t="s">
        <v>1</v>
      </c>
    </row>
    <row r="14" spans="1:25" x14ac:dyDescent="0.2">
      <c r="A14" s="2">
        <v>9</v>
      </c>
      <c r="B14" s="2" t="s">
        <v>1166</v>
      </c>
      <c r="C14" s="19">
        <f>DATE(88,8,9)</f>
        <v>32364</v>
      </c>
      <c r="D14" s="2">
        <v>2100</v>
      </c>
      <c r="E14" s="2">
        <v>545</v>
      </c>
      <c r="F14" s="2">
        <v>154</v>
      </c>
      <c r="G14" s="2">
        <v>170</v>
      </c>
      <c r="H14" s="2">
        <v>1771</v>
      </c>
      <c r="I14" s="2">
        <v>353</v>
      </c>
      <c r="J14" s="17">
        <v>342.2</v>
      </c>
      <c r="K14" s="2">
        <v>495</v>
      </c>
      <c r="L14" s="2">
        <v>286</v>
      </c>
      <c r="M14" s="2">
        <v>63</v>
      </c>
      <c r="N14" s="2">
        <v>19</v>
      </c>
      <c r="O14" s="2">
        <v>272</v>
      </c>
      <c r="P14" s="2">
        <v>160</v>
      </c>
      <c r="Q14" s="2">
        <v>846</v>
      </c>
      <c r="R14" s="2">
        <v>787</v>
      </c>
      <c r="S14" s="2">
        <v>500</v>
      </c>
      <c r="T14" s="2">
        <v>329</v>
      </c>
      <c r="U14" s="2">
        <v>176</v>
      </c>
      <c r="V14" s="2">
        <v>210</v>
      </c>
      <c r="W14" s="2">
        <v>353</v>
      </c>
      <c r="Y14" s="2" t="s">
        <v>1</v>
      </c>
    </row>
    <row r="15" spans="1:25" x14ac:dyDescent="0.2">
      <c r="A15" s="2">
        <v>10</v>
      </c>
      <c r="B15" s="2" t="s">
        <v>1047</v>
      </c>
      <c r="C15" s="19">
        <f>DATE(88,8,16)</f>
        <v>32371</v>
      </c>
      <c r="D15" s="2">
        <v>1400</v>
      </c>
      <c r="E15" s="2">
        <v>629</v>
      </c>
      <c r="F15" s="2">
        <v>206</v>
      </c>
      <c r="G15" s="2">
        <v>226</v>
      </c>
      <c r="H15" s="2">
        <v>1857</v>
      </c>
      <c r="I15" s="2">
        <v>348</v>
      </c>
      <c r="J15" s="17">
        <v>342.7</v>
      </c>
      <c r="K15" s="2">
        <v>4845</v>
      </c>
      <c r="L15" s="2">
        <v>293</v>
      </c>
      <c r="M15" s="2">
        <v>116</v>
      </c>
      <c r="N15" s="2">
        <v>35</v>
      </c>
      <c r="O15" s="2">
        <v>292</v>
      </c>
      <c r="P15" s="2">
        <v>166</v>
      </c>
      <c r="Y15" s="2" t="s">
        <v>1</v>
      </c>
    </row>
    <row r="16" spans="1:25" x14ac:dyDescent="0.2">
      <c r="A16" s="2">
        <v>11</v>
      </c>
      <c r="B16" s="2" t="s">
        <v>1167</v>
      </c>
      <c r="C16" s="19">
        <f>DATE(88,8,16)</f>
        <v>32371</v>
      </c>
      <c r="D16" s="2">
        <v>2100</v>
      </c>
      <c r="E16" s="2">
        <v>597</v>
      </c>
      <c r="F16" s="2">
        <v>340</v>
      </c>
      <c r="G16" s="2">
        <v>364</v>
      </c>
      <c r="H16" s="2">
        <v>1789</v>
      </c>
      <c r="I16" s="2">
        <v>357</v>
      </c>
      <c r="J16" s="17">
        <v>343.2</v>
      </c>
      <c r="K16" s="2">
        <v>551</v>
      </c>
      <c r="L16" s="2">
        <v>323</v>
      </c>
      <c r="M16" s="2">
        <v>64</v>
      </c>
      <c r="N16" s="2">
        <v>30</v>
      </c>
      <c r="O16" s="2">
        <v>454</v>
      </c>
      <c r="P16" s="2">
        <v>156</v>
      </c>
      <c r="Q16" s="2">
        <v>1170</v>
      </c>
      <c r="R16" s="2">
        <v>2220</v>
      </c>
      <c r="S16" s="2">
        <v>1530</v>
      </c>
      <c r="T16" s="2">
        <v>768</v>
      </c>
      <c r="U16" s="2">
        <v>486</v>
      </c>
      <c r="V16" s="2">
        <v>433</v>
      </c>
      <c r="W16" s="2">
        <v>884</v>
      </c>
      <c r="Y16" s="2" t="s">
        <v>1</v>
      </c>
    </row>
    <row r="17" spans="1:25" x14ac:dyDescent="0.2">
      <c r="A17" s="2">
        <v>12</v>
      </c>
      <c r="B17" s="2" t="s">
        <v>1168</v>
      </c>
      <c r="C17" s="19">
        <f>DATE(88,8,16)</f>
        <v>32371</v>
      </c>
      <c r="D17" s="2">
        <v>2300</v>
      </c>
      <c r="E17" s="2">
        <v>569</v>
      </c>
      <c r="F17" s="2">
        <v>264</v>
      </c>
      <c r="G17" s="2">
        <v>275</v>
      </c>
      <c r="H17" s="2">
        <v>1804</v>
      </c>
      <c r="I17" s="2">
        <v>364</v>
      </c>
      <c r="J17" s="17">
        <v>349.7</v>
      </c>
      <c r="K17" s="2">
        <v>524</v>
      </c>
      <c r="L17" s="2">
        <v>351</v>
      </c>
      <c r="M17" s="2">
        <v>60</v>
      </c>
      <c r="N17" s="2">
        <v>32</v>
      </c>
      <c r="O17" s="2">
        <v>454</v>
      </c>
      <c r="P17" s="2">
        <v>160</v>
      </c>
      <c r="Q17" s="2">
        <v>1110</v>
      </c>
      <c r="R17" s="2">
        <v>1800</v>
      </c>
      <c r="S17" s="2">
        <v>1240</v>
      </c>
      <c r="T17" s="2">
        <v>752</v>
      </c>
      <c r="U17" s="2">
        <v>433</v>
      </c>
      <c r="V17" s="2">
        <v>400</v>
      </c>
      <c r="W17" s="2">
        <v>785</v>
      </c>
      <c r="Y17" s="2" t="s">
        <v>1</v>
      </c>
    </row>
    <row r="18" spans="1:25" x14ac:dyDescent="0.2">
      <c r="A18" s="2">
        <v>13</v>
      </c>
      <c r="B18" s="2" t="s">
        <v>1169</v>
      </c>
      <c r="C18" s="19">
        <f>DATE(88,8,17)</f>
        <v>32372</v>
      </c>
      <c r="D18" s="2">
        <v>300</v>
      </c>
      <c r="E18" s="2">
        <v>506</v>
      </c>
      <c r="F18" s="2">
        <v>286</v>
      </c>
      <c r="G18" s="2">
        <v>303</v>
      </c>
      <c r="H18" s="2">
        <v>1868</v>
      </c>
      <c r="I18" s="2">
        <v>428</v>
      </c>
      <c r="J18" s="17">
        <v>372.1</v>
      </c>
      <c r="K18" s="2">
        <v>554</v>
      </c>
      <c r="L18" s="2">
        <v>346</v>
      </c>
      <c r="M18" s="2">
        <v>83</v>
      </c>
      <c r="N18" s="2">
        <v>63</v>
      </c>
      <c r="O18" s="2">
        <v>445</v>
      </c>
      <c r="P18" s="2">
        <v>166</v>
      </c>
      <c r="Q18" s="2">
        <v>1280</v>
      </c>
      <c r="R18" s="2">
        <v>2230</v>
      </c>
      <c r="S18" s="2">
        <v>1390</v>
      </c>
      <c r="T18" s="2">
        <v>1500</v>
      </c>
      <c r="U18" s="2">
        <v>650</v>
      </c>
      <c r="V18" s="2">
        <v>468</v>
      </c>
      <c r="W18" s="2">
        <v>895</v>
      </c>
      <c r="Y18" s="2" t="s">
        <v>1</v>
      </c>
    </row>
    <row r="19" spans="1:25" x14ac:dyDescent="0.2">
      <c r="A19" s="2">
        <v>14</v>
      </c>
      <c r="B19" s="2" t="s">
        <v>1170</v>
      </c>
      <c r="C19" s="19">
        <f>DATE(88,8,17)</f>
        <v>32372</v>
      </c>
      <c r="D19" s="2">
        <v>500</v>
      </c>
      <c r="E19" s="2">
        <v>626</v>
      </c>
      <c r="F19" s="2">
        <v>444</v>
      </c>
      <c r="G19" s="2">
        <v>472</v>
      </c>
      <c r="H19" s="2">
        <v>2028</v>
      </c>
      <c r="I19" s="2">
        <v>486</v>
      </c>
      <c r="J19" s="17">
        <v>398.8</v>
      </c>
      <c r="K19" s="2">
        <v>618</v>
      </c>
      <c r="L19" s="2">
        <v>477</v>
      </c>
      <c r="M19" s="2">
        <v>74</v>
      </c>
      <c r="N19" s="2">
        <v>78</v>
      </c>
      <c r="O19" s="2">
        <v>448</v>
      </c>
      <c r="P19" s="2">
        <v>170</v>
      </c>
      <c r="Q19" s="2">
        <v>5190</v>
      </c>
      <c r="R19" s="2">
        <v>4660</v>
      </c>
      <c r="S19" s="2">
        <v>1600</v>
      </c>
      <c r="T19" s="2">
        <v>3440</v>
      </c>
      <c r="U19" s="2">
        <v>1560</v>
      </c>
      <c r="V19" s="2">
        <v>878</v>
      </c>
      <c r="W19" s="2">
        <v>1820</v>
      </c>
      <c r="Y19" s="2" t="s">
        <v>1</v>
      </c>
    </row>
    <row r="20" spans="1:25" x14ac:dyDescent="0.2">
      <c r="A20" s="2">
        <v>15</v>
      </c>
      <c r="B20" s="2" t="s">
        <v>1171</v>
      </c>
      <c r="C20" s="19">
        <f>DATE(88,8,17)</f>
        <v>32372</v>
      </c>
      <c r="D20" s="2">
        <v>620</v>
      </c>
      <c r="E20" s="2">
        <v>692</v>
      </c>
      <c r="F20" s="2">
        <v>706</v>
      </c>
      <c r="G20" s="2">
        <v>778</v>
      </c>
      <c r="H20" s="2">
        <v>2101</v>
      </c>
      <c r="I20" s="2">
        <v>527</v>
      </c>
      <c r="J20" s="17">
        <v>404</v>
      </c>
      <c r="K20" s="2">
        <v>692</v>
      </c>
      <c r="L20" s="2">
        <v>358</v>
      </c>
      <c r="M20" s="2">
        <v>74</v>
      </c>
      <c r="N20" s="2">
        <v>96</v>
      </c>
      <c r="O20" s="2">
        <v>478</v>
      </c>
      <c r="P20" s="2">
        <v>173</v>
      </c>
      <c r="Q20" s="2">
        <v>6440</v>
      </c>
      <c r="R20" s="2">
        <v>6360</v>
      </c>
      <c r="S20" s="2">
        <v>2690</v>
      </c>
      <c r="T20" s="2">
        <v>5410</v>
      </c>
      <c r="U20" s="2">
        <v>2220</v>
      </c>
      <c r="V20" s="2">
        <v>2800</v>
      </c>
      <c r="W20" s="2">
        <v>6350</v>
      </c>
      <c r="Y20" s="2" t="s">
        <v>1</v>
      </c>
    </row>
    <row r="21" spans="1:25" x14ac:dyDescent="0.2">
      <c r="A21" s="2">
        <v>16</v>
      </c>
      <c r="B21" s="2" t="s">
        <v>1172</v>
      </c>
      <c r="C21" s="19">
        <f>DATE(88,8,17)</f>
        <v>32372</v>
      </c>
      <c r="D21" s="2">
        <v>1400</v>
      </c>
      <c r="E21" s="2">
        <v>636</v>
      </c>
      <c r="F21" s="2">
        <v>216</v>
      </c>
      <c r="G21" s="2">
        <v>233</v>
      </c>
      <c r="H21" s="2">
        <v>1886</v>
      </c>
      <c r="I21" s="2">
        <v>358</v>
      </c>
      <c r="J21" s="17">
        <v>342.6</v>
      </c>
      <c r="K21" s="2">
        <v>653</v>
      </c>
      <c r="L21" s="2">
        <v>301</v>
      </c>
      <c r="M21" s="2">
        <v>115</v>
      </c>
      <c r="N21" s="2">
        <v>32</v>
      </c>
      <c r="O21" s="2">
        <v>383</v>
      </c>
      <c r="P21" s="2">
        <v>187</v>
      </c>
      <c r="Q21" s="2">
        <v>1810</v>
      </c>
      <c r="R21" s="2">
        <v>989</v>
      </c>
      <c r="S21" s="2">
        <v>963</v>
      </c>
      <c r="T21" s="2">
        <v>2540</v>
      </c>
      <c r="U21" s="2">
        <v>248</v>
      </c>
      <c r="V21" s="2">
        <v>2200</v>
      </c>
      <c r="W21" s="2">
        <v>4500</v>
      </c>
      <c r="Y21" s="2" t="s">
        <v>1</v>
      </c>
    </row>
    <row r="22" spans="1:25" x14ac:dyDescent="0.2">
      <c r="A22" s="2">
        <v>17</v>
      </c>
      <c r="B22" s="2" t="s">
        <v>1173</v>
      </c>
      <c r="C22" s="19">
        <f>DATE(88,8,17)</f>
        <v>32372</v>
      </c>
      <c r="D22" s="2">
        <v>2100</v>
      </c>
      <c r="E22" s="2">
        <v>629</v>
      </c>
      <c r="F22" s="2">
        <v>475</v>
      </c>
      <c r="G22" s="2">
        <v>525</v>
      </c>
      <c r="H22" s="2">
        <v>1827</v>
      </c>
      <c r="I22" s="2">
        <v>381</v>
      </c>
      <c r="J22" s="17">
        <v>349.7</v>
      </c>
      <c r="K22" s="2">
        <v>686</v>
      </c>
      <c r="L22" s="2">
        <v>453</v>
      </c>
      <c r="M22" s="2">
        <v>78</v>
      </c>
      <c r="N22" s="2">
        <v>40</v>
      </c>
      <c r="O22" s="2">
        <v>552</v>
      </c>
      <c r="P22" s="2">
        <v>161</v>
      </c>
      <c r="Q22" s="2">
        <v>1520</v>
      </c>
      <c r="R22" s="2">
        <v>3400</v>
      </c>
      <c r="S22" s="2">
        <v>2120</v>
      </c>
      <c r="T22" s="2">
        <v>1280</v>
      </c>
      <c r="U22" s="2">
        <v>667</v>
      </c>
      <c r="V22" s="2">
        <v>727</v>
      </c>
      <c r="W22" s="2">
        <v>1490</v>
      </c>
      <c r="Y22" s="2" t="s">
        <v>1</v>
      </c>
    </row>
    <row r="23" spans="1:25" x14ac:dyDescent="0.2">
      <c r="C23" s="19"/>
      <c r="Y23" s="2" t="s">
        <v>1</v>
      </c>
    </row>
    <row r="24" spans="1:25" x14ac:dyDescent="0.2">
      <c r="C24" s="19"/>
      <c r="Y24" s="2" t="s">
        <v>1</v>
      </c>
    </row>
    <row r="25" spans="1:25" x14ac:dyDescent="0.2">
      <c r="C25" s="19"/>
      <c r="Y25" s="2" t="s">
        <v>1</v>
      </c>
    </row>
    <row r="26" spans="1:25" x14ac:dyDescent="0.2">
      <c r="C26" s="19"/>
      <c r="E26" s="8" t="s">
        <v>117</v>
      </c>
      <c r="F26" s="8" t="s">
        <v>118</v>
      </c>
      <c r="G26" s="8" t="s">
        <v>118</v>
      </c>
      <c r="H26" s="8" t="s">
        <v>123</v>
      </c>
      <c r="I26" s="8" t="s">
        <v>134</v>
      </c>
      <c r="J26" s="8" t="s">
        <v>138</v>
      </c>
      <c r="K26" s="8" t="s">
        <v>136</v>
      </c>
      <c r="L26" s="8" t="s">
        <v>130</v>
      </c>
      <c r="M26" s="8" t="s">
        <v>133</v>
      </c>
      <c r="N26" s="8" t="s">
        <v>127</v>
      </c>
      <c r="O26" s="8" t="s">
        <v>121</v>
      </c>
      <c r="P26" s="8" t="s">
        <v>112</v>
      </c>
      <c r="Q26" s="8" t="s">
        <v>126</v>
      </c>
      <c r="R26" s="8" t="s">
        <v>122</v>
      </c>
      <c r="S26" s="8" t="s">
        <v>113</v>
      </c>
      <c r="T26" s="8" t="s">
        <v>131</v>
      </c>
      <c r="U26" s="8" t="s">
        <v>126</v>
      </c>
      <c r="V26" s="8" t="s">
        <v>149</v>
      </c>
      <c r="W26" s="8" t="s">
        <v>151</v>
      </c>
      <c r="Y26" s="2" t="s">
        <v>1</v>
      </c>
    </row>
    <row r="27" spans="1:25" x14ac:dyDescent="0.2">
      <c r="C27" s="19"/>
      <c r="E27" s="8" t="s">
        <v>266</v>
      </c>
      <c r="F27" s="8" t="s">
        <v>266</v>
      </c>
      <c r="G27" s="8" t="s">
        <v>266</v>
      </c>
      <c r="H27" s="8" t="s">
        <v>266</v>
      </c>
      <c r="I27" s="8" t="s">
        <v>371</v>
      </c>
      <c r="J27" s="8" t="s">
        <v>266</v>
      </c>
      <c r="K27" s="8" t="s">
        <v>144</v>
      </c>
      <c r="L27" s="8" t="s">
        <v>144</v>
      </c>
      <c r="M27" s="8" t="s">
        <v>144</v>
      </c>
      <c r="N27" s="8" t="s">
        <v>144</v>
      </c>
      <c r="O27" s="8" t="s">
        <v>144</v>
      </c>
      <c r="P27" s="8" t="s">
        <v>144</v>
      </c>
      <c r="Q27" s="8" t="s">
        <v>144</v>
      </c>
      <c r="R27" s="8" t="s">
        <v>144</v>
      </c>
      <c r="S27" s="8" t="s">
        <v>144</v>
      </c>
      <c r="T27" s="8" t="s">
        <v>144</v>
      </c>
      <c r="U27" s="8" t="s">
        <v>144</v>
      </c>
      <c r="V27" s="8" t="s">
        <v>144</v>
      </c>
      <c r="W27" s="8" t="s">
        <v>144</v>
      </c>
      <c r="Y27" s="2" t="s">
        <v>1</v>
      </c>
    </row>
    <row r="28" spans="1:25" x14ac:dyDescent="0.2">
      <c r="C28" s="19"/>
      <c r="Y28" s="2" t="s">
        <v>1</v>
      </c>
    </row>
    <row r="29" spans="1:25" x14ac:dyDescent="0.2">
      <c r="B29" s="2" t="s">
        <v>529</v>
      </c>
      <c r="C29" s="7">
        <f t="shared" ref="C29:W29" si="0">AVERAGE(C7:C22)</f>
        <v>32367.625</v>
      </c>
      <c r="D29" s="4">
        <f t="shared" si="0"/>
        <v>1345</v>
      </c>
      <c r="E29" s="4">
        <f t="shared" si="0"/>
        <v>608.5</v>
      </c>
      <c r="F29" s="4">
        <f t="shared" si="0"/>
        <v>328.25</v>
      </c>
      <c r="G29" s="4">
        <f t="shared" si="0"/>
        <v>354.9375</v>
      </c>
      <c r="H29" s="4">
        <f t="shared" si="0"/>
        <v>1899.375</v>
      </c>
      <c r="I29" s="4">
        <f t="shared" si="0"/>
        <v>399.9375</v>
      </c>
      <c r="J29" s="4">
        <f t="shared" si="0"/>
        <v>361.21249999999998</v>
      </c>
      <c r="K29" s="4">
        <f t="shared" si="0"/>
        <v>857.6875</v>
      </c>
      <c r="L29" s="4">
        <f t="shared" si="0"/>
        <v>457.8125</v>
      </c>
      <c r="M29" s="4">
        <f t="shared" si="0"/>
        <v>95.875</v>
      </c>
      <c r="N29" s="4">
        <f t="shared" si="0"/>
        <v>54.0625</v>
      </c>
      <c r="O29" s="4">
        <f t="shared" si="0"/>
        <v>413.8125</v>
      </c>
      <c r="P29" s="4">
        <f t="shared" si="0"/>
        <v>186.625</v>
      </c>
      <c r="Q29" s="4">
        <f t="shared" si="0"/>
        <v>2359.7333333333331</v>
      </c>
      <c r="R29" s="4">
        <f t="shared" si="0"/>
        <v>2477.0666666666666</v>
      </c>
      <c r="S29" s="4">
        <f t="shared" si="0"/>
        <v>1455</v>
      </c>
      <c r="T29" s="4">
        <f t="shared" si="0"/>
        <v>2796.5333333333333</v>
      </c>
      <c r="U29" s="4">
        <f t="shared" si="0"/>
        <v>835.33333333333337</v>
      </c>
      <c r="V29" s="4">
        <f t="shared" si="0"/>
        <v>1399.2666666666667</v>
      </c>
      <c r="W29" s="4">
        <f t="shared" si="0"/>
        <v>2548</v>
      </c>
      <c r="Y29" s="2" t="s">
        <v>1</v>
      </c>
    </row>
    <row r="30" spans="1:25" x14ac:dyDescent="0.2">
      <c r="B30" s="2" t="s">
        <v>255</v>
      </c>
      <c r="D30" s="4">
        <f t="shared" ref="D30:W30" si="1">STDEV(D7:D22)</f>
        <v>760.26311234992852</v>
      </c>
      <c r="E30" s="4">
        <f t="shared" si="1"/>
        <v>77.910204723129823</v>
      </c>
      <c r="F30" s="4">
        <f t="shared" si="1"/>
        <v>134.77363738258805</v>
      </c>
      <c r="G30" s="4">
        <f t="shared" si="1"/>
        <v>148.89883310489711</v>
      </c>
      <c r="H30" s="4">
        <f t="shared" si="1"/>
        <v>97.448704455215818</v>
      </c>
      <c r="I30" s="4">
        <f t="shared" si="1"/>
        <v>56.620925166113871</v>
      </c>
      <c r="J30" s="4">
        <f t="shared" si="1"/>
        <v>21.778548314032939</v>
      </c>
      <c r="K30" s="4">
        <f t="shared" si="1"/>
        <v>1065.6643448259556</v>
      </c>
      <c r="L30" s="4">
        <f t="shared" si="1"/>
        <v>407.82973877996358</v>
      </c>
      <c r="M30" s="4">
        <f t="shared" si="1"/>
        <v>48.442233639666121</v>
      </c>
      <c r="N30" s="4">
        <f t="shared" si="1"/>
        <v>23.043346834462508</v>
      </c>
      <c r="O30" s="4">
        <f t="shared" si="1"/>
        <v>80.802820701590207</v>
      </c>
      <c r="P30" s="4">
        <f t="shared" si="1"/>
        <v>50.342659180195611</v>
      </c>
      <c r="Q30" s="4">
        <f t="shared" si="1"/>
        <v>1622.2095807291746</v>
      </c>
      <c r="R30" s="4">
        <f t="shared" si="1"/>
        <v>1439.8214406489374</v>
      </c>
      <c r="S30" s="4">
        <f t="shared" si="1"/>
        <v>537.13778493045902</v>
      </c>
      <c r="T30" s="4">
        <f t="shared" si="1"/>
        <v>2653.1737562685903</v>
      </c>
      <c r="U30" s="4">
        <f t="shared" si="1"/>
        <v>644.30213261732899</v>
      </c>
      <c r="V30" s="4">
        <f t="shared" si="1"/>
        <v>1235.5466960399506</v>
      </c>
      <c r="W30" s="4">
        <f t="shared" si="1"/>
        <v>2238.4121285283586</v>
      </c>
      <c r="Y30" s="2" t="s">
        <v>1</v>
      </c>
    </row>
    <row r="31" spans="1:25" x14ac:dyDescent="0.2">
      <c r="B31" s="2" t="s">
        <v>365</v>
      </c>
      <c r="D31" s="4">
        <f t="shared" ref="D31:W31" si="2">COUNTA(D7:D22)</f>
        <v>16</v>
      </c>
      <c r="E31" s="4">
        <f t="shared" si="2"/>
        <v>16</v>
      </c>
      <c r="F31" s="4">
        <f t="shared" si="2"/>
        <v>16</v>
      </c>
      <c r="G31" s="4">
        <f t="shared" si="2"/>
        <v>16</v>
      </c>
      <c r="H31" s="4">
        <f t="shared" si="2"/>
        <v>16</v>
      </c>
      <c r="I31" s="4">
        <f t="shared" si="2"/>
        <v>16</v>
      </c>
      <c r="J31" s="4">
        <f t="shared" si="2"/>
        <v>16</v>
      </c>
      <c r="K31" s="4">
        <f t="shared" si="2"/>
        <v>16</v>
      </c>
      <c r="L31" s="4">
        <f t="shared" si="2"/>
        <v>16</v>
      </c>
      <c r="M31" s="4">
        <f t="shared" si="2"/>
        <v>16</v>
      </c>
      <c r="N31" s="4">
        <f t="shared" si="2"/>
        <v>16</v>
      </c>
      <c r="O31" s="4">
        <f t="shared" si="2"/>
        <v>16</v>
      </c>
      <c r="P31" s="4">
        <f t="shared" si="2"/>
        <v>16</v>
      </c>
      <c r="Q31" s="4">
        <f t="shared" si="2"/>
        <v>15</v>
      </c>
      <c r="R31" s="4">
        <f t="shared" si="2"/>
        <v>15</v>
      </c>
      <c r="S31" s="4">
        <f t="shared" si="2"/>
        <v>15</v>
      </c>
      <c r="T31" s="4">
        <f t="shared" si="2"/>
        <v>15</v>
      </c>
      <c r="U31" s="4">
        <f t="shared" si="2"/>
        <v>15</v>
      </c>
      <c r="V31" s="4">
        <f t="shared" si="2"/>
        <v>15</v>
      </c>
      <c r="W31" s="4">
        <f t="shared" si="2"/>
        <v>15</v>
      </c>
      <c r="Y31" s="2" t="s">
        <v>1</v>
      </c>
    </row>
    <row r="32" spans="1:25" x14ac:dyDescent="0.2">
      <c r="Y32" s="2" t="s">
        <v>1</v>
      </c>
    </row>
    <row r="33" spans="25:25" x14ac:dyDescent="0.2">
      <c r="Y33" s="2" t="s">
        <v>1</v>
      </c>
    </row>
    <row r="34" spans="25:25" x14ac:dyDescent="0.2">
      <c r="Y34" s="2" t="s">
        <v>1</v>
      </c>
    </row>
    <row r="35" spans="25:25" x14ac:dyDescent="0.2">
      <c r="Y35" s="2" t="s">
        <v>1</v>
      </c>
    </row>
    <row r="36" spans="25:25" x14ac:dyDescent="0.2">
      <c r="Y36" s="2" t="s">
        <v>1</v>
      </c>
    </row>
    <row r="37" spans="25:25" x14ac:dyDescent="0.2">
      <c r="Y37" s="2" t="s">
        <v>1</v>
      </c>
    </row>
    <row r="38" spans="25:25" x14ac:dyDescent="0.2">
      <c r="Y38" s="2" t="s">
        <v>1</v>
      </c>
    </row>
    <row r="39" spans="25:25" x14ac:dyDescent="0.2">
      <c r="Y39" s="2" t="s">
        <v>1</v>
      </c>
    </row>
    <row r="40" spans="25:25" x14ac:dyDescent="0.2">
      <c r="Y40" s="2" t="s">
        <v>1</v>
      </c>
    </row>
    <row r="41" spans="25:25" x14ac:dyDescent="0.2">
      <c r="Y41" s="2" t="s">
        <v>1</v>
      </c>
    </row>
    <row r="42" spans="25:25" x14ac:dyDescent="0.2">
      <c r="Y42" s="2" t="s">
        <v>1</v>
      </c>
    </row>
    <row r="43" spans="25:25" x14ac:dyDescent="0.2">
      <c r="Y43" s="2" t="s">
        <v>1</v>
      </c>
    </row>
    <row r="44" spans="25:25" x14ac:dyDescent="0.2">
      <c r="Y44" s="2" t="s">
        <v>1</v>
      </c>
    </row>
    <row r="45" spans="25:25" x14ac:dyDescent="0.2">
      <c r="Y45" s="2" t="s">
        <v>1</v>
      </c>
    </row>
  </sheetData>
  <pageMargins left="0.5" right="0.5" top="0.75" bottom="0.75" header="0.5" footer="0.5"/>
  <pageSetup orientation="portrait" horizontalDpi="0" verticalDpi="0" copies="0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5"/>
  <sheetViews>
    <sheetView showOutlineSymbols="0" defaultGridColor="0" colorId="9" workbookViewId="0"/>
  </sheetViews>
  <sheetFormatPr defaultColWidth="8.6640625" defaultRowHeight="15" x14ac:dyDescent="0.2"/>
  <cols>
    <col min="1" max="16384" width="8.6640625" style="2"/>
  </cols>
  <sheetData>
    <row r="1" spans="1:17" ht="15.75" x14ac:dyDescent="0.25">
      <c r="A1" s="6" t="s">
        <v>1174</v>
      </c>
      <c r="Q1" s="2" t="s">
        <v>1</v>
      </c>
    </row>
    <row r="2" spans="1:17" x14ac:dyDescent="0.2">
      <c r="A2" s="2" t="s">
        <v>1175</v>
      </c>
      <c r="Q2" s="2" t="s">
        <v>1</v>
      </c>
    </row>
    <row r="3" spans="1:17" x14ac:dyDescent="0.2">
      <c r="A3" s="15" t="s">
        <v>253</v>
      </c>
      <c r="B3" s="8" t="s">
        <v>286</v>
      </c>
      <c r="C3" s="8" t="s">
        <v>287</v>
      </c>
      <c r="D3" s="8" t="s">
        <v>116</v>
      </c>
      <c r="E3" s="8" t="s">
        <v>116</v>
      </c>
      <c r="F3" s="8" t="s">
        <v>117</v>
      </c>
      <c r="G3" s="8" t="s">
        <v>117</v>
      </c>
      <c r="H3" s="8" t="s">
        <v>118</v>
      </c>
      <c r="I3" s="8" t="s">
        <v>118</v>
      </c>
      <c r="J3" s="8" t="s">
        <v>123</v>
      </c>
      <c r="K3" s="8" t="s">
        <v>134</v>
      </c>
      <c r="M3" s="8" t="s">
        <v>138</v>
      </c>
      <c r="N3" s="8" t="s">
        <v>130</v>
      </c>
      <c r="O3" s="8" t="s">
        <v>121</v>
      </c>
      <c r="Q3" s="2" t="s">
        <v>1</v>
      </c>
    </row>
    <row r="4" spans="1:17" x14ac:dyDescent="0.2">
      <c r="A4" s="19"/>
      <c r="C4" s="15" t="s">
        <v>291</v>
      </c>
      <c r="D4" s="8" t="s">
        <v>635</v>
      </c>
      <c r="E4" s="8" t="s">
        <v>635</v>
      </c>
      <c r="F4" s="8" t="s">
        <v>266</v>
      </c>
      <c r="H4" s="8" t="s">
        <v>266</v>
      </c>
      <c r="J4" s="8" t="s">
        <v>266</v>
      </c>
      <c r="K4" s="8" t="s">
        <v>371</v>
      </c>
      <c r="M4" s="8" t="s">
        <v>266</v>
      </c>
      <c r="N4" s="8" t="s">
        <v>144</v>
      </c>
      <c r="O4" s="8" t="s">
        <v>144</v>
      </c>
      <c r="Q4" s="2" t="s">
        <v>1</v>
      </c>
    </row>
    <row r="5" spans="1:17" x14ac:dyDescent="0.2">
      <c r="A5" s="19"/>
      <c r="Q5" s="2" t="s">
        <v>1</v>
      </c>
    </row>
    <row r="6" spans="1:17" x14ac:dyDescent="0.2">
      <c r="A6" s="19">
        <f>DATE(85,7,13)</f>
        <v>31241</v>
      </c>
      <c r="C6" s="17"/>
      <c r="D6" s="17"/>
      <c r="E6" s="17">
        <v>3.4</v>
      </c>
      <c r="F6" s="2">
        <v>446</v>
      </c>
      <c r="H6" s="2">
        <v>114</v>
      </c>
      <c r="J6" s="2">
        <v>1655</v>
      </c>
      <c r="K6" s="2">
        <v>358</v>
      </c>
      <c r="M6" s="2">
        <v>339</v>
      </c>
      <c r="N6" s="2">
        <v>225</v>
      </c>
      <c r="O6" s="2">
        <v>397</v>
      </c>
      <c r="Q6" s="2" t="s">
        <v>1</v>
      </c>
    </row>
    <row r="7" spans="1:17" x14ac:dyDescent="0.2">
      <c r="A7" s="19">
        <f>DATE(85,7,13)</f>
        <v>31241</v>
      </c>
      <c r="B7" s="2">
        <v>1313</v>
      </c>
      <c r="C7" s="17">
        <v>24</v>
      </c>
      <c r="D7" s="17">
        <v>4.2</v>
      </c>
      <c r="E7" s="17">
        <v>4</v>
      </c>
      <c r="F7" s="2">
        <v>514</v>
      </c>
      <c r="H7" s="2">
        <v>129</v>
      </c>
      <c r="J7" s="2">
        <v>1660</v>
      </c>
      <c r="K7" s="2">
        <v>326</v>
      </c>
      <c r="M7" s="2">
        <v>402</v>
      </c>
      <c r="N7" s="2">
        <v>244</v>
      </c>
      <c r="O7" s="2">
        <v>153</v>
      </c>
      <c r="Q7" s="2" t="s">
        <v>1</v>
      </c>
    </row>
    <row r="8" spans="1:17" x14ac:dyDescent="0.2">
      <c r="A8" s="19">
        <f>DATE(85,7,13)</f>
        <v>31241</v>
      </c>
      <c r="B8" s="2">
        <v>1525</v>
      </c>
      <c r="C8" s="17">
        <v>26</v>
      </c>
      <c r="D8" s="17">
        <v>8.1999999999999993</v>
      </c>
      <c r="E8" s="17">
        <v>7.7</v>
      </c>
      <c r="F8" s="2">
        <v>469</v>
      </c>
      <c r="H8" s="2">
        <v>167</v>
      </c>
      <c r="J8" s="2">
        <v>1667</v>
      </c>
      <c r="K8" s="2">
        <v>327</v>
      </c>
      <c r="M8" s="2">
        <v>340</v>
      </c>
      <c r="N8" s="2">
        <v>255</v>
      </c>
      <c r="O8" s="2">
        <v>150</v>
      </c>
      <c r="Q8" s="2" t="s">
        <v>1</v>
      </c>
    </row>
    <row r="9" spans="1:17" x14ac:dyDescent="0.2">
      <c r="A9" s="19">
        <f>DATE(85,7,14)</f>
        <v>31242</v>
      </c>
      <c r="B9" s="2">
        <v>1330</v>
      </c>
      <c r="C9" s="17">
        <v>27</v>
      </c>
      <c r="D9" s="17">
        <v>6.5</v>
      </c>
      <c r="E9" s="17">
        <v>5.6</v>
      </c>
      <c r="F9" s="2">
        <v>479</v>
      </c>
      <c r="H9" s="2">
        <v>214</v>
      </c>
      <c r="J9" s="2">
        <v>1650</v>
      </c>
      <c r="K9" s="2">
        <v>334</v>
      </c>
      <c r="M9" s="2">
        <v>338</v>
      </c>
      <c r="N9" s="2">
        <v>352</v>
      </c>
      <c r="O9" s="2">
        <v>161</v>
      </c>
      <c r="Q9" s="2" t="s">
        <v>1</v>
      </c>
    </row>
    <row r="10" spans="1:17" x14ac:dyDescent="0.2">
      <c r="A10" s="19">
        <f>DATE(85,7,14)</f>
        <v>31242</v>
      </c>
      <c r="B10" s="2">
        <v>1545</v>
      </c>
      <c r="C10" s="17">
        <v>29</v>
      </c>
      <c r="D10" s="17">
        <v>10.9</v>
      </c>
      <c r="E10" s="17">
        <v>9.3000000000000007</v>
      </c>
      <c r="F10" s="2">
        <v>469</v>
      </c>
      <c r="H10" s="2">
        <v>136</v>
      </c>
      <c r="J10" s="2">
        <v>1652</v>
      </c>
      <c r="K10" s="2">
        <v>332</v>
      </c>
      <c r="M10" s="2">
        <v>338</v>
      </c>
      <c r="N10" s="2">
        <v>247</v>
      </c>
      <c r="O10" s="2">
        <v>155</v>
      </c>
      <c r="Q10" s="2" t="s">
        <v>1</v>
      </c>
    </row>
    <row r="11" spans="1:17" x14ac:dyDescent="0.2">
      <c r="A11" s="19">
        <f>DATE(85,7,15)</f>
        <v>31243</v>
      </c>
      <c r="B11" s="2">
        <v>1334</v>
      </c>
      <c r="C11" s="17">
        <v>31</v>
      </c>
      <c r="D11" s="17">
        <v>12.9</v>
      </c>
      <c r="E11" s="17">
        <v>12.4</v>
      </c>
      <c r="F11" s="2">
        <v>462</v>
      </c>
      <c r="H11" s="2">
        <v>151</v>
      </c>
      <c r="J11" s="2">
        <v>1697</v>
      </c>
      <c r="K11" s="2">
        <v>345</v>
      </c>
      <c r="M11" s="2">
        <v>340</v>
      </c>
      <c r="N11" s="2">
        <v>224</v>
      </c>
      <c r="O11" s="2">
        <v>150</v>
      </c>
      <c r="Q11" s="2" t="s">
        <v>1</v>
      </c>
    </row>
    <row r="12" spans="1:17" x14ac:dyDescent="0.2">
      <c r="A12" s="19">
        <f>DATE(85,7,15)</f>
        <v>31243</v>
      </c>
      <c r="B12" s="2">
        <v>1710</v>
      </c>
      <c r="C12" s="17">
        <v>27</v>
      </c>
      <c r="D12" s="17">
        <v>3.3</v>
      </c>
      <c r="E12" s="17">
        <v>2.8</v>
      </c>
      <c r="F12" s="2">
        <v>443</v>
      </c>
      <c r="H12" s="2">
        <v>130</v>
      </c>
      <c r="J12" s="2">
        <v>1689</v>
      </c>
      <c r="K12" s="2">
        <v>368</v>
      </c>
      <c r="M12" s="2">
        <v>340</v>
      </c>
      <c r="N12" s="2">
        <v>231</v>
      </c>
      <c r="O12" s="2">
        <v>150</v>
      </c>
      <c r="Q12" s="2" t="s">
        <v>1</v>
      </c>
    </row>
    <row r="13" spans="1:17" x14ac:dyDescent="0.2">
      <c r="A13" s="19">
        <f>DATE(85,7,16)</f>
        <v>31244</v>
      </c>
      <c r="B13" s="2">
        <v>1340</v>
      </c>
      <c r="C13" s="17">
        <v>24</v>
      </c>
      <c r="D13" s="17">
        <v>4</v>
      </c>
      <c r="E13" s="17">
        <v>3.5</v>
      </c>
      <c r="F13" s="2">
        <v>478</v>
      </c>
      <c r="H13" s="2">
        <v>89</v>
      </c>
      <c r="J13" s="2">
        <v>1623</v>
      </c>
      <c r="K13" s="2">
        <v>341</v>
      </c>
      <c r="M13" s="2">
        <v>340</v>
      </c>
      <c r="N13" s="2">
        <v>222</v>
      </c>
      <c r="O13" s="2">
        <v>149</v>
      </c>
      <c r="Q13" s="2" t="s">
        <v>1</v>
      </c>
    </row>
    <row r="14" spans="1:17" x14ac:dyDescent="0.2">
      <c r="A14" s="19">
        <f>DATE(85,7,16)</f>
        <v>31244</v>
      </c>
      <c r="B14" s="2">
        <v>1520</v>
      </c>
      <c r="C14" s="17">
        <v>24</v>
      </c>
      <c r="D14" s="17">
        <v>4.9000000000000004</v>
      </c>
      <c r="E14" s="17">
        <v>5.9</v>
      </c>
      <c r="F14" s="2">
        <v>477</v>
      </c>
      <c r="H14" s="2">
        <v>112</v>
      </c>
      <c r="J14" s="2">
        <v>1630</v>
      </c>
      <c r="K14" s="2">
        <v>351</v>
      </c>
      <c r="M14" s="2">
        <v>341</v>
      </c>
      <c r="N14" s="2">
        <v>228</v>
      </c>
      <c r="O14" s="2">
        <v>150</v>
      </c>
      <c r="Q14" s="2" t="s">
        <v>1</v>
      </c>
    </row>
    <row r="15" spans="1:17" x14ac:dyDescent="0.2">
      <c r="A15" s="19">
        <f>DATE(85,7,16)</f>
        <v>31244</v>
      </c>
      <c r="B15" s="2">
        <v>1645</v>
      </c>
      <c r="C15" s="17">
        <v>24</v>
      </c>
      <c r="D15" s="17"/>
      <c r="E15" s="17">
        <v>4.5999999999999996</v>
      </c>
      <c r="F15" s="2">
        <v>472</v>
      </c>
      <c r="H15" s="2">
        <v>101</v>
      </c>
      <c r="J15" s="2">
        <v>1639</v>
      </c>
      <c r="K15" s="2">
        <v>378</v>
      </c>
      <c r="M15" s="2">
        <v>338</v>
      </c>
      <c r="N15" s="2">
        <v>221</v>
      </c>
      <c r="O15" s="2">
        <v>147</v>
      </c>
      <c r="Q15" s="2" t="s">
        <v>1</v>
      </c>
    </row>
    <row r="16" spans="1:17" x14ac:dyDescent="0.2">
      <c r="A16" s="19">
        <f>DATE(85,7,17)</f>
        <v>31245</v>
      </c>
      <c r="B16" s="2">
        <v>1020</v>
      </c>
      <c r="C16" s="17">
        <v>27.5</v>
      </c>
      <c r="D16" s="17">
        <v>9.3000000000000007</v>
      </c>
      <c r="E16" s="17">
        <v>9.4</v>
      </c>
      <c r="F16" s="2">
        <v>439</v>
      </c>
      <c r="H16" s="8" t="s">
        <v>1176</v>
      </c>
      <c r="J16" s="2">
        <v>1626</v>
      </c>
      <c r="K16" s="2">
        <v>368</v>
      </c>
      <c r="M16" s="2">
        <v>338</v>
      </c>
      <c r="N16" s="2">
        <v>224</v>
      </c>
      <c r="O16" s="2">
        <v>144</v>
      </c>
      <c r="Q16" s="2" t="s">
        <v>1</v>
      </c>
    </row>
    <row r="17" spans="1:17" x14ac:dyDescent="0.2">
      <c r="A17" s="19">
        <f>DATE(85,7,17)</f>
        <v>31245</v>
      </c>
      <c r="B17" s="2">
        <v>1225</v>
      </c>
      <c r="C17" s="17">
        <v>30.8</v>
      </c>
      <c r="D17" s="17">
        <v>15.4</v>
      </c>
      <c r="E17" s="17">
        <v>15.3</v>
      </c>
      <c r="F17" s="2">
        <v>461</v>
      </c>
      <c r="H17" s="8" t="s">
        <v>1176</v>
      </c>
      <c r="J17" s="2">
        <v>1671</v>
      </c>
      <c r="K17" s="2">
        <v>378</v>
      </c>
      <c r="M17" s="2">
        <v>338</v>
      </c>
      <c r="N17" s="2">
        <v>221</v>
      </c>
      <c r="O17" s="2">
        <v>146</v>
      </c>
      <c r="Q17" s="2" t="s">
        <v>1</v>
      </c>
    </row>
    <row r="18" spans="1:17" x14ac:dyDescent="0.2">
      <c r="A18" s="19">
        <f>DATE(85,7,17)</f>
        <v>31245</v>
      </c>
      <c r="B18" s="2">
        <v>1415</v>
      </c>
      <c r="C18" s="17">
        <v>25</v>
      </c>
      <c r="D18" s="17">
        <v>9.3000000000000007</v>
      </c>
      <c r="E18" s="17">
        <v>9.1999999999999993</v>
      </c>
      <c r="F18" s="2">
        <v>482</v>
      </c>
      <c r="H18" s="2">
        <v>143</v>
      </c>
      <c r="J18" s="2">
        <v>1626</v>
      </c>
      <c r="K18" s="2">
        <v>373</v>
      </c>
      <c r="M18" s="2">
        <v>341</v>
      </c>
      <c r="N18" s="2">
        <v>222</v>
      </c>
      <c r="O18" s="2">
        <v>146</v>
      </c>
      <c r="Q18" s="2" t="s">
        <v>1</v>
      </c>
    </row>
    <row r="19" spans="1:17" x14ac:dyDescent="0.2">
      <c r="A19" s="19">
        <f>DATE(85,7,17)</f>
        <v>31245</v>
      </c>
      <c r="B19" s="2">
        <v>1550</v>
      </c>
      <c r="C19" s="17">
        <v>23.7</v>
      </c>
      <c r="D19" s="17">
        <v>2.5</v>
      </c>
      <c r="E19" s="17">
        <v>1.7</v>
      </c>
      <c r="F19" s="2">
        <v>466</v>
      </c>
      <c r="H19" s="2">
        <v>111</v>
      </c>
      <c r="J19" s="2">
        <v>1626</v>
      </c>
      <c r="K19" s="2">
        <v>369</v>
      </c>
      <c r="M19" s="2">
        <v>336</v>
      </c>
      <c r="N19" s="2">
        <v>217</v>
      </c>
      <c r="O19" s="2">
        <v>154</v>
      </c>
      <c r="Q19" s="2" t="s">
        <v>1</v>
      </c>
    </row>
    <row r="20" spans="1:17" x14ac:dyDescent="0.2">
      <c r="A20" s="19">
        <f>DATE(85,7,17)</f>
        <v>31245</v>
      </c>
      <c r="B20" s="2">
        <v>1730</v>
      </c>
      <c r="C20" s="17">
        <v>23.5</v>
      </c>
      <c r="D20" s="17">
        <v>1.4</v>
      </c>
      <c r="E20" s="17">
        <v>1.1000000000000001</v>
      </c>
      <c r="F20" s="2">
        <v>458</v>
      </c>
      <c r="H20" s="2">
        <v>110</v>
      </c>
      <c r="J20" s="2">
        <v>1639</v>
      </c>
      <c r="K20" s="2">
        <v>364</v>
      </c>
      <c r="M20" s="2">
        <v>341</v>
      </c>
      <c r="N20" s="2">
        <v>221</v>
      </c>
      <c r="O20" s="2">
        <v>146</v>
      </c>
      <c r="Q20" s="2" t="s">
        <v>1</v>
      </c>
    </row>
    <row r="21" spans="1:17" x14ac:dyDescent="0.2">
      <c r="A21" s="19">
        <f>DATE(85,7,18)</f>
        <v>31246</v>
      </c>
      <c r="B21" s="2">
        <v>1231</v>
      </c>
      <c r="C21" s="17">
        <v>26</v>
      </c>
      <c r="D21" s="17">
        <v>5.7</v>
      </c>
      <c r="E21" s="17">
        <v>5.6</v>
      </c>
      <c r="F21" s="2">
        <v>450</v>
      </c>
      <c r="H21" s="2">
        <v>127</v>
      </c>
      <c r="J21" s="2">
        <v>1664</v>
      </c>
      <c r="K21" s="2">
        <v>396</v>
      </c>
      <c r="M21" s="2">
        <v>338</v>
      </c>
      <c r="N21" s="2">
        <v>224</v>
      </c>
      <c r="O21" s="2">
        <v>154</v>
      </c>
      <c r="Q21" s="2" t="s">
        <v>1</v>
      </c>
    </row>
    <row r="22" spans="1:17" x14ac:dyDescent="0.2">
      <c r="A22" s="19">
        <f>DATE(85,7,18)</f>
        <v>31246</v>
      </c>
      <c r="B22" s="2">
        <v>1645</v>
      </c>
      <c r="C22" s="17">
        <v>25.5</v>
      </c>
      <c r="D22" s="17">
        <v>3.9</v>
      </c>
      <c r="E22" s="17">
        <v>3.9</v>
      </c>
      <c r="F22" s="2">
        <v>457</v>
      </c>
      <c r="H22" s="2">
        <v>182</v>
      </c>
      <c r="J22" s="2">
        <v>1648</v>
      </c>
      <c r="K22" s="2">
        <v>364</v>
      </c>
      <c r="M22" s="2">
        <v>340</v>
      </c>
      <c r="N22" s="2">
        <v>223</v>
      </c>
      <c r="O22" s="2">
        <v>153</v>
      </c>
      <c r="Q22" s="2" t="s">
        <v>1</v>
      </c>
    </row>
    <row r="23" spans="1:17" x14ac:dyDescent="0.2">
      <c r="A23" s="19">
        <f>DATE(85,7,19)</f>
        <v>31247</v>
      </c>
      <c r="B23" s="2">
        <v>815</v>
      </c>
      <c r="C23" s="17">
        <v>24.5</v>
      </c>
      <c r="D23" s="17">
        <v>4.4000000000000004</v>
      </c>
      <c r="E23" s="17">
        <v>4</v>
      </c>
      <c r="F23" s="2">
        <v>466</v>
      </c>
      <c r="H23" s="2">
        <v>95</v>
      </c>
      <c r="J23" s="2">
        <v>1632</v>
      </c>
      <c r="K23" s="2">
        <v>361</v>
      </c>
      <c r="M23" s="2">
        <v>341</v>
      </c>
      <c r="N23" s="2">
        <v>219</v>
      </c>
      <c r="O23" s="2">
        <v>151</v>
      </c>
      <c r="Q23" s="2" t="s">
        <v>1</v>
      </c>
    </row>
    <row r="24" spans="1:17" x14ac:dyDescent="0.2">
      <c r="A24" s="19">
        <f>DATE(85,7,19)</f>
        <v>31247</v>
      </c>
      <c r="B24" s="2">
        <v>1240</v>
      </c>
      <c r="C24" s="17">
        <v>27.5</v>
      </c>
      <c r="D24" s="17">
        <v>19</v>
      </c>
      <c r="E24" s="17">
        <v>19.399999999999999</v>
      </c>
      <c r="F24" s="2">
        <v>439</v>
      </c>
      <c r="H24" s="2">
        <v>120</v>
      </c>
      <c r="J24" s="2">
        <v>1669</v>
      </c>
      <c r="K24" s="2">
        <v>360</v>
      </c>
      <c r="M24" s="2">
        <v>339</v>
      </c>
      <c r="N24" s="2">
        <v>220</v>
      </c>
      <c r="O24" s="2">
        <v>149</v>
      </c>
      <c r="Q24" s="2" t="s">
        <v>1</v>
      </c>
    </row>
    <row r="25" spans="1:17" x14ac:dyDescent="0.2">
      <c r="A25" s="19">
        <f>DATE(85,7,19)</f>
        <v>31247</v>
      </c>
      <c r="B25" s="2">
        <v>1630</v>
      </c>
      <c r="C25" s="17">
        <v>27</v>
      </c>
      <c r="D25" s="17">
        <v>11.2</v>
      </c>
      <c r="E25" s="17">
        <v>11.2</v>
      </c>
      <c r="F25" s="2">
        <v>476</v>
      </c>
      <c r="H25" s="2">
        <v>94</v>
      </c>
      <c r="J25" s="2">
        <v>1701</v>
      </c>
      <c r="Q25" s="2" t="s">
        <v>1</v>
      </c>
    </row>
    <row r="26" spans="1:17" x14ac:dyDescent="0.2">
      <c r="A26" s="19">
        <f>DATE(85,7,19)</f>
        <v>31247</v>
      </c>
      <c r="B26" s="2">
        <v>1800</v>
      </c>
      <c r="C26" s="17">
        <v>25</v>
      </c>
      <c r="D26" s="17">
        <v>5</v>
      </c>
      <c r="E26" s="17">
        <v>4.8</v>
      </c>
      <c r="F26" s="2">
        <v>448</v>
      </c>
      <c r="H26" s="2">
        <v>133</v>
      </c>
      <c r="J26" s="2">
        <v>1684</v>
      </c>
      <c r="K26" s="2">
        <v>376</v>
      </c>
      <c r="M26" s="2">
        <v>340</v>
      </c>
      <c r="N26" s="2">
        <v>240</v>
      </c>
      <c r="O26" s="2">
        <v>161</v>
      </c>
      <c r="Q26" s="2" t="s">
        <v>1</v>
      </c>
    </row>
    <row r="27" spans="1:17" x14ac:dyDescent="0.2">
      <c r="A27" s="19">
        <f>DATE(85,7,20)</f>
        <v>31248</v>
      </c>
      <c r="B27" s="2">
        <v>800</v>
      </c>
      <c r="C27" s="17">
        <v>23.2</v>
      </c>
      <c r="D27" s="17"/>
      <c r="E27" s="17">
        <v>5.3</v>
      </c>
      <c r="F27" s="2">
        <v>348</v>
      </c>
      <c r="H27" s="2">
        <v>142</v>
      </c>
      <c r="J27" s="2">
        <v>1779</v>
      </c>
      <c r="K27" s="2">
        <v>445</v>
      </c>
      <c r="M27" s="2">
        <v>340</v>
      </c>
      <c r="N27" s="2">
        <v>224</v>
      </c>
      <c r="O27" s="2">
        <v>162</v>
      </c>
      <c r="Q27" s="2" t="s">
        <v>1</v>
      </c>
    </row>
    <row r="28" spans="1:17" x14ac:dyDescent="0.2">
      <c r="A28" s="19">
        <f>DATE(85,7,20)</f>
        <v>31248</v>
      </c>
      <c r="B28" s="2">
        <v>1205</v>
      </c>
      <c r="C28" s="17">
        <v>28.2</v>
      </c>
      <c r="D28" s="17"/>
      <c r="E28" s="17">
        <v>15.1</v>
      </c>
      <c r="F28" s="2">
        <v>443</v>
      </c>
      <c r="H28" s="2">
        <v>108</v>
      </c>
      <c r="J28" s="2">
        <v>1717</v>
      </c>
      <c r="K28" s="2">
        <v>350</v>
      </c>
      <c r="M28" s="2">
        <v>337</v>
      </c>
      <c r="N28" s="2">
        <v>221</v>
      </c>
      <c r="O28" s="2">
        <v>144</v>
      </c>
      <c r="Q28" s="2" t="s">
        <v>1</v>
      </c>
    </row>
    <row r="29" spans="1:17" x14ac:dyDescent="0.2">
      <c r="A29" s="19">
        <f>DATE(85,7,20)</f>
        <v>31248</v>
      </c>
      <c r="B29" s="2">
        <v>1600</v>
      </c>
      <c r="C29" s="17"/>
      <c r="D29" s="17"/>
      <c r="E29" s="17">
        <v>7.3</v>
      </c>
      <c r="F29" s="2">
        <v>447</v>
      </c>
      <c r="H29" s="2">
        <v>118</v>
      </c>
      <c r="J29" s="2">
        <v>1702</v>
      </c>
      <c r="K29" s="2">
        <v>367</v>
      </c>
      <c r="M29" s="2">
        <v>579</v>
      </c>
      <c r="N29" s="2">
        <v>221</v>
      </c>
      <c r="O29" s="2">
        <v>143</v>
      </c>
      <c r="Q29" s="2" t="s">
        <v>1</v>
      </c>
    </row>
    <row r="30" spans="1:17" x14ac:dyDescent="0.2">
      <c r="A30" s="19">
        <f>DATE(85,7,21)</f>
        <v>31249</v>
      </c>
      <c r="B30" s="2">
        <v>1020</v>
      </c>
      <c r="C30" s="17">
        <v>30</v>
      </c>
      <c r="D30" s="17">
        <v>17.2</v>
      </c>
      <c r="E30" s="17"/>
      <c r="F30" s="2">
        <v>450</v>
      </c>
      <c r="H30" s="2">
        <v>129</v>
      </c>
      <c r="J30" s="2">
        <v>1640</v>
      </c>
      <c r="K30" s="2">
        <v>348</v>
      </c>
      <c r="Q30" s="2" t="s">
        <v>1</v>
      </c>
    </row>
    <row r="31" spans="1:17" x14ac:dyDescent="0.2">
      <c r="A31" s="19">
        <f>DATE(85,7,21)</f>
        <v>31249</v>
      </c>
      <c r="B31" s="2">
        <v>1225</v>
      </c>
      <c r="C31" s="17">
        <v>31.2</v>
      </c>
      <c r="D31" s="17">
        <v>16.899999999999999</v>
      </c>
      <c r="E31" s="17"/>
      <c r="F31" s="2">
        <v>497</v>
      </c>
      <c r="H31" s="2">
        <v>182</v>
      </c>
      <c r="J31" s="2">
        <v>1659</v>
      </c>
      <c r="K31" s="2">
        <v>330</v>
      </c>
      <c r="Q31" s="2" t="s">
        <v>1</v>
      </c>
    </row>
    <row r="32" spans="1:17" x14ac:dyDescent="0.2">
      <c r="A32" s="19">
        <f>DATE(85,7,22)</f>
        <v>31250</v>
      </c>
      <c r="B32" s="2">
        <v>1405</v>
      </c>
      <c r="C32" s="17">
        <v>28.8</v>
      </c>
      <c r="D32" s="17">
        <v>15.7</v>
      </c>
      <c r="E32" s="17"/>
      <c r="F32" s="2">
        <v>528</v>
      </c>
      <c r="G32" s="2">
        <v>534</v>
      </c>
      <c r="H32" s="2">
        <v>114</v>
      </c>
      <c r="J32" s="2">
        <v>1691</v>
      </c>
      <c r="K32" s="2">
        <v>338</v>
      </c>
      <c r="Q32" s="2" t="s">
        <v>1</v>
      </c>
    </row>
    <row r="33" spans="1:17" x14ac:dyDescent="0.2">
      <c r="A33" s="19">
        <f>DATE(86,7,23)</f>
        <v>31616</v>
      </c>
      <c r="B33" s="2">
        <v>930</v>
      </c>
      <c r="C33" s="17">
        <v>25.6</v>
      </c>
      <c r="D33" s="17">
        <v>4.9000000000000004</v>
      </c>
      <c r="E33" s="17"/>
      <c r="F33" s="2">
        <v>451</v>
      </c>
      <c r="H33" s="2">
        <v>105</v>
      </c>
      <c r="J33" s="2">
        <v>1698</v>
      </c>
      <c r="K33" s="2">
        <v>373</v>
      </c>
      <c r="Q33" s="2" t="s">
        <v>1</v>
      </c>
    </row>
    <row r="34" spans="1:17" x14ac:dyDescent="0.2">
      <c r="A34" s="19">
        <f>DATE(85,7,23)</f>
        <v>31251</v>
      </c>
      <c r="B34" s="2">
        <v>1150</v>
      </c>
      <c r="C34" s="17">
        <v>31</v>
      </c>
      <c r="D34" s="17">
        <v>13.8</v>
      </c>
      <c r="E34" s="17"/>
      <c r="F34" s="2">
        <v>447</v>
      </c>
      <c r="H34" s="2">
        <v>112</v>
      </c>
      <c r="J34" s="2">
        <v>1632</v>
      </c>
      <c r="K34" s="2">
        <v>349</v>
      </c>
      <c r="Q34" s="2" t="s">
        <v>1</v>
      </c>
    </row>
    <row r="35" spans="1:17" x14ac:dyDescent="0.2">
      <c r="A35" s="19">
        <f>DATE(85,7,23)</f>
        <v>31251</v>
      </c>
      <c r="B35" s="2">
        <v>1836</v>
      </c>
      <c r="C35" s="17">
        <v>30</v>
      </c>
      <c r="D35" s="17">
        <v>3.5</v>
      </c>
      <c r="E35" s="17"/>
      <c r="F35" s="2">
        <v>435</v>
      </c>
      <c r="H35" s="2">
        <v>119</v>
      </c>
      <c r="J35" s="2">
        <v>1614</v>
      </c>
      <c r="K35" s="2">
        <v>437</v>
      </c>
      <c r="Q35" s="2" t="s">
        <v>1</v>
      </c>
    </row>
    <row r="36" spans="1:17" x14ac:dyDescent="0.2">
      <c r="A36" s="19">
        <f>DATE(85,7,24)</f>
        <v>31252</v>
      </c>
      <c r="B36" s="2">
        <v>821</v>
      </c>
      <c r="C36" s="17">
        <v>26.5</v>
      </c>
      <c r="D36" s="17">
        <v>8.3000000000000007</v>
      </c>
      <c r="E36" s="17"/>
      <c r="F36" s="2">
        <v>388</v>
      </c>
      <c r="H36" s="2">
        <v>127</v>
      </c>
      <c r="J36" s="2">
        <v>1645</v>
      </c>
      <c r="K36" s="2">
        <v>413</v>
      </c>
      <c r="Q36" s="2" t="s">
        <v>1</v>
      </c>
    </row>
    <row r="37" spans="1:17" x14ac:dyDescent="0.2">
      <c r="A37" s="19">
        <f>DATE(85,7,24)</f>
        <v>31252</v>
      </c>
      <c r="B37" s="2">
        <v>1405</v>
      </c>
      <c r="C37" s="17">
        <v>34</v>
      </c>
      <c r="D37" s="17">
        <v>19</v>
      </c>
      <c r="E37" s="17"/>
      <c r="F37" s="2">
        <v>470</v>
      </c>
      <c r="H37" s="2">
        <v>140</v>
      </c>
      <c r="J37" s="2">
        <v>1644</v>
      </c>
      <c r="K37" s="2">
        <v>343</v>
      </c>
      <c r="M37" s="2">
        <v>337</v>
      </c>
      <c r="N37" s="2">
        <v>220</v>
      </c>
      <c r="O37" s="2">
        <v>145</v>
      </c>
      <c r="Q37" s="2" t="s">
        <v>1</v>
      </c>
    </row>
    <row r="38" spans="1:17" x14ac:dyDescent="0.2">
      <c r="A38" s="19">
        <f>DATE(85,7,24)</f>
        <v>31252</v>
      </c>
      <c r="B38" s="2">
        <v>1705</v>
      </c>
      <c r="C38" s="17">
        <v>27</v>
      </c>
      <c r="D38" s="17">
        <v>12.3</v>
      </c>
      <c r="E38" s="17"/>
      <c r="F38" s="2">
        <v>915</v>
      </c>
      <c r="G38" s="2">
        <v>917</v>
      </c>
      <c r="H38" s="2">
        <v>135</v>
      </c>
      <c r="J38" s="2">
        <v>1719</v>
      </c>
      <c r="K38" s="2">
        <v>361</v>
      </c>
      <c r="Q38" s="2" t="s">
        <v>1</v>
      </c>
    </row>
    <row r="39" spans="1:17" x14ac:dyDescent="0.2">
      <c r="A39" s="19">
        <f>DATE(85,7,25)</f>
        <v>31253</v>
      </c>
      <c r="B39" s="2">
        <v>845</v>
      </c>
      <c r="C39" s="17">
        <v>27.4</v>
      </c>
      <c r="D39" s="17">
        <v>6.1</v>
      </c>
      <c r="E39" s="17"/>
      <c r="F39" s="2">
        <v>456</v>
      </c>
      <c r="H39" s="2">
        <v>114</v>
      </c>
      <c r="J39" s="2">
        <v>1701</v>
      </c>
      <c r="K39" s="2">
        <v>354</v>
      </c>
      <c r="Q39" s="2" t="s">
        <v>1</v>
      </c>
    </row>
    <row r="40" spans="1:17" x14ac:dyDescent="0.2">
      <c r="A40" s="19">
        <f>DATE(85,7,25)</f>
        <v>31253</v>
      </c>
      <c r="B40" s="2">
        <v>1140</v>
      </c>
      <c r="C40" s="17">
        <v>29.5</v>
      </c>
      <c r="D40" s="17">
        <v>19.7</v>
      </c>
      <c r="E40" s="17"/>
      <c r="F40" s="2">
        <v>552</v>
      </c>
      <c r="G40" s="2">
        <v>574</v>
      </c>
      <c r="H40" s="2">
        <v>112</v>
      </c>
      <c r="J40" s="2">
        <v>1649</v>
      </c>
      <c r="K40" s="2">
        <v>332</v>
      </c>
      <c r="Q40" s="2" t="s">
        <v>1</v>
      </c>
    </row>
    <row r="41" spans="1:17" x14ac:dyDescent="0.2">
      <c r="A41" s="19">
        <f>DATE(85,7,26)</f>
        <v>31254</v>
      </c>
      <c r="B41" s="2">
        <v>915</v>
      </c>
      <c r="C41" s="17">
        <v>26</v>
      </c>
      <c r="D41" s="17">
        <v>9.4</v>
      </c>
      <c r="E41" s="17"/>
      <c r="F41" s="2">
        <v>430</v>
      </c>
      <c r="H41" s="2">
        <v>144</v>
      </c>
      <c r="J41" s="2">
        <v>1794</v>
      </c>
      <c r="K41" s="2">
        <v>376</v>
      </c>
      <c r="M41" s="2">
        <v>339</v>
      </c>
      <c r="N41" s="2">
        <v>226</v>
      </c>
      <c r="O41" s="2">
        <v>172</v>
      </c>
      <c r="Q41" s="2" t="s">
        <v>1</v>
      </c>
    </row>
    <row r="42" spans="1:17" x14ac:dyDescent="0.2">
      <c r="A42" s="19">
        <f>DATE(85,7,26)</f>
        <v>31254</v>
      </c>
      <c r="B42" s="2">
        <v>1235</v>
      </c>
      <c r="C42" s="17">
        <v>28.2</v>
      </c>
      <c r="D42" s="17">
        <v>11</v>
      </c>
      <c r="E42" s="17"/>
      <c r="F42" s="2">
        <v>450</v>
      </c>
      <c r="H42" s="2">
        <v>112</v>
      </c>
      <c r="J42" s="2">
        <v>1654</v>
      </c>
      <c r="K42" s="2">
        <v>376</v>
      </c>
      <c r="Q42" s="2" t="s">
        <v>1</v>
      </c>
    </row>
    <row r="43" spans="1:17" x14ac:dyDescent="0.2">
      <c r="A43" s="19">
        <f>DATE(85,7,26)</f>
        <v>31254</v>
      </c>
      <c r="B43" s="2">
        <v>1725</v>
      </c>
      <c r="C43" s="17">
        <v>26.6</v>
      </c>
      <c r="D43" s="17">
        <v>4.5</v>
      </c>
      <c r="E43" s="17"/>
      <c r="F43" s="2">
        <v>454</v>
      </c>
      <c r="H43" s="2">
        <v>93</v>
      </c>
      <c r="J43" s="2">
        <v>1650</v>
      </c>
      <c r="K43" s="2">
        <v>373</v>
      </c>
      <c r="Q43" s="2" t="s">
        <v>1</v>
      </c>
    </row>
    <row r="44" spans="1:17" x14ac:dyDescent="0.2">
      <c r="A44" s="19">
        <f>DATE(85,7,27)</f>
        <v>31255</v>
      </c>
      <c r="B44" s="2">
        <v>842</v>
      </c>
      <c r="C44" s="17">
        <v>27</v>
      </c>
      <c r="D44" s="17">
        <v>4.5999999999999996</v>
      </c>
      <c r="E44" s="17"/>
      <c r="F44" s="2">
        <v>439</v>
      </c>
      <c r="H44" s="2">
        <v>97</v>
      </c>
      <c r="J44" s="2">
        <v>1648</v>
      </c>
      <c r="K44" s="2">
        <v>364</v>
      </c>
      <c r="Q44" s="2" t="s">
        <v>1</v>
      </c>
    </row>
    <row r="45" spans="1:17" x14ac:dyDescent="0.2">
      <c r="A45" s="19">
        <f>DATE(85,7,27)</f>
        <v>31255</v>
      </c>
      <c r="B45" s="2">
        <v>1210</v>
      </c>
      <c r="C45" s="17">
        <v>30.6</v>
      </c>
      <c r="D45" s="17">
        <v>14.3</v>
      </c>
      <c r="E45" s="17"/>
      <c r="F45" s="2">
        <v>472</v>
      </c>
      <c r="H45" s="2">
        <v>110</v>
      </c>
      <c r="J45" s="2">
        <v>1644</v>
      </c>
      <c r="K45" s="2">
        <v>341</v>
      </c>
      <c r="Q45" s="2" t="s">
        <v>1</v>
      </c>
    </row>
    <row r="46" spans="1:17" x14ac:dyDescent="0.2">
      <c r="A46" s="19">
        <f>DATE(85,7,29)</f>
        <v>31257</v>
      </c>
      <c r="B46" s="2">
        <v>1320</v>
      </c>
      <c r="C46" s="17">
        <v>32.6</v>
      </c>
      <c r="D46" s="17">
        <v>27.9</v>
      </c>
      <c r="E46" s="17"/>
      <c r="F46" s="2">
        <v>462</v>
      </c>
      <c r="H46" s="2">
        <v>103</v>
      </c>
      <c r="I46" s="2">
        <v>102</v>
      </c>
      <c r="J46" s="2">
        <v>1626</v>
      </c>
      <c r="K46" s="2">
        <v>346</v>
      </c>
      <c r="M46" s="2">
        <v>343</v>
      </c>
      <c r="N46" s="2">
        <v>218</v>
      </c>
      <c r="O46" s="2">
        <v>143</v>
      </c>
    </row>
    <row r="47" spans="1:17" x14ac:dyDescent="0.2">
      <c r="A47" s="19">
        <f>DATE(85,7,29)</f>
        <v>31257</v>
      </c>
      <c r="B47" s="2">
        <v>1725</v>
      </c>
      <c r="C47" s="17">
        <v>28.4</v>
      </c>
      <c r="D47" s="17">
        <v>20.7</v>
      </c>
      <c r="E47" s="17">
        <v>20.399999999999999</v>
      </c>
      <c r="F47" s="2">
        <v>427</v>
      </c>
      <c r="H47" s="2">
        <v>111</v>
      </c>
      <c r="I47" s="2">
        <v>110</v>
      </c>
      <c r="J47" s="2">
        <v>1708</v>
      </c>
      <c r="K47" s="2">
        <v>404</v>
      </c>
      <c r="M47" s="2">
        <v>337</v>
      </c>
      <c r="N47" s="2">
        <v>224</v>
      </c>
      <c r="O47" s="2">
        <v>145</v>
      </c>
    </row>
    <row r="48" spans="1:17" x14ac:dyDescent="0.2">
      <c r="A48" s="19">
        <f>DATE(85,7,30)</f>
        <v>31258</v>
      </c>
      <c r="B48" s="2">
        <v>1015</v>
      </c>
      <c r="C48" s="17">
        <v>30.4</v>
      </c>
      <c r="D48" s="17">
        <v>19.399999999999999</v>
      </c>
      <c r="E48" s="17"/>
      <c r="F48" s="2">
        <v>440</v>
      </c>
      <c r="H48" s="2">
        <v>95</v>
      </c>
      <c r="I48" s="2">
        <v>93</v>
      </c>
      <c r="J48" s="2">
        <v>1643</v>
      </c>
      <c r="K48" s="2">
        <v>349</v>
      </c>
    </row>
    <row r="49" spans="1:15" x14ac:dyDescent="0.2">
      <c r="A49" s="19">
        <f>DATE(85,7,30)</f>
        <v>31258</v>
      </c>
      <c r="B49" s="2">
        <v>1745</v>
      </c>
      <c r="C49" s="17">
        <v>26.2</v>
      </c>
      <c r="D49" s="17">
        <v>10.4</v>
      </c>
      <c r="E49" s="17"/>
      <c r="F49" s="2">
        <v>464</v>
      </c>
      <c r="H49" s="2">
        <v>92</v>
      </c>
      <c r="I49" s="2">
        <v>93</v>
      </c>
      <c r="J49" s="2">
        <v>1701</v>
      </c>
      <c r="K49" s="2">
        <v>341</v>
      </c>
      <c r="M49" s="2">
        <v>402</v>
      </c>
      <c r="N49" s="2">
        <v>223</v>
      </c>
      <c r="O49" s="2">
        <v>144</v>
      </c>
    </row>
    <row r="50" spans="1:15" x14ac:dyDescent="0.2">
      <c r="A50" s="19">
        <f>DATE(85,7,31)</f>
        <v>31259</v>
      </c>
      <c r="B50" s="2">
        <v>1030</v>
      </c>
      <c r="C50" s="17">
        <v>30.2</v>
      </c>
      <c r="D50" s="17">
        <v>16.8</v>
      </c>
      <c r="E50" s="17">
        <v>16.399999999999999</v>
      </c>
      <c r="F50" s="2">
        <v>474</v>
      </c>
      <c r="H50" s="2">
        <v>103</v>
      </c>
      <c r="J50" s="2">
        <v>1664</v>
      </c>
      <c r="K50" s="2">
        <v>350</v>
      </c>
      <c r="M50" s="2">
        <v>339</v>
      </c>
      <c r="N50" s="2">
        <v>227</v>
      </c>
      <c r="O50" s="2">
        <v>150</v>
      </c>
    </row>
    <row r="51" spans="1:15" x14ac:dyDescent="0.2">
      <c r="A51" s="19">
        <f>DATE(85,7,31)</f>
        <v>31259</v>
      </c>
      <c r="B51" s="2">
        <v>1300</v>
      </c>
      <c r="C51" s="17">
        <v>32.200000000000003</v>
      </c>
      <c r="D51" s="17">
        <v>28</v>
      </c>
      <c r="E51" s="17"/>
      <c r="F51" s="2">
        <v>474</v>
      </c>
      <c r="H51" s="2">
        <v>106</v>
      </c>
      <c r="I51" s="2">
        <v>108</v>
      </c>
      <c r="J51" s="2">
        <v>1648</v>
      </c>
      <c r="K51" s="2">
        <v>334</v>
      </c>
      <c r="M51" s="2">
        <v>338</v>
      </c>
      <c r="N51" s="2">
        <v>228</v>
      </c>
      <c r="O51" s="2">
        <v>150</v>
      </c>
    </row>
    <row r="52" spans="1:15" x14ac:dyDescent="0.2">
      <c r="A52" s="19"/>
    </row>
    <row r="53" spans="1:15" x14ac:dyDescent="0.2">
      <c r="A53" s="19"/>
      <c r="D53" s="8" t="s">
        <v>116</v>
      </c>
      <c r="E53" s="8" t="s">
        <v>116</v>
      </c>
      <c r="F53" s="8" t="s">
        <v>117</v>
      </c>
      <c r="G53" s="8" t="s">
        <v>117</v>
      </c>
      <c r="H53" s="8" t="s">
        <v>118</v>
      </c>
      <c r="I53" s="8" t="s">
        <v>118</v>
      </c>
      <c r="J53" s="8" t="s">
        <v>123</v>
      </c>
      <c r="K53" s="8" t="s">
        <v>134</v>
      </c>
      <c r="M53" s="8" t="s">
        <v>138</v>
      </c>
      <c r="N53" s="8" t="s">
        <v>130</v>
      </c>
      <c r="O53" s="8" t="s">
        <v>121</v>
      </c>
    </row>
    <row r="54" spans="1:15" x14ac:dyDescent="0.2">
      <c r="A54" s="19"/>
      <c r="D54" s="8" t="s">
        <v>635</v>
      </c>
      <c r="E54" s="8" t="s">
        <v>635</v>
      </c>
      <c r="F54" s="8" t="s">
        <v>266</v>
      </c>
      <c r="H54" s="8" t="s">
        <v>266</v>
      </c>
      <c r="J54" s="8" t="s">
        <v>266</v>
      </c>
      <c r="K54" s="8" t="s">
        <v>371</v>
      </c>
      <c r="M54" s="8" t="s">
        <v>266</v>
      </c>
      <c r="N54" s="8" t="s">
        <v>144</v>
      </c>
      <c r="O54" s="8" t="s">
        <v>144</v>
      </c>
    </row>
    <row r="55" spans="1:15" x14ac:dyDescent="0.2">
      <c r="A55" s="19"/>
    </row>
    <row r="56" spans="1:15" x14ac:dyDescent="0.2">
      <c r="A56" s="19"/>
    </row>
    <row r="57" spans="1:15" x14ac:dyDescent="0.2">
      <c r="A57" s="7">
        <f>AVERAGE(A6:A51)</f>
        <v>31257</v>
      </c>
      <c r="D57" s="4">
        <f t="shared" ref="D57:K57" si="0">AVERAGE(D6:D51)</f>
        <v>10.887804878048779</v>
      </c>
      <c r="E57" s="4">
        <f t="shared" si="0"/>
        <v>8.0500000000000007</v>
      </c>
      <c r="F57" s="4">
        <f t="shared" si="0"/>
        <v>468.78260869565219</v>
      </c>
      <c r="G57" s="4">
        <f t="shared" si="0"/>
        <v>675</v>
      </c>
      <c r="H57" s="4">
        <f t="shared" si="0"/>
        <v>122.29545454545455</v>
      </c>
      <c r="I57" s="4">
        <f t="shared" si="0"/>
        <v>101.2</v>
      </c>
      <c r="J57" s="4">
        <f t="shared" si="0"/>
        <v>1665.608695652174</v>
      </c>
      <c r="K57" s="4">
        <f t="shared" si="0"/>
        <v>361.4</v>
      </c>
      <c r="L57" s="4"/>
      <c r="M57" s="4">
        <f>AVERAGE(M6:M51)</f>
        <v>351.3</v>
      </c>
      <c r="N57" s="4">
        <f>AVERAGE(N6:N51)</f>
        <v>230.4</v>
      </c>
      <c r="O57" s="4">
        <f>AVERAGE(O6:O51)</f>
        <v>158.80000000000001</v>
      </c>
    </row>
    <row r="58" spans="1:15" x14ac:dyDescent="0.2">
      <c r="C58" s="4"/>
      <c r="D58" s="4">
        <f t="shared" ref="D58:K58" si="1">STDEV(D6:D51)</f>
        <v>6.8443843814455372</v>
      </c>
      <c r="E58" s="4">
        <f t="shared" si="1"/>
        <v>5.4507430686100014</v>
      </c>
      <c r="F58" s="4">
        <f t="shared" si="1"/>
        <v>74.142479364914834</v>
      </c>
      <c r="G58" s="4">
        <f t="shared" si="1"/>
        <v>210.53028285735996</v>
      </c>
      <c r="H58" s="4">
        <f t="shared" si="1"/>
        <v>26.247993983553787</v>
      </c>
      <c r="I58" s="4">
        <f t="shared" si="1"/>
        <v>8.0436310208760826</v>
      </c>
      <c r="J58" s="4">
        <f t="shared" si="1"/>
        <v>38.224179817300382</v>
      </c>
      <c r="K58" s="4">
        <f t="shared" si="1"/>
        <v>26.279442362978156</v>
      </c>
      <c r="L58" s="4"/>
      <c r="M58" s="4">
        <f>STDEV(M6:M51)</f>
        <v>45.888282630303507</v>
      </c>
      <c r="N58" s="4">
        <f>STDEV(N6:N51)</f>
        <v>24.630510935941132</v>
      </c>
      <c r="O58" s="4">
        <f>STDEV(O6:O51)</f>
        <v>45.465712734793463</v>
      </c>
    </row>
    <row r="59" spans="1:15" x14ac:dyDescent="0.2">
      <c r="C59" s="4"/>
      <c r="D59" s="4">
        <f t="shared" ref="D59:K59" si="2">COUNTA(D6:D51)</f>
        <v>41</v>
      </c>
      <c r="E59" s="4">
        <f t="shared" si="2"/>
        <v>26</v>
      </c>
      <c r="F59" s="4">
        <f t="shared" si="2"/>
        <v>46</v>
      </c>
      <c r="G59" s="4">
        <f t="shared" si="2"/>
        <v>3</v>
      </c>
      <c r="H59" s="4">
        <f t="shared" si="2"/>
        <v>46</v>
      </c>
      <c r="I59" s="4">
        <f t="shared" si="2"/>
        <v>5</v>
      </c>
      <c r="J59" s="4">
        <f t="shared" si="2"/>
        <v>46</v>
      </c>
      <c r="K59" s="4">
        <f t="shared" si="2"/>
        <v>45</v>
      </c>
      <c r="L59" s="4"/>
      <c r="M59" s="4">
        <f>COUNTA(M6:M51)</f>
        <v>30</v>
      </c>
      <c r="N59" s="4">
        <f>COUNTA(N6:N51)</f>
        <v>30</v>
      </c>
      <c r="O59" s="4">
        <f>COUNTA(O6:O51)</f>
        <v>30</v>
      </c>
    </row>
    <row r="60" spans="1:15" x14ac:dyDescent="0.2">
      <c r="A60" s="19"/>
    </row>
    <row r="61" spans="1:15" x14ac:dyDescent="0.2">
      <c r="A61" s="19"/>
    </row>
    <row r="62" spans="1:15" x14ac:dyDescent="0.2">
      <c r="A62" s="2" t="s">
        <v>1177</v>
      </c>
    </row>
    <row r="63" spans="1:15" x14ac:dyDescent="0.2">
      <c r="A63" s="2" t="s">
        <v>1178</v>
      </c>
    </row>
    <row r="65" spans="1:15" x14ac:dyDescent="0.2">
      <c r="A65" s="21" t="s">
        <v>253</v>
      </c>
      <c r="B65" s="8" t="s">
        <v>286</v>
      </c>
      <c r="D65" s="8" t="s">
        <v>116</v>
      </c>
      <c r="F65" s="8" t="s">
        <v>117</v>
      </c>
      <c r="H65" s="8" t="s">
        <v>118</v>
      </c>
      <c r="J65" s="8" t="s">
        <v>123</v>
      </c>
      <c r="K65" s="8" t="s">
        <v>134</v>
      </c>
      <c r="L65" s="8" t="s">
        <v>115</v>
      </c>
      <c r="M65" s="8" t="s">
        <v>138</v>
      </c>
      <c r="N65" s="8" t="s">
        <v>130</v>
      </c>
      <c r="O65" s="8" t="s">
        <v>121</v>
      </c>
    </row>
    <row r="66" spans="1:15" x14ac:dyDescent="0.2">
      <c r="A66" s="19"/>
      <c r="D66" s="8" t="s">
        <v>635</v>
      </c>
      <c r="F66" s="8" t="s">
        <v>266</v>
      </c>
      <c r="H66" s="8" t="s">
        <v>266</v>
      </c>
      <c r="J66" s="8" t="s">
        <v>266</v>
      </c>
      <c r="K66" s="8" t="s">
        <v>371</v>
      </c>
      <c r="L66" s="8" t="s">
        <v>266</v>
      </c>
      <c r="M66" s="8" t="s">
        <v>266</v>
      </c>
      <c r="N66" s="8" t="s">
        <v>144</v>
      </c>
      <c r="O66" s="8" t="s">
        <v>144</v>
      </c>
    </row>
    <row r="68" spans="1:15" x14ac:dyDescent="0.2">
      <c r="A68" s="2" t="s">
        <v>1179</v>
      </c>
    </row>
    <row r="69" spans="1:15" x14ac:dyDescent="0.2">
      <c r="A69" s="19">
        <f>DATE(85,7,14)</f>
        <v>31242</v>
      </c>
      <c r="B69" s="2">
        <v>1346</v>
      </c>
      <c r="D69" s="17">
        <v>3.5</v>
      </c>
      <c r="F69" s="2">
        <v>455</v>
      </c>
      <c r="H69" s="2">
        <v>195</v>
      </c>
      <c r="J69" s="2">
        <v>1651</v>
      </c>
      <c r="K69" s="2">
        <v>350</v>
      </c>
      <c r="L69" s="2">
        <v>696</v>
      </c>
      <c r="M69" s="2">
        <v>339</v>
      </c>
      <c r="N69" s="2">
        <v>282</v>
      </c>
      <c r="O69" s="2">
        <v>222</v>
      </c>
    </row>
    <row r="70" spans="1:15" x14ac:dyDescent="0.2">
      <c r="A70" s="19">
        <v>31242</v>
      </c>
      <c r="B70" s="2">
        <v>1600</v>
      </c>
      <c r="D70" s="17">
        <v>0.8</v>
      </c>
      <c r="F70" s="2">
        <v>379</v>
      </c>
      <c r="H70" s="2">
        <v>136</v>
      </c>
      <c r="J70" s="2">
        <v>1665</v>
      </c>
      <c r="K70" s="2">
        <v>402</v>
      </c>
      <c r="L70" s="2">
        <v>624</v>
      </c>
      <c r="M70" s="2">
        <v>339</v>
      </c>
      <c r="N70" s="2">
        <v>244</v>
      </c>
      <c r="O70" s="2">
        <v>193</v>
      </c>
    </row>
    <row r="71" spans="1:15" x14ac:dyDescent="0.2">
      <c r="A71" s="19">
        <v>31242</v>
      </c>
      <c r="D71" s="17">
        <v>3</v>
      </c>
      <c r="F71" s="2">
        <v>498</v>
      </c>
      <c r="H71" s="2">
        <v>88</v>
      </c>
      <c r="J71" s="2">
        <v>1628</v>
      </c>
      <c r="K71" s="2">
        <v>352</v>
      </c>
      <c r="L71" s="2">
        <v>685</v>
      </c>
      <c r="M71" s="2">
        <v>338</v>
      </c>
      <c r="N71" s="2">
        <v>242</v>
      </c>
      <c r="O71" s="2">
        <v>148</v>
      </c>
    </row>
    <row r="72" spans="1:15" x14ac:dyDescent="0.2">
      <c r="A72" s="19">
        <v>31242</v>
      </c>
      <c r="D72" s="17"/>
      <c r="F72" s="2">
        <v>455</v>
      </c>
      <c r="H72" s="2">
        <v>100</v>
      </c>
      <c r="J72" s="2">
        <v>1619</v>
      </c>
      <c r="K72" s="2">
        <v>347</v>
      </c>
      <c r="L72" s="2">
        <v>688</v>
      </c>
      <c r="M72" s="2">
        <v>336</v>
      </c>
      <c r="N72" s="2">
        <v>270</v>
      </c>
      <c r="O72" s="2">
        <v>403</v>
      </c>
    </row>
    <row r="73" spans="1:15" x14ac:dyDescent="0.2">
      <c r="A73" s="19">
        <v>31242</v>
      </c>
      <c r="D73" s="17">
        <v>0.8</v>
      </c>
      <c r="F73" s="2">
        <v>345</v>
      </c>
      <c r="H73" s="2">
        <v>104</v>
      </c>
      <c r="J73" s="2">
        <v>1711</v>
      </c>
      <c r="K73" s="2">
        <v>466</v>
      </c>
      <c r="L73" s="2">
        <v>608</v>
      </c>
      <c r="M73" s="2">
        <v>349</v>
      </c>
      <c r="N73" s="2">
        <v>260</v>
      </c>
      <c r="O73" s="2">
        <v>158</v>
      </c>
    </row>
    <row r="75" spans="1:15" x14ac:dyDescent="0.2">
      <c r="A75" s="2" t="s">
        <v>1180</v>
      </c>
      <c r="D75" s="17"/>
    </row>
    <row r="76" spans="1:15" x14ac:dyDescent="0.2">
      <c r="A76" s="19">
        <f>DATE(85,7,15)</f>
        <v>31243</v>
      </c>
      <c r="B76" s="2">
        <v>1550</v>
      </c>
      <c r="D76" s="17">
        <v>0.8</v>
      </c>
      <c r="F76" s="2">
        <v>389</v>
      </c>
      <c r="H76" s="2">
        <v>141</v>
      </c>
      <c r="J76" s="2">
        <v>1706</v>
      </c>
      <c r="K76" s="2">
        <v>372</v>
      </c>
      <c r="L76" s="2">
        <v>675</v>
      </c>
      <c r="M76" s="2">
        <v>338</v>
      </c>
    </row>
    <row r="77" spans="1:15" x14ac:dyDescent="0.2">
      <c r="A77" s="19">
        <f>DATE(85,7,15)</f>
        <v>31243</v>
      </c>
      <c r="B77" s="2">
        <v>1700</v>
      </c>
      <c r="D77" s="17">
        <v>0.6</v>
      </c>
      <c r="F77" s="2">
        <v>414</v>
      </c>
      <c r="H77" s="2">
        <v>126</v>
      </c>
      <c r="J77" s="2">
        <v>1700</v>
      </c>
      <c r="K77" s="2">
        <v>402</v>
      </c>
      <c r="L77" s="2">
        <v>648</v>
      </c>
      <c r="M77" s="2">
        <v>342</v>
      </c>
      <c r="N77" s="2">
        <v>221</v>
      </c>
      <c r="O77" s="2">
        <v>148</v>
      </c>
    </row>
    <row r="78" spans="1:15" x14ac:dyDescent="0.2">
      <c r="A78" s="19">
        <f>DATE(85,7,16)</f>
        <v>31244</v>
      </c>
      <c r="B78" s="2">
        <v>1435</v>
      </c>
      <c r="D78" s="17">
        <v>1.9</v>
      </c>
      <c r="F78" s="2">
        <v>437</v>
      </c>
      <c r="H78" s="2">
        <v>93</v>
      </c>
      <c r="J78" s="2">
        <v>1623</v>
      </c>
      <c r="K78" s="2">
        <v>363</v>
      </c>
      <c r="L78" s="2">
        <v>732</v>
      </c>
      <c r="M78" s="2">
        <v>339</v>
      </c>
      <c r="N78" s="2">
        <v>222</v>
      </c>
      <c r="O78" s="2">
        <v>170</v>
      </c>
    </row>
    <row r="79" spans="1:15" x14ac:dyDescent="0.2">
      <c r="A79" s="19">
        <f>DATE(85,7,16)</f>
        <v>31244</v>
      </c>
      <c r="B79" s="2">
        <v>1540</v>
      </c>
      <c r="D79" s="17">
        <v>3.1</v>
      </c>
      <c r="F79" s="2">
        <v>416</v>
      </c>
      <c r="H79" s="2">
        <v>112</v>
      </c>
      <c r="J79" s="2">
        <v>1627</v>
      </c>
      <c r="K79" s="2">
        <v>350</v>
      </c>
      <c r="L79" s="2">
        <v>721</v>
      </c>
      <c r="M79" s="2">
        <v>342</v>
      </c>
      <c r="N79" s="2">
        <v>224</v>
      </c>
      <c r="O79" s="2">
        <v>148</v>
      </c>
    </row>
    <row r="80" spans="1:15" x14ac:dyDescent="0.2">
      <c r="A80" s="19">
        <f>DATE(85,7,17)</f>
        <v>31245</v>
      </c>
      <c r="B80" s="2">
        <v>1310</v>
      </c>
      <c r="D80" s="17">
        <v>6.4</v>
      </c>
      <c r="F80" s="2">
        <v>410</v>
      </c>
      <c r="H80" s="2">
        <v>111</v>
      </c>
      <c r="J80" s="2">
        <v>1625</v>
      </c>
      <c r="K80" s="2">
        <v>370</v>
      </c>
      <c r="L80" s="2">
        <v>683</v>
      </c>
      <c r="M80" s="2">
        <v>338</v>
      </c>
      <c r="N80" s="2">
        <v>224</v>
      </c>
      <c r="O80" s="2">
        <v>155</v>
      </c>
    </row>
    <row r="81" spans="1:15" x14ac:dyDescent="0.2">
      <c r="A81" s="19">
        <f>DATE(85,7,17)</f>
        <v>31245</v>
      </c>
      <c r="B81" s="2">
        <v>1630</v>
      </c>
      <c r="D81" s="17">
        <v>2</v>
      </c>
      <c r="F81" s="2">
        <v>428</v>
      </c>
      <c r="H81" s="2">
        <v>102</v>
      </c>
      <c r="J81" s="2">
        <v>1627</v>
      </c>
      <c r="K81" s="2">
        <v>365</v>
      </c>
      <c r="L81" s="2">
        <v>675</v>
      </c>
      <c r="M81" s="2">
        <v>340</v>
      </c>
      <c r="N81" s="2">
        <v>225</v>
      </c>
      <c r="O81" s="2">
        <v>160</v>
      </c>
    </row>
    <row r="82" spans="1:15" x14ac:dyDescent="0.2">
      <c r="A82" s="19">
        <f>DATE(85,7,17)</f>
        <v>31245</v>
      </c>
      <c r="B82" s="2">
        <v>1623</v>
      </c>
      <c r="D82" s="17">
        <v>0.3</v>
      </c>
      <c r="F82" s="2">
        <v>432</v>
      </c>
      <c r="H82" s="2">
        <v>98</v>
      </c>
      <c r="J82" s="2">
        <v>1635</v>
      </c>
      <c r="K82" s="2">
        <v>369</v>
      </c>
      <c r="L82" s="2">
        <v>661</v>
      </c>
      <c r="M82" s="2">
        <v>341</v>
      </c>
      <c r="N82" s="2">
        <v>222</v>
      </c>
      <c r="O82" s="2">
        <v>161</v>
      </c>
    </row>
    <row r="83" spans="1:15" x14ac:dyDescent="0.2">
      <c r="A83" s="19">
        <f>DATE(85,7,18)</f>
        <v>31246</v>
      </c>
      <c r="B83" s="2">
        <v>1700</v>
      </c>
      <c r="D83" s="17">
        <v>0.5</v>
      </c>
      <c r="F83" s="2">
        <v>385</v>
      </c>
      <c r="H83" s="2">
        <v>112</v>
      </c>
      <c r="J83" s="2">
        <v>1733</v>
      </c>
      <c r="K83" s="2">
        <v>412</v>
      </c>
      <c r="L83" s="2">
        <v>622</v>
      </c>
      <c r="M83" s="2">
        <v>341</v>
      </c>
      <c r="N83" s="2">
        <v>222</v>
      </c>
      <c r="O83" s="2">
        <v>168</v>
      </c>
    </row>
    <row r="84" spans="1:15" x14ac:dyDescent="0.2">
      <c r="A84" s="19">
        <f>DATE(85,7,21)</f>
        <v>31249</v>
      </c>
      <c r="D84" s="17">
        <v>0.9</v>
      </c>
      <c r="F84" s="2">
        <v>371</v>
      </c>
      <c r="H84" s="2">
        <v>105</v>
      </c>
      <c r="J84" s="2">
        <v>1727</v>
      </c>
      <c r="K84" s="2">
        <v>426</v>
      </c>
      <c r="L84" s="2">
        <v>687</v>
      </c>
      <c r="M84" s="2">
        <v>342</v>
      </c>
      <c r="N84" s="2">
        <v>221</v>
      </c>
      <c r="O84" s="2">
        <v>198</v>
      </c>
    </row>
    <row r="85" spans="1:15" x14ac:dyDescent="0.2">
      <c r="A85" s="19"/>
      <c r="D85" s="17"/>
    </row>
  </sheetData>
  <pageMargins left="0.5" right="0.5" top="0.75" bottom="0.75" header="0.5" footer="0.5"/>
  <pageSetup orientation="portrait" horizontalDpi="0" verticalDpi="0" copies="0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5"/>
  <sheetViews>
    <sheetView showOutlineSymbols="0" defaultGridColor="0" topLeftCell="A10" colorId="9" workbookViewId="0">
      <selection activeCell="A10" sqref="A10"/>
    </sheetView>
  </sheetViews>
  <sheetFormatPr defaultColWidth="8.6640625" defaultRowHeight="15" x14ac:dyDescent="0.2"/>
  <cols>
    <col min="1" max="16384" width="8.6640625" style="2"/>
  </cols>
  <sheetData>
    <row r="1" spans="1:18" ht="15.75" x14ac:dyDescent="0.25">
      <c r="A1" s="6" t="s">
        <v>1181</v>
      </c>
      <c r="R1" s="2" t="s">
        <v>1</v>
      </c>
    </row>
    <row r="2" spans="1:18" x14ac:dyDescent="0.2">
      <c r="A2" s="2" t="s">
        <v>1182</v>
      </c>
      <c r="R2" s="2" t="s">
        <v>1</v>
      </c>
    </row>
    <row r="3" spans="1:18" x14ac:dyDescent="0.2">
      <c r="R3" s="2" t="s">
        <v>1</v>
      </c>
    </row>
    <row r="4" spans="1:18" x14ac:dyDescent="0.2">
      <c r="R4" s="2" t="s">
        <v>1</v>
      </c>
    </row>
    <row r="5" spans="1:18" x14ac:dyDescent="0.2">
      <c r="R5" s="2" t="s">
        <v>1</v>
      </c>
    </row>
    <row r="6" spans="1:18" x14ac:dyDescent="0.2">
      <c r="C6" s="8" t="s">
        <v>283</v>
      </c>
      <c r="D6" s="8" t="s">
        <v>286</v>
      </c>
      <c r="R6" s="2" t="s">
        <v>1</v>
      </c>
    </row>
    <row r="7" spans="1:18" x14ac:dyDescent="0.2">
      <c r="A7" s="20" t="s">
        <v>253</v>
      </c>
      <c r="B7" s="8" t="s">
        <v>287</v>
      </c>
      <c r="C7" s="10" t="s">
        <v>1183</v>
      </c>
      <c r="D7" s="8" t="s">
        <v>1184</v>
      </c>
      <c r="E7" s="10" t="s">
        <v>117</v>
      </c>
      <c r="F7" s="10" t="s">
        <v>118</v>
      </c>
      <c r="G7" s="8" t="s">
        <v>118</v>
      </c>
      <c r="H7" s="10" t="s">
        <v>123</v>
      </c>
      <c r="I7" s="10" t="s">
        <v>134</v>
      </c>
      <c r="J7" s="10" t="s">
        <v>138</v>
      </c>
      <c r="K7" s="10" t="s">
        <v>136</v>
      </c>
      <c r="L7" s="10" t="s">
        <v>130</v>
      </c>
      <c r="M7" s="10" t="s">
        <v>133</v>
      </c>
      <c r="N7" s="10" t="s">
        <v>127</v>
      </c>
      <c r="O7" s="10" t="s">
        <v>121</v>
      </c>
      <c r="P7" s="10" t="s">
        <v>112</v>
      </c>
      <c r="R7" s="2" t="s">
        <v>1</v>
      </c>
    </row>
    <row r="8" spans="1:18" x14ac:dyDescent="0.2">
      <c r="B8" s="8" t="s">
        <v>1185</v>
      </c>
      <c r="C8" s="10" t="s">
        <v>1186</v>
      </c>
      <c r="D8" s="8" t="s">
        <v>105</v>
      </c>
      <c r="E8" s="10" t="s">
        <v>144</v>
      </c>
      <c r="F8" s="10" t="s">
        <v>266</v>
      </c>
      <c r="G8" s="8" t="s">
        <v>266</v>
      </c>
      <c r="H8" s="10" t="s">
        <v>266</v>
      </c>
      <c r="I8" s="10" t="s">
        <v>371</v>
      </c>
      <c r="J8" s="10" t="s">
        <v>266</v>
      </c>
      <c r="K8" s="10" t="s">
        <v>144</v>
      </c>
      <c r="L8" s="10" t="s">
        <v>144</v>
      </c>
      <c r="M8" s="10" t="s">
        <v>144</v>
      </c>
      <c r="N8" s="10" t="s">
        <v>144</v>
      </c>
      <c r="O8" s="10" t="s">
        <v>144</v>
      </c>
      <c r="P8" s="10" t="s">
        <v>144</v>
      </c>
      <c r="R8" s="2" t="s">
        <v>1</v>
      </c>
    </row>
    <row r="9" spans="1:18" x14ac:dyDescent="0.2">
      <c r="A9" s="19"/>
      <c r="R9" s="2" t="s">
        <v>1</v>
      </c>
    </row>
    <row r="10" spans="1:18" x14ac:dyDescent="0.2">
      <c r="A10" s="19">
        <f>DATE(88,8,27)</f>
        <v>32382</v>
      </c>
      <c r="B10" s="2">
        <v>-10</v>
      </c>
      <c r="C10" s="2">
        <v>5</v>
      </c>
      <c r="D10" s="2">
        <v>1750</v>
      </c>
      <c r="E10" s="2">
        <v>506</v>
      </c>
      <c r="F10" s="2">
        <v>136</v>
      </c>
      <c r="H10" s="2">
        <v>1772</v>
      </c>
      <c r="I10" s="2">
        <v>346</v>
      </c>
      <c r="J10" s="2">
        <v>339.7</v>
      </c>
      <c r="K10" s="2">
        <v>486</v>
      </c>
      <c r="L10" s="2">
        <v>305</v>
      </c>
      <c r="M10" s="2">
        <v>49</v>
      </c>
      <c r="N10" s="8" t="s">
        <v>1187</v>
      </c>
      <c r="O10" s="2">
        <v>226</v>
      </c>
      <c r="P10" s="2">
        <v>48</v>
      </c>
      <c r="R10" s="2" t="s">
        <v>1</v>
      </c>
    </row>
    <row r="11" spans="1:18" x14ac:dyDescent="0.2">
      <c r="A11" s="19">
        <f>DATE(88,9,3)</f>
        <v>32389</v>
      </c>
      <c r="B11" s="2">
        <v>-7</v>
      </c>
      <c r="C11" s="8" t="s">
        <v>1188</v>
      </c>
      <c r="D11" s="2">
        <v>1820</v>
      </c>
      <c r="E11" s="2">
        <v>512</v>
      </c>
      <c r="F11" s="2">
        <v>124</v>
      </c>
      <c r="H11" s="2">
        <v>1764</v>
      </c>
      <c r="I11" s="2">
        <v>347</v>
      </c>
      <c r="J11" s="2">
        <v>340.9</v>
      </c>
      <c r="K11" s="2">
        <v>458</v>
      </c>
      <c r="L11" s="2">
        <v>276</v>
      </c>
      <c r="M11" s="2">
        <v>47</v>
      </c>
      <c r="N11" s="2">
        <v>20</v>
      </c>
      <c r="O11" s="2">
        <v>212</v>
      </c>
      <c r="P11" s="2">
        <v>120</v>
      </c>
      <c r="R11" s="2" t="s">
        <v>1</v>
      </c>
    </row>
    <row r="12" spans="1:18" x14ac:dyDescent="0.2">
      <c r="A12" s="19">
        <f>DATE(88,9,11)</f>
        <v>32397</v>
      </c>
      <c r="B12" s="2">
        <v>-10</v>
      </c>
      <c r="C12" s="8" t="s">
        <v>1189</v>
      </c>
      <c r="D12" s="2">
        <v>1530</v>
      </c>
      <c r="E12" s="2">
        <v>506</v>
      </c>
      <c r="F12" s="2">
        <v>126</v>
      </c>
      <c r="H12" s="2">
        <v>1782</v>
      </c>
      <c r="I12" s="2">
        <v>346</v>
      </c>
      <c r="J12" s="2">
        <v>338.6</v>
      </c>
      <c r="K12" s="2">
        <v>457</v>
      </c>
      <c r="L12" s="2">
        <v>280</v>
      </c>
      <c r="M12" s="2">
        <v>48</v>
      </c>
      <c r="N12" s="2">
        <v>17</v>
      </c>
      <c r="O12" s="2">
        <v>223</v>
      </c>
      <c r="P12" s="2">
        <v>139</v>
      </c>
      <c r="R12" s="2" t="s">
        <v>1</v>
      </c>
    </row>
    <row r="13" spans="1:18" x14ac:dyDescent="0.2">
      <c r="A13" s="19">
        <f>DATE(88,9,20)</f>
        <v>32406</v>
      </c>
      <c r="B13" s="2">
        <v>-13</v>
      </c>
      <c r="C13" s="2">
        <v>7</v>
      </c>
      <c r="D13" s="2">
        <v>1500</v>
      </c>
      <c r="E13" s="2">
        <v>494</v>
      </c>
      <c r="F13" s="2">
        <v>107</v>
      </c>
      <c r="H13" s="2">
        <v>1781</v>
      </c>
      <c r="I13" s="2">
        <v>349</v>
      </c>
      <c r="J13" s="2">
        <v>342.2</v>
      </c>
      <c r="K13" s="2">
        <v>458</v>
      </c>
      <c r="L13" s="2">
        <v>273</v>
      </c>
      <c r="M13" s="2">
        <v>46</v>
      </c>
      <c r="N13" s="8" t="s">
        <v>1187</v>
      </c>
      <c r="O13" s="2">
        <v>212</v>
      </c>
      <c r="P13" s="2">
        <v>147</v>
      </c>
      <c r="R13" s="2" t="s">
        <v>1</v>
      </c>
    </row>
    <row r="14" spans="1:18" x14ac:dyDescent="0.2">
      <c r="A14" s="19">
        <f>DATE(88,9,25)</f>
        <v>32411</v>
      </c>
      <c r="B14" s="2">
        <v>-22</v>
      </c>
      <c r="C14" s="2">
        <v>3.7</v>
      </c>
      <c r="D14" s="2">
        <v>1600</v>
      </c>
      <c r="E14" s="2">
        <v>496</v>
      </c>
      <c r="F14" s="2">
        <v>117</v>
      </c>
      <c r="H14" s="2">
        <v>1784</v>
      </c>
      <c r="I14" s="2">
        <v>345</v>
      </c>
      <c r="J14" s="2">
        <v>355.2</v>
      </c>
      <c r="K14" s="2">
        <v>460</v>
      </c>
      <c r="L14" s="2">
        <v>282</v>
      </c>
      <c r="M14" s="2">
        <v>47</v>
      </c>
      <c r="N14" s="2">
        <v>22</v>
      </c>
      <c r="O14" s="2">
        <v>222</v>
      </c>
      <c r="P14" s="8" t="s">
        <v>1187</v>
      </c>
      <c r="R14" s="2" t="s">
        <v>1</v>
      </c>
    </row>
    <row r="15" spans="1:18" x14ac:dyDescent="0.2">
      <c r="A15" s="19">
        <f>DATE(88,10,4)</f>
        <v>32420</v>
      </c>
      <c r="B15" s="8" t="s">
        <v>1190</v>
      </c>
      <c r="C15" s="8" t="s">
        <v>1191</v>
      </c>
      <c r="D15" s="2">
        <v>1520</v>
      </c>
      <c r="E15" s="2">
        <v>508</v>
      </c>
      <c r="F15" s="2">
        <v>118</v>
      </c>
      <c r="H15" s="2">
        <v>1780</v>
      </c>
      <c r="I15" s="2">
        <v>342</v>
      </c>
      <c r="J15" s="2">
        <v>339.1</v>
      </c>
      <c r="K15" s="2">
        <v>456</v>
      </c>
      <c r="L15" s="2">
        <v>281</v>
      </c>
      <c r="M15" s="2">
        <v>47</v>
      </c>
      <c r="N15" s="2">
        <v>19</v>
      </c>
      <c r="O15" s="2">
        <v>215</v>
      </c>
      <c r="P15" s="2">
        <v>165</v>
      </c>
      <c r="R15" s="2" t="s">
        <v>1</v>
      </c>
    </row>
    <row r="16" spans="1:18" x14ac:dyDescent="0.2">
      <c r="A16" s="19">
        <f>DATE(88,10,13)</f>
        <v>32429</v>
      </c>
      <c r="B16" s="8" t="s">
        <v>1192</v>
      </c>
      <c r="C16" s="8" t="s">
        <v>1193</v>
      </c>
      <c r="D16" s="2">
        <v>1120</v>
      </c>
      <c r="E16" s="2">
        <v>490</v>
      </c>
      <c r="F16" s="2">
        <v>98</v>
      </c>
      <c r="H16" s="2">
        <v>1772</v>
      </c>
      <c r="I16" s="2">
        <v>348</v>
      </c>
      <c r="J16" s="2">
        <v>341.1</v>
      </c>
      <c r="K16" s="2">
        <v>462</v>
      </c>
      <c r="L16" s="2">
        <v>279</v>
      </c>
      <c r="M16" s="2">
        <v>46</v>
      </c>
      <c r="N16" s="2">
        <v>25</v>
      </c>
      <c r="O16" s="2">
        <v>210</v>
      </c>
      <c r="P16" s="2">
        <v>76</v>
      </c>
      <c r="R16" s="2" t="s">
        <v>1</v>
      </c>
    </row>
    <row r="17" spans="1:18" x14ac:dyDescent="0.2">
      <c r="A17" s="19">
        <f>DATE(88,10,22)</f>
        <v>32438</v>
      </c>
      <c r="B17" s="8" t="s">
        <v>1194</v>
      </c>
      <c r="C17" s="8" t="s">
        <v>1195</v>
      </c>
      <c r="D17" s="2">
        <v>1315</v>
      </c>
      <c r="E17" s="2">
        <v>508</v>
      </c>
      <c r="F17" s="2">
        <v>133</v>
      </c>
      <c r="H17" s="2">
        <v>1778</v>
      </c>
      <c r="I17" s="2">
        <v>350</v>
      </c>
      <c r="J17" s="2">
        <v>341.9</v>
      </c>
      <c r="K17" s="2">
        <v>468</v>
      </c>
      <c r="L17" s="2">
        <v>288</v>
      </c>
      <c r="M17" s="2">
        <v>50</v>
      </c>
      <c r="N17" s="2">
        <v>16</v>
      </c>
      <c r="O17" s="2">
        <v>225</v>
      </c>
      <c r="P17" s="2">
        <v>148</v>
      </c>
      <c r="R17" s="2" t="s">
        <v>1</v>
      </c>
    </row>
    <row r="18" spans="1:18" x14ac:dyDescent="0.2">
      <c r="A18" s="19">
        <f>DATE(88,10,30)</f>
        <v>32446</v>
      </c>
      <c r="B18" s="8" t="s">
        <v>1196</v>
      </c>
      <c r="C18" s="8" t="s">
        <v>1197</v>
      </c>
      <c r="D18" s="2">
        <v>1515</v>
      </c>
      <c r="E18" s="2">
        <v>508</v>
      </c>
      <c r="F18" s="2">
        <v>120</v>
      </c>
      <c r="H18" s="2">
        <v>1776</v>
      </c>
      <c r="I18" s="2">
        <v>352</v>
      </c>
      <c r="J18" s="2">
        <v>342.3</v>
      </c>
      <c r="K18" s="2">
        <v>464</v>
      </c>
      <c r="L18" s="2">
        <v>279</v>
      </c>
      <c r="M18" s="2">
        <v>46</v>
      </c>
      <c r="N18" s="2">
        <v>24</v>
      </c>
      <c r="O18" s="2">
        <v>219</v>
      </c>
      <c r="P18" s="2">
        <v>97</v>
      </c>
      <c r="R18" s="2" t="s">
        <v>1</v>
      </c>
    </row>
    <row r="19" spans="1:18" x14ac:dyDescent="0.2">
      <c r="A19" s="19">
        <f>DATE(88,11,5)</f>
        <v>32452</v>
      </c>
      <c r="B19" s="8" t="s">
        <v>1196</v>
      </c>
      <c r="C19" s="2">
        <v>15</v>
      </c>
      <c r="D19" s="2">
        <v>1310</v>
      </c>
      <c r="E19" s="2">
        <v>500</v>
      </c>
      <c r="F19" s="2">
        <v>115</v>
      </c>
      <c r="H19" s="2">
        <v>1778</v>
      </c>
      <c r="I19" s="2">
        <v>353</v>
      </c>
      <c r="J19" s="2">
        <v>343.1</v>
      </c>
      <c r="K19" s="2">
        <v>465</v>
      </c>
      <c r="L19" s="2">
        <v>277</v>
      </c>
      <c r="M19" s="2">
        <v>46</v>
      </c>
      <c r="N19" s="2">
        <v>25</v>
      </c>
      <c r="O19" s="2">
        <v>215</v>
      </c>
      <c r="P19" s="2">
        <v>128</v>
      </c>
      <c r="R19" s="2" t="s">
        <v>1</v>
      </c>
    </row>
    <row r="20" spans="1:18" x14ac:dyDescent="0.2">
      <c r="A20" s="19">
        <f>DATE(88,11,17)</f>
        <v>32464</v>
      </c>
      <c r="B20" s="2">
        <v>-25</v>
      </c>
      <c r="C20" s="8" t="s">
        <v>1198</v>
      </c>
      <c r="D20" s="2">
        <v>1030</v>
      </c>
      <c r="E20" s="2">
        <v>490</v>
      </c>
      <c r="F20" s="2">
        <v>121</v>
      </c>
      <c r="H20" s="2">
        <v>1770</v>
      </c>
      <c r="I20" s="2">
        <v>356</v>
      </c>
      <c r="J20" s="2">
        <v>339.9</v>
      </c>
      <c r="K20" s="2">
        <v>461</v>
      </c>
      <c r="L20" s="2">
        <v>278</v>
      </c>
      <c r="M20" s="2">
        <v>47</v>
      </c>
      <c r="N20" s="2">
        <v>18</v>
      </c>
      <c r="O20" s="2">
        <v>214</v>
      </c>
      <c r="P20" s="2">
        <v>130</v>
      </c>
      <c r="R20" s="2" t="s">
        <v>1</v>
      </c>
    </row>
    <row r="21" spans="1:18" x14ac:dyDescent="0.2">
      <c r="A21" s="19">
        <f>DATE(88,11,24)</f>
        <v>32471</v>
      </c>
      <c r="B21" s="2">
        <v>-8</v>
      </c>
      <c r="C21" s="8" t="s">
        <v>1199</v>
      </c>
      <c r="D21" s="2">
        <v>1400</v>
      </c>
      <c r="E21" s="2">
        <v>507</v>
      </c>
      <c r="F21" s="2">
        <v>118</v>
      </c>
      <c r="H21" s="2">
        <v>1772</v>
      </c>
      <c r="I21" s="2">
        <v>354</v>
      </c>
      <c r="J21" s="2">
        <v>340.5</v>
      </c>
      <c r="K21" s="2">
        <v>464</v>
      </c>
      <c r="L21" s="2">
        <v>280</v>
      </c>
      <c r="M21" s="2">
        <v>47</v>
      </c>
      <c r="N21" s="8" t="s">
        <v>1187</v>
      </c>
      <c r="O21" s="2">
        <v>220</v>
      </c>
      <c r="P21" s="2">
        <v>161</v>
      </c>
      <c r="R21" s="2" t="s">
        <v>1</v>
      </c>
    </row>
    <row r="22" spans="1:18" x14ac:dyDescent="0.2">
      <c r="A22" s="19">
        <f>DATE(88,12,4)</f>
        <v>32481</v>
      </c>
      <c r="B22" s="2">
        <v>-44</v>
      </c>
      <c r="C22" s="8" t="s">
        <v>1189</v>
      </c>
      <c r="D22" s="2">
        <v>1445</v>
      </c>
      <c r="E22" s="2">
        <v>504</v>
      </c>
      <c r="F22" s="2">
        <v>136</v>
      </c>
      <c r="H22" s="2">
        <v>1777</v>
      </c>
      <c r="I22" s="2">
        <v>354</v>
      </c>
      <c r="J22" s="2">
        <v>344.6</v>
      </c>
      <c r="K22" s="2">
        <v>469</v>
      </c>
      <c r="L22" s="2">
        <v>280</v>
      </c>
      <c r="M22" s="2">
        <v>48</v>
      </c>
      <c r="N22" s="2">
        <v>20</v>
      </c>
      <c r="O22" s="2">
        <v>221</v>
      </c>
      <c r="P22" s="2">
        <v>6</v>
      </c>
      <c r="R22" s="2" t="s">
        <v>1</v>
      </c>
    </row>
    <row r="23" spans="1:18" x14ac:dyDescent="0.2">
      <c r="A23" s="19">
        <f>DATE(88,12,18)</f>
        <v>32495</v>
      </c>
      <c r="B23" s="2">
        <v>-28</v>
      </c>
      <c r="C23" s="8" t="s">
        <v>1200</v>
      </c>
      <c r="D23" s="2">
        <v>1330</v>
      </c>
      <c r="E23" s="2">
        <v>505</v>
      </c>
      <c r="F23" s="2">
        <v>150</v>
      </c>
      <c r="H23" s="2">
        <v>1787</v>
      </c>
      <c r="I23" s="2">
        <v>357</v>
      </c>
      <c r="J23" s="2">
        <v>343.6</v>
      </c>
      <c r="K23" s="2">
        <v>470</v>
      </c>
      <c r="L23" s="2">
        <v>284</v>
      </c>
      <c r="M23" s="2">
        <v>48</v>
      </c>
      <c r="N23" s="8" t="s">
        <v>1187</v>
      </c>
      <c r="O23" s="2">
        <v>222</v>
      </c>
      <c r="P23" s="2">
        <v>134</v>
      </c>
      <c r="R23" s="2" t="s">
        <v>1</v>
      </c>
    </row>
    <row r="24" spans="1:18" x14ac:dyDescent="0.2">
      <c r="A24" s="19">
        <f>DATE(88,12,27)</f>
        <v>32504</v>
      </c>
      <c r="B24" s="2">
        <v>-47</v>
      </c>
      <c r="C24" s="8" t="s">
        <v>1201</v>
      </c>
      <c r="D24" s="2">
        <v>1430</v>
      </c>
      <c r="E24" s="2">
        <v>504</v>
      </c>
      <c r="F24" s="2">
        <v>203</v>
      </c>
      <c r="H24" s="2">
        <v>1776</v>
      </c>
      <c r="I24" s="2">
        <v>356</v>
      </c>
      <c r="J24" s="2">
        <v>342.1</v>
      </c>
      <c r="K24" s="2">
        <v>466</v>
      </c>
      <c r="L24" s="2">
        <v>279</v>
      </c>
      <c r="M24" s="2">
        <v>48</v>
      </c>
      <c r="N24" s="2">
        <v>21</v>
      </c>
      <c r="O24" s="2">
        <v>217</v>
      </c>
      <c r="P24" s="2">
        <v>0</v>
      </c>
      <c r="R24" s="2" t="s">
        <v>1</v>
      </c>
    </row>
    <row r="25" spans="1:18" x14ac:dyDescent="0.2">
      <c r="A25" s="19">
        <f>DATE(89,1,3)</f>
        <v>32511</v>
      </c>
      <c r="B25" s="2">
        <v>-38</v>
      </c>
      <c r="C25" s="8" t="s">
        <v>1202</v>
      </c>
      <c r="D25" s="2">
        <v>1015</v>
      </c>
      <c r="E25" s="2">
        <v>503</v>
      </c>
      <c r="F25" s="2">
        <v>151</v>
      </c>
      <c r="G25" s="2">
        <v>161</v>
      </c>
      <c r="H25" s="2">
        <v>1790</v>
      </c>
      <c r="I25" s="2">
        <v>354</v>
      </c>
      <c r="J25" s="2">
        <v>343.5</v>
      </c>
      <c r="K25" s="2">
        <v>464</v>
      </c>
      <c r="L25" s="2">
        <v>283</v>
      </c>
      <c r="M25" s="2">
        <v>49</v>
      </c>
      <c r="O25" s="2">
        <v>215</v>
      </c>
      <c r="R25" s="2" t="s">
        <v>1</v>
      </c>
    </row>
    <row r="26" spans="1:18" x14ac:dyDescent="0.2">
      <c r="A26" s="19">
        <f>DATE(89,1,10)</f>
        <v>32518</v>
      </c>
      <c r="B26" s="2">
        <v>-26</v>
      </c>
      <c r="C26" s="2">
        <v>4</v>
      </c>
      <c r="D26" s="2">
        <v>1100</v>
      </c>
      <c r="E26" s="2">
        <v>479</v>
      </c>
      <c r="F26" s="2">
        <v>146</v>
      </c>
      <c r="G26" s="2">
        <v>147</v>
      </c>
      <c r="H26" s="2">
        <v>1795</v>
      </c>
      <c r="I26" s="2">
        <v>356</v>
      </c>
      <c r="J26" s="2">
        <v>339.7</v>
      </c>
      <c r="K26" s="2">
        <v>462</v>
      </c>
      <c r="L26" s="2">
        <v>285</v>
      </c>
      <c r="M26" s="2">
        <v>49</v>
      </c>
      <c r="N26" s="2">
        <v>28</v>
      </c>
      <c r="O26" s="2">
        <v>221</v>
      </c>
      <c r="P26" s="2">
        <v>163</v>
      </c>
      <c r="R26" s="2" t="s">
        <v>1</v>
      </c>
    </row>
    <row r="27" spans="1:18" x14ac:dyDescent="0.2">
      <c r="A27" s="19">
        <f>DATE(89,1,17)</f>
        <v>32525</v>
      </c>
      <c r="B27" s="2">
        <v>-27</v>
      </c>
      <c r="C27" s="8" t="s">
        <v>1201</v>
      </c>
      <c r="D27" s="2">
        <v>1245</v>
      </c>
      <c r="E27" s="2">
        <v>500</v>
      </c>
      <c r="F27" s="2">
        <v>146</v>
      </c>
      <c r="G27" s="2">
        <v>147</v>
      </c>
      <c r="H27" s="2">
        <v>1790</v>
      </c>
      <c r="I27" s="2">
        <v>355</v>
      </c>
      <c r="J27" s="2">
        <v>338.5</v>
      </c>
      <c r="K27" s="2">
        <v>458</v>
      </c>
      <c r="L27" s="2">
        <v>282</v>
      </c>
      <c r="M27" s="2">
        <v>48</v>
      </c>
      <c r="N27" s="2">
        <v>23</v>
      </c>
      <c r="O27" s="2">
        <v>219</v>
      </c>
      <c r="P27" s="2">
        <v>162</v>
      </c>
      <c r="R27" s="2" t="s">
        <v>1</v>
      </c>
    </row>
    <row r="28" spans="1:18" x14ac:dyDescent="0.2">
      <c r="A28" s="19">
        <f>DATE(89,1,24)</f>
        <v>32532</v>
      </c>
      <c r="B28" s="2">
        <v>-28</v>
      </c>
      <c r="C28" s="8" t="s">
        <v>1203</v>
      </c>
      <c r="D28" s="2">
        <v>950</v>
      </c>
      <c r="E28" s="2">
        <v>491</v>
      </c>
      <c r="F28" s="2">
        <v>157</v>
      </c>
      <c r="G28" s="2">
        <v>173</v>
      </c>
      <c r="H28" s="2">
        <v>1800</v>
      </c>
      <c r="I28" s="2">
        <v>356</v>
      </c>
      <c r="J28" s="2">
        <v>340.7</v>
      </c>
      <c r="K28" s="2">
        <v>464</v>
      </c>
      <c r="L28" s="2">
        <v>285</v>
      </c>
      <c r="M28" s="2">
        <v>49</v>
      </c>
      <c r="O28" s="2">
        <v>223</v>
      </c>
      <c r="P28" s="2">
        <v>75</v>
      </c>
      <c r="R28" s="2" t="s">
        <v>1</v>
      </c>
    </row>
    <row r="29" spans="1:18" x14ac:dyDescent="0.2">
      <c r="A29" s="19">
        <f>DATE(89,1,29)</f>
        <v>32537</v>
      </c>
      <c r="B29" s="2">
        <v>-43</v>
      </c>
      <c r="C29" s="8" t="s">
        <v>1204</v>
      </c>
      <c r="D29" s="2">
        <v>1430</v>
      </c>
      <c r="E29" s="2">
        <v>513</v>
      </c>
      <c r="F29" s="2">
        <v>151</v>
      </c>
      <c r="H29" s="2">
        <v>1790</v>
      </c>
      <c r="I29" s="2">
        <v>356</v>
      </c>
      <c r="J29" s="2">
        <v>339.6</v>
      </c>
      <c r="K29" s="2">
        <v>462</v>
      </c>
      <c r="L29" s="2">
        <v>350</v>
      </c>
      <c r="M29" s="2">
        <v>48</v>
      </c>
      <c r="N29" s="2">
        <v>27</v>
      </c>
      <c r="O29" s="2">
        <v>240</v>
      </c>
      <c r="P29" s="2">
        <v>162</v>
      </c>
      <c r="R29" s="2" t="s">
        <v>1</v>
      </c>
    </row>
    <row r="30" spans="1:18" x14ac:dyDescent="0.2">
      <c r="A30" s="19">
        <f>DATE(89,2,5)</f>
        <v>32544</v>
      </c>
      <c r="B30" s="2">
        <v>-37</v>
      </c>
      <c r="C30" s="8" t="s">
        <v>1205</v>
      </c>
      <c r="D30" s="2">
        <v>1630</v>
      </c>
      <c r="E30" s="2">
        <v>497</v>
      </c>
      <c r="F30" s="2">
        <v>141</v>
      </c>
      <c r="G30" s="2">
        <v>148</v>
      </c>
      <c r="H30" s="2">
        <v>1793</v>
      </c>
      <c r="I30" s="2">
        <v>357</v>
      </c>
      <c r="J30" s="2">
        <v>342.8</v>
      </c>
      <c r="K30" s="2">
        <v>463</v>
      </c>
      <c r="L30" s="2">
        <v>282</v>
      </c>
      <c r="M30" s="2">
        <v>48</v>
      </c>
      <c r="N30" s="2">
        <v>26</v>
      </c>
      <c r="O30" s="2">
        <v>219</v>
      </c>
      <c r="P30" s="2">
        <v>2</v>
      </c>
      <c r="R30" s="2" t="s">
        <v>1</v>
      </c>
    </row>
    <row r="31" spans="1:18" x14ac:dyDescent="0.2">
      <c r="A31" s="19">
        <f>DATE(89,2,12)</f>
        <v>32551</v>
      </c>
      <c r="B31" s="2">
        <v>-40</v>
      </c>
      <c r="C31" s="8" t="s">
        <v>1206</v>
      </c>
      <c r="D31" s="2">
        <v>1415</v>
      </c>
      <c r="E31" s="2">
        <v>506</v>
      </c>
      <c r="F31" s="2">
        <v>162</v>
      </c>
      <c r="G31" s="2">
        <v>170</v>
      </c>
      <c r="H31" s="2">
        <v>1822</v>
      </c>
      <c r="I31" s="2">
        <v>358</v>
      </c>
      <c r="J31" s="2">
        <v>343.7</v>
      </c>
      <c r="K31" s="2">
        <v>468</v>
      </c>
      <c r="L31" s="2">
        <v>285</v>
      </c>
      <c r="M31" s="2">
        <v>49</v>
      </c>
      <c r="N31" s="2">
        <v>31</v>
      </c>
      <c r="O31" s="2">
        <v>222</v>
      </c>
      <c r="R31" s="2" t="s">
        <v>1</v>
      </c>
    </row>
    <row r="32" spans="1:18" x14ac:dyDescent="0.2">
      <c r="A32" s="19">
        <f>DATE(89,2,19)</f>
        <v>32558</v>
      </c>
      <c r="B32" s="2">
        <v>-24</v>
      </c>
      <c r="C32" s="2">
        <v>5</v>
      </c>
      <c r="D32" s="2">
        <v>1450</v>
      </c>
      <c r="E32" s="2">
        <v>514</v>
      </c>
      <c r="F32" s="2">
        <v>174</v>
      </c>
      <c r="G32" s="2">
        <v>198</v>
      </c>
      <c r="H32" s="2">
        <v>1798</v>
      </c>
      <c r="I32" s="2">
        <v>356</v>
      </c>
      <c r="J32" s="2">
        <v>342.9</v>
      </c>
      <c r="K32" s="2">
        <v>464</v>
      </c>
      <c r="L32" s="2">
        <v>283</v>
      </c>
      <c r="M32" s="2">
        <v>48</v>
      </c>
      <c r="N32" s="2">
        <v>27</v>
      </c>
      <c r="O32" s="2">
        <v>221</v>
      </c>
      <c r="P32" s="2">
        <v>20</v>
      </c>
      <c r="R32" s="2" t="s">
        <v>1</v>
      </c>
    </row>
    <row r="33" spans="1:18" x14ac:dyDescent="0.2">
      <c r="A33" s="19">
        <f>DATE(89,2,26)</f>
        <v>32565</v>
      </c>
      <c r="B33" s="2">
        <v>-10</v>
      </c>
      <c r="C33" s="8" t="s">
        <v>1207</v>
      </c>
      <c r="D33" s="2">
        <v>1615</v>
      </c>
      <c r="E33" s="2">
        <v>519</v>
      </c>
      <c r="F33" s="2">
        <v>172</v>
      </c>
      <c r="G33" s="2">
        <v>168</v>
      </c>
      <c r="H33" s="2">
        <v>1803</v>
      </c>
      <c r="I33" s="2">
        <v>358</v>
      </c>
      <c r="J33" s="2">
        <v>342.8</v>
      </c>
      <c r="K33" s="2">
        <v>471</v>
      </c>
      <c r="L33" s="2">
        <v>282</v>
      </c>
      <c r="M33" s="2">
        <v>49</v>
      </c>
      <c r="N33" s="2">
        <v>27</v>
      </c>
      <c r="O33" s="2">
        <v>258</v>
      </c>
      <c r="P33" s="2">
        <v>131</v>
      </c>
      <c r="R33" s="2" t="s">
        <v>1</v>
      </c>
    </row>
    <row r="34" spans="1:18" x14ac:dyDescent="0.2">
      <c r="A34" s="19">
        <f>DATE(89,3,5)</f>
        <v>32572</v>
      </c>
      <c r="B34" s="2">
        <v>-42</v>
      </c>
      <c r="C34" s="2">
        <v>10</v>
      </c>
      <c r="D34" s="2">
        <v>1025</v>
      </c>
      <c r="E34" s="2">
        <v>516</v>
      </c>
      <c r="F34" s="2">
        <v>190</v>
      </c>
      <c r="G34" s="2">
        <v>185</v>
      </c>
      <c r="H34" s="2">
        <v>1804</v>
      </c>
      <c r="I34" s="2">
        <v>357</v>
      </c>
      <c r="J34" s="2">
        <v>344.1</v>
      </c>
      <c r="K34" s="2">
        <v>480</v>
      </c>
      <c r="L34" s="2">
        <v>279</v>
      </c>
      <c r="M34" s="2">
        <v>48</v>
      </c>
      <c r="N34" s="2">
        <v>20</v>
      </c>
      <c r="O34" s="2">
        <v>217</v>
      </c>
      <c r="R34" s="2" t="s">
        <v>1</v>
      </c>
    </row>
    <row r="35" spans="1:18" x14ac:dyDescent="0.2">
      <c r="A35" s="19">
        <f>DATE(89,3,19)</f>
        <v>32586</v>
      </c>
      <c r="B35" s="2">
        <v>-20</v>
      </c>
      <c r="C35" s="2">
        <v>5</v>
      </c>
      <c r="D35" s="2">
        <v>1400</v>
      </c>
      <c r="E35" s="2">
        <v>519</v>
      </c>
      <c r="F35" s="2">
        <v>165</v>
      </c>
      <c r="G35" s="2">
        <v>170</v>
      </c>
      <c r="H35" s="2">
        <v>1800</v>
      </c>
      <c r="I35" s="2">
        <v>357</v>
      </c>
      <c r="J35" s="2">
        <v>342.1</v>
      </c>
      <c r="K35" s="2">
        <v>468</v>
      </c>
      <c r="L35" s="2">
        <v>285</v>
      </c>
      <c r="M35" s="2">
        <v>49</v>
      </c>
      <c r="N35" s="2">
        <v>27</v>
      </c>
      <c r="O35" s="2">
        <v>224</v>
      </c>
      <c r="P35" s="2">
        <v>13</v>
      </c>
      <c r="R35" s="2" t="s">
        <v>1</v>
      </c>
    </row>
    <row r="36" spans="1:18" x14ac:dyDescent="0.2">
      <c r="A36" s="19">
        <f>DATE(89,3,22)</f>
        <v>32589</v>
      </c>
      <c r="B36" s="2">
        <v>-13</v>
      </c>
      <c r="C36" s="2">
        <v>6</v>
      </c>
      <c r="D36" s="2">
        <v>1005</v>
      </c>
      <c r="E36" s="2">
        <v>532</v>
      </c>
      <c r="F36" s="2">
        <v>195</v>
      </c>
      <c r="G36" s="2">
        <v>196</v>
      </c>
      <c r="H36" s="2">
        <v>1801</v>
      </c>
      <c r="I36" s="2">
        <v>360</v>
      </c>
      <c r="J36" s="2">
        <v>341.4</v>
      </c>
      <c r="K36" s="2">
        <v>468</v>
      </c>
      <c r="L36" s="2">
        <v>287</v>
      </c>
      <c r="M36" s="2">
        <v>49</v>
      </c>
      <c r="N36" s="2">
        <v>29</v>
      </c>
      <c r="O36" s="2">
        <v>227</v>
      </c>
      <c r="P36" s="2">
        <v>99</v>
      </c>
      <c r="R36" s="2" t="s">
        <v>1</v>
      </c>
    </row>
    <row r="37" spans="1:18" x14ac:dyDescent="0.2">
      <c r="A37" s="19">
        <f>DATE(89,3,26)</f>
        <v>32593</v>
      </c>
      <c r="B37" s="2">
        <v>-12</v>
      </c>
      <c r="C37" s="2">
        <v>7</v>
      </c>
      <c r="D37" s="2">
        <v>1320</v>
      </c>
      <c r="E37" s="2">
        <v>522</v>
      </c>
      <c r="F37" s="2">
        <v>178</v>
      </c>
      <c r="G37" s="2">
        <v>181</v>
      </c>
      <c r="H37" s="2">
        <v>1803</v>
      </c>
      <c r="I37" s="2">
        <v>359</v>
      </c>
      <c r="J37" s="2">
        <v>340.7</v>
      </c>
      <c r="K37" s="2">
        <v>467</v>
      </c>
      <c r="L37" s="2">
        <v>285</v>
      </c>
      <c r="M37" s="2">
        <v>49</v>
      </c>
      <c r="O37" s="2">
        <v>225</v>
      </c>
      <c r="P37" s="2">
        <v>143</v>
      </c>
      <c r="R37" s="2" t="s">
        <v>1</v>
      </c>
    </row>
    <row r="38" spans="1:18" x14ac:dyDescent="0.2">
      <c r="A38" s="19">
        <f>DATE(89,4,5)</f>
        <v>32603</v>
      </c>
      <c r="B38" s="2">
        <v>-3</v>
      </c>
      <c r="C38" s="8" t="s">
        <v>1198</v>
      </c>
      <c r="D38" s="2">
        <v>1600</v>
      </c>
      <c r="E38" s="2">
        <v>524</v>
      </c>
      <c r="F38" s="2">
        <v>165</v>
      </c>
      <c r="G38" s="2">
        <v>169</v>
      </c>
      <c r="H38" s="2">
        <v>1798</v>
      </c>
      <c r="I38" s="2">
        <v>414</v>
      </c>
      <c r="J38" s="2">
        <v>342.6</v>
      </c>
      <c r="K38" s="2">
        <v>467</v>
      </c>
      <c r="L38" s="2">
        <v>288</v>
      </c>
      <c r="M38" s="2">
        <v>49</v>
      </c>
      <c r="N38" s="2">
        <v>30</v>
      </c>
      <c r="O38" s="2">
        <v>224</v>
      </c>
      <c r="P38" s="2">
        <v>101</v>
      </c>
      <c r="R38" s="2" t="s">
        <v>1</v>
      </c>
    </row>
    <row r="39" spans="1:18" x14ac:dyDescent="0.2">
      <c r="A39" s="19">
        <f>DATE(89,4,10)</f>
        <v>32608</v>
      </c>
      <c r="B39" s="2">
        <v>-10</v>
      </c>
      <c r="C39" s="8" t="s">
        <v>1208</v>
      </c>
      <c r="D39" s="2">
        <v>1730</v>
      </c>
      <c r="E39" s="2">
        <v>529</v>
      </c>
      <c r="F39" s="2">
        <v>180</v>
      </c>
      <c r="G39" s="2">
        <v>188</v>
      </c>
      <c r="H39" s="2">
        <v>1799</v>
      </c>
      <c r="I39" s="2">
        <v>355</v>
      </c>
      <c r="J39" s="2">
        <v>342.9</v>
      </c>
      <c r="K39" s="2">
        <v>465</v>
      </c>
      <c r="L39" s="2">
        <v>285</v>
      </c>
      <c r="M39" s="2">
        <v>50</v>
      </c>
      <c r="O39" s="2">
        <v>224</v>
      </c>
      <c r="P39" s="2">
        <v>43</v>
      </c>
      <c r="R39" s="2" t="s">
        <v>1</v>
      </c>
    </row>
    <row r="40" spans="1:18" x14ac:dyDescent="0.2">
      <c r="A40" s="19">
        <f>DATE(89,4,14)</f>
        <v>32612</v>
      </c>
      <c r="B40" s="2">
        <v>-26</v>
      </c>
      <c r="C40" s="8" t="s">
        <v>1209</v>
      </c>
      <c r="D40" s="2">
        <v>1415</v>
      </c>
      <c r="E40" s="2">
        <v>537</v>
      </c>
      <c r="F40" s="2">
        <v>209</v>
      </c>
      <c r="G40" s="2">
        <v>216</v>
      </c>
      <c r="H40" s="2">
        <v>1788</v>
      </c>
      <c r="I40" s="2">
        <v>357</v>
      </c>
      <c r="J40" s="2">
        <v>342.4</v>
      </c>
      <c r="K40" s="2">
        <v>464</v>
      </c>
      <c r="L40" s="2">
        <v>283</v>
      </c>
      <c r="M40" s="2">
        <v>50</v>
      </c>
      <c r="N40" s="2">
        <v>25</v>
      </c>
      <c r="O40" s="2">
        <v>222</v>
      </c>
      <c r="P40" s="2">
        <v>154</v>
      </c>
      <c r="R40" s="2" t="s">
        <v>1</v>
      </c>
    </row>
    <row r="41" spans="1:18" x14ac:dyDescent="0.2">
      <c r="A41" s="19">
        <f>DATE(89,4,20)</f>
        <v>32618</v>
      </c>
      <c r="B41" s="2">
        <v>-6</v>
      </c>
      <c r="C41" s="8" t="s">
        <v>1210</v>
      </c>
      <c r="D41" s="2">
        <v>1930</v>
      </c>
      <c r="E41" s="2">
        <v>508</v>
      </c>
      <c r="F41" s="2">
        <v>132</v>
      </c>
      <c r="G41" s="2">
        <v>146</v>
      </c>
      <c r="H41" s="2">
        <v>1786</v>
      </c>
      <c r="I41" s="2">
        <v>356</v>
      </c>
      <c r="J41" s="2">
        <v>341.9</v>
      </c>
      <c r="K41" s="2">
        <v>467</v>
      </c>
      <c r="L41" s="2">
        <v>279</v>
      </c>
      <c r="M41" s="2">
        <v>49</v>
      </c>
      <c r="O41" s="2">
        <v>221</v>
      </c>
      <c r="P41" s="2">
        <v>149</v>
      </c>
      <c r="R41" s="2" t="s">
        <v>1</v>
      </c>
    </row>
    <row r="42" spans="1:18" x14ac:dyDescent="0.2">
      <c r="A42" s="19">
        <f>DATE(89,4,23)</f>
        <v>32621</v>
      </c>
      <c r="B42" s="2">
        <v>12</v>
      </c>
      <c r="C42" s="8" t="s">
        <v>1189</v>
      </c>
      <c r="D42" s="2">
        <v>1315</v>
      </c>
      <c r="E42" s="2">
        <v>523</v>
      </c>
      <c r="F42" s="2">
        <v>113</v>
      </c>
      <c r="G42" s="2">
        <v>121</v>
      </c>
      <c r="H42" s="2">
        <v>1764</v>
      </c>
      <c r="I42" s="2">
        <v>353</v>
      </c>
      <c r="J42" s="2">
        <v>340.5</v>
      </c>
      <c r="K42" s="2">
        <v>463</v>
      </c>
      <c r="L42" s="2">
        <v>277</v>
      </c>
      <c r="M42" s="2">
        <v>48</v>
      </c>
      <c r="N42" s="2">
        <v>19</v>
      </c>
      <c r="O42" s="2">
        <v>214</v>
      </c>
      <c r="P42" s="2">
        <v>154</v>
      </c>
      <c r="R42" s="2" t="s">
        <v>1</v>
      </c>
    </row>
    <row r="43" spans="1:18" x14ac:dyDescent="0.2">
      <c r="A43" s="19">
        <f>DATE(89,4,27)</f>
        <v>32625</v>
      </c>
      <c r="B43" s="2">
        <v>21</v>
      </c>
      <c r="C43" s="8" t="s">
        <v>1211</v>
      </c>
      <c r="D43" s="2">
        <v>1300</v>
      </c>
      <c r="E43" s="2">
        <v>531</v>
      </c>
      <c r="F43" s="2">
        <v>115</v>
      </c>
      <c r="G43" s="2">
        <v>119</v>
      </c>
      <c r="H43" s="2">
        <v>1758</v>
      </c>
      <c r="I43" s="2">
        <v>357</v>
      </c>
      <c r="J43" s="2">
        <v>341.2</v>
      </c>
      <c r="K43" s="2">
        <v>459</v>
      </c>
      <c r="L43" s="2">
        <v>280</v>
      </c>
      <c r="M43" s="2">
        <v>50</v>
      </c>
      <c r="N43" s="2">
        <v>20</v>
      </c>
      <c r="O43" s="2">
        <v>216</v>
      </c>
      <c r="P43" s="2">
        <v>161</v>
      </c>
      <c r="R43" s="2" t="s">
        <v>1</v>
      </c>
    </row>
    <row r="44" spans="1:18" x14ac:dyDescent="0.2">
      <c r="A44" s="19">
        <f>DATE(89,5,2)</f>
        <v>32630</v>
      </c>
      <c r="B44" s="2">
        <v>-3</v>
      </c>
      <c r="C44" s="8" t="s">
        <v>1188</v>
      </c>
      <c r="D44" s="2">
        <v>1900</v>
      </c>
      <c r="E44" s="2">
        <v>542</v>
      </c>
      <c r="F44" s="2">
        <v>123</v>
      </c>
      <c r="G44" s="2">
        <v>127</v>
      </c>
      <c r="H44" s="2">
        <v>1777</v>
      </c>
      <c r="I44" s="2">
        <v>354</v>
      </c>
      <c r="J44" s="2">
        <v>341.3</v>
      </c>
      <c r="K44" s="2">
        <v>460</v>
      </c>
      <c r="L44" s="2">
        <v>283</v>
      </c>
      <c r="M44" s="2">
        <v>50</v>
      </c>
      <c r="N44" s="2">
        <v>22</v>
      </c>
      <c r="O44" s="2">
        <v>223</v>
      </c>
      <c r="P44" s="2">
        <v>157</v>
      </c>
      <c r="R44" s="2" t="s">
        <v>1</v>
      </c>
    </row>
    <row r="45" spans="1:18" x14ac:dyDescent="0.2">
      <c r="A45" s="19">
        <f>DATE(89,5,12)</f>
        <v>32640</v>
      </c>
      <c r="B45" s="2">
        <v>-14</v>
      </c>
      <c r="C45" s="2">
        <v>4</v>
      </c>
      <c r="D45" s="2">
        <v>1940</v>
      </c>
      <c r="E45" s="2">
        <v>522</v>
      </c>
      <c r="F45" s="2">
        <v>127</v>
      </c>
      <c r="G45" s="2">
        <v>133</v>
      </c>
      <c r="H45" s="2">
        <v>1788</v>
      </c>
      <c r="I45" s="2">
        <v>359</v>
      </c>
      <c r="J45" s="17">
        <v>340.8</v>
      </c>
      <c r="K45" s="2">
        <v>464</v>
      </c>
      <c r="L45" s="2">
        <v>284</v>
      </c>
      <c r="M45" s="2">
        <v>50</v>
      </c>
      <c r="N45" s="2">
        <v>23</v>
      </c>
      <c r="O45" s="2">
        <v>225</v>
      </c>
      <c r="P45" s="2">
        <v>157</v>
      </c>
      <c r="R45" s="2" t="s">
        <v>1</v>
      </c>
    </row>
    <row r="46" spans="1:18" x14ac:dyDescent="0.2">
      <c r="A46" s="19">
        <f>DATE(89,5,19)</f>
        <v>32647</v>
      </c>
      <c r="B46" s="2">
        <v>2</v>
      </c>
      <c r="C46" s="2">
        <v>10</v>
      </c>
      <c r="D46" s="2">
        <v>1530</v>
      </c>
      <c r="E46" s="2">
        <v>525</v>
      </c>
      <c r="F46" s="2">
        <v>119</v>
      </c>
      <c r="G46" s="2">
        <v>125</v>
      </c>
      <c r="H46" s="2">
        <v>1791</v>
      </c>
      <c r="I46" s="2">
        <v>353</v>
      </c>
      <c r="J46" s="17">
        <v>340</v>
      </c>
      <c r="K46" s="2">
        <v>463</v>
      </c>
      <c r="L46" s="2">
        <v>284</v>
      </c>
      <c r="M46" s="2">
        <v>48</v>
      </c>
      <c r="N46" s="2">
        <v>31</v>
      </c>
      <c r="O46" s="2">
        <v>221</v>
      </c>
      <c r="P46" s="2">
        <v>162</v>
      </c>
    </row>
    <row r="47" spans="1:18" x14ac:dyDescent="0.2">
      <c r="A47" s="19">
        <f>DATE(89,5,25)</f>
        <v>32653</v>
      </c>
      <c r="B47" s="2">
        <v>16</v>
      </c>
      <c r="C47" s="8" t="s">
        <v>1212</v>
      </c>
      <c r="D47" s="2">
        <v>1930</v>
      </c>
      <c r="E47" s="2">
        <v>505</v>
      </c>
      <c r="F47" s="2">
        <v>113</v>
      </c>
      <c r="G47" s="2">
        <v>124</v>
      </c>
      <c r="H47" s="2">
        <v>1785</v>
      </c>
      <c r="I47" s="2">
        <v>354</v>
      </c>
      <c r="J47" s="17">
        <v>340</v>
      </c>
      <c r="K47" s="2">
        <v>467</v>
      </c>
      <c r="L47" s="2">
        <v>379</v>
      </c>
      <c r="M47" s="2">
        <v>57</v>
      </c>
      <c r="N47" s="2">
        <v>25</v>
      </c>
      <c r="O47" s="2">
        <v>232</v>
      </c>
      <c r="P47" s="2">
        <v>164</v>
      </c>
    </row>
    <row r="48" spans="1:18" x14ac:dyDescent="0.2">
      <c r="A48" s="19">
        <f>DATE(89,6,5)</f>
        <v>32664</v>
      </c>
      <c r="B48" s="2">
        <v>17</v>
      </c>
      <c r="C48" s="2">
        <v>18</v>
      </c>
      <c r="D48" s="2">
        <v>915</v>
      </c>
      <c r="E48" s="2">
        <v>519</v>
      </c>
      <c r="F48" s="2">
        <v>101</v>
      </c>
      <c r="G48" s="2">
        <v>109</v>
      </c>
      <c r="H48" s="2">
        <v>1770</v>
      </c>
      <c r="I48" s="2">
        <v>354</v>
      </c>
      <c r="J48" s="17">
        <v>339.6</v>
      </c>
      <c r="K48" s="2">
        <v>454</v>
      </c>
      <c r="L48" s="2">
        <v>282</v>
      </c>
      <c r="M48" s="2">
        <v>49</v>
      </c>
      <c r="N48" s="2">
        <v>24</v>
      </c>
      <c r="O48" s="2">
        <v>220</v>
      </c>
      <c r="P48" s="2">
        <v>160</v>
      </c>
    </row>
    <row r="49" spans="1:16" x14ac:dyDescent="0.2">
      <c r="A49" s="19">
        <f>DATE(89,6,11)</f>
        <v>32670</v>
      </c>
      <c r="B49" s="2">
        <v>35</v>
      </c>
      <c r="C49" s="2" t="s">
        <v>1213</v>
      </c>
      <c r="D49" s="2">
        <v>1200</v>
      </c>
      <c r="E49" s="2">
        <v>521</v>
      </c>
      <c r="F49" s="2">
        <v>98</v>
      </c>
      <c r="G49" s="2">
        <v>100</v>
      </c>
      <c r="H49" s="2">
        <v>1767</v>
      </c>
      <c r="I49" s="2">
        <v>350</v>
      </c>
      <c r="J49" s="17">
        <v>341</v>
      </c>
      <c r="K49" s="2">
        <v>469</v>
      </c>
      <c r="L49" s="2">
        <v>286</v>
      </c>
      <c r="M49" s="2">
        <v>51</v>
      </c>
      <c r="N49" s="2">
        <v>19</v>
      </c>
      <c r="O49" s="2">
        <v>222</v>
      </c>
      <c r="P49" s="2">
        <v>160</v>
      </c>
    </row>
    <row r="50" spans="1:16" x14ac:dyDescent="0.2">
      <c r="A50" s="19">
        <f>DATE(89,6,17)</f>
        <v>32676</v>
      </c>
      <c r="B50" s="2">
        <v>30</v>
      </c>
      <c r="C50" s="2">
        <v>9</v>
      </c>
      <c r="D50" s="2">
        <v>1530</v>
      </c>
      <c r="E50" s="2">
        <v>638</v>
      </c>
      <c r="F50" s="2">
        <v>106</v>
      </c>
      <c r="G50" s="2">
        <v>102</v>
      </c>
      <c r="H50" s="2">
        <v>1766</v>
      </c>
      <c r="I50" s="2">
        <v>352</v>
      </c>
      <c r="J50" s="17">
        <v>339</v>
      </c>
      <c r="K50" s="2">
        <v>469</v>
      </c>
      <c r="L50" s="2">
        <v>282</v>
      </c>
      <c r="M50" s="2">
        <v>51</v>
      </c>
      <c r="N50" s="2">
        <v>23</v>
      </c>
      <c r="O50" s="2">
        <v>220</v>
      </c>
      <c r="P50" s="2">
        <v>163</v>
      </c>
    </row>
    <row r="51" spans="1:16" x14ac:dyDescent="0.2">
      <c r="A51" s="19">
        <f>DATE(89,6,27)</f>
        <v>32686</v>
      </c>
      <c r="B51" s="2">
        <v>20</v>
      </c>
      <c r="C51" s="2">
        <v>4</v>
      </c>
      <c r="D51" s="2">
        <v>1550</v>
      </c>
      <c r="E51" s="2">
        <v>517</v>
      </c>
      <c r="F51" s="2">
        <v>84</v>
      </c>
      <c r="G51" s="2">
        <v>85</v>
      </c>
      <c r="H51" s="2">
        <v>1775</v>
      </c>
      <c r="I51" s="2">
        <v>352</v>
      </c>
      <c r="J51" s="17">
        <v>342.4</v>
      </c>
      <c r="K51" s="2">
        <v>471</v>
      </c>
      <c r="L51" s="2">
        <v>284</v>
      </c>
      <c r="M51" s="2">
        <v>51</v>
      </c>
      <c r="O51" s="2">
        <v>220</v>
      </c>
      <c r="P51" s="2">
        <v>146</v>
      </c>
    </row>
    <row r="52" spans="1:16" x14ac:dyDescent="0.2">
      <c r="A52" s="19">
        <f>DATE(89,7,3)</f>
        <v>32692</v>
      </c>
      <c r="B52" s="2">
        <v>32</v>
      </c>
      <c r="C52" s="2">
        <v>10</v>
      </c>
      <c r="D52" s="2">
        <v>1445</v>
      </c>
      <c r="E52" s="2">
        <v>515</v>
      </c>
      <c r="F52" s="2">
        <v>90</v>
      </c>
      <c r="G52" s="2">
        <v>75</v>
      </c>
      <c r="H52" s="2">
        <v>1766</v>
      </c>
      <c r="I52" s="2">
        <v>351</v>
      </c>
      <c r="J52" s="17">
        <v>339.7</v>
      </c>
      <c r="K52" s="2">
        <v>468</v>
      </c>
      <c r="L52" s="2">
        <v>281</v>
      </c>
      <c r="M52" s="2">
        <v>50</v>
      </c>
      <c r="N52" s="2">
        <v>20</v>
      </c>
      <c r="O52" s="2">
        <v>217</v>
      </c>
      <c r="P52" s="2">
        <v>160</v>
      </c>
    </row>
    <row r="53" spans="1:16" x14ac:dyDescent="0.2">
      <c r="A53" s="19">
        <f>DATE(89,7,12)</f>
        <v>32701</v>
      </c>
      <c r="B53" s="2">
        <v>28</v>
      </c>
      <c r="C53" s="2">
        <v>13</v>
      </c>
      <c r="D53" s="2">
        <v>1530</v>
      </c>
      <c r="E53" s="2">
        <v>519</v>
      </c>
      <c r="F53" s="2">
        <v>100</v>
      </c>
      <c r="G53" s="2">
        <v>89</v>
      </c>
      <c r="H53" s="2">
        <v>1768</v>
      </c>
      <c r="I53" s="2">
        <v>351</v>
      </c>
      <c r="J53" s="17">
        <v>339.8</v>
      </c>
      <c r="K53" s="2">
        <v>463</v>
      </c>
      <c r="L53" s="2">
        <v>275</v>
      </c>
      <c r="M53" s="2">
        <v>49</v>
      </c>
      <c r="N53" s="2">
        <v>20</v>
      </c>
      <c r="O53" s="2">
        <v>211</v>
      </c>
      <c r="P53" s="2">
        <v>157</v>
      </c>
    </row>
    <row r="54" spans="1:16" x14ac:dyDescent="0.2">
      <c r="A54" s="19">
        <f>DATE(89,7,16)</f>
        <v>32705</v>
      </c>
      <c r="B54" s="2">
        <v>26</v>
      </c>
      <c r="C54" s="2">
        <v>7</v>
      </c>
      <c r="D54" s="2">
        <v>1830</v>
      </c>
      <c r="E54" s="2">
        <v>525</v>
      </c>
      <c r="F54" s="2">
        <v>84</v>
      </c>
      <c r="G54" s="2">
        <v>81</v>
      </c>
      <c r="H54" s="2">
        <v>1766</v>
      </c>
      <c r="I54" s="2">
        <v>349</v>
      </c>
      <c r="J54" s="17">
        <v>341.7</v>
      </c>
      <c r="K54" s="2">
        <v>469</v>
      </c>
      <c r="L54" s="2">
        <v>282</v>
      </c>
      <c r="M54" s="2">
        <v>50</v>
      </c>
      <c r="N54" s="2">
        <v>24</v>
      </c>
      <c r="O54" s="2">
        <v>218</v>
      </c>
      <c r="P54" s="2">
        <v>161</v>
      </c>
    </row>
    <row r="55" spans="1:16" x14ac:dyDescent="0.2">
      <c r="A55" s="19">
        <f>DATE(89,7,21)</f>
        <v>32710</v>
      </c>
      <c r="B55" s="2">
        <v>14</v>
      </c>
      <c r="C55" s="2">
        <v>6</v>
      </c>
      <c r="D55" s="2">
        <v>915</v>
      </c>
      <c r="E55" s="2">
        <v>509</v>
      </c>
      <c r="F55" s="2">
        <v>87</v>
      </c>
      <c r="G55" s="2">
        <v>93</v>
      </c>
      <c r="H55" s="2">
        <v>1761</v>
      </c>
      <c r="I55" s="2">
        <v>347</v>
      </c>
      <c r="J55" s="17">
        <v>342.1</v>
      </c>
      <c r="K55" s="2">
        <v>469</v>
      </c>
      <c r="L55" s="2">
        <v>280</v>
      </c>
      <c r="M55" s="2">
        <v>49</v>
      </c>
      <c r="O55" s="2">
        <v>216</v>
      </c>
      <c r="P55" s="2">
        <v>161</v>
      </c>
    </row>
    <row r="56" spans="1:16" x14ac:dyDescent="0.2">
      <c r="A56" s="19">
        <f>DATE(89,8,5)</f>
        <v>32725</v>
      </c>
      <c r="B56" s="8" t="s">
        <v>1214</v>
      </c>
      <c r="C56" s="8" t="s">
        <v>1215</v>
      </c>
      <c r="E56" s="2">
        <v>556</v>
      </c>
      <c r="F56" s="2">
        <v>103</v>
      </c>
      <c r="G56" s="2">
        <v>100</v>
      </c>
      <c r="H56" s="2">
        <v>1766</v>
      </c>
      <c r="I56" s="2">
        <v>346</v>
      </c>
      <c r="J56" s="17">
        <v>344.8</v>
      </c>
      <c r="K56" s="2">
        <v>465</v>
      </c>
      <c r="L56" s="2">
        <v>281</v>
      </c>
      <c r="M56" s="2">
        <v>51</v>
      </c>
      <c r="N56" s="2">
        <v>20</v>
      </c>
      <c r="O56" s="2">
        <v>219</v>
      </c>
      <c r="P56" s="2">
        <v>160</v>
      </c>
    </row>
    <row r="57" spans="1:16" x14ac:dyDescent="0.2">
      <c r="A57" s="19">
        <f>DATE(89,8,1)</f>
        <v>32721</v>
      </c>
      <c r="B57" s="2">
        <v>8</v>
      </c>
      <c r="C57" s="2">
        <v>14</v>
      </c>
      <c r="J57" s="17"/>
    </row>
    <row r="58" spans="1:16" x14ac:dyDescent="0.2">
      <c r="A58" s="19"/>
    </row>
    <row r="60" spans="1:16" x14ac:dyDescent="0.2">
      <c r="E60" s="10" t="s">
        <v>117</v>
      </c>
      <c r="F60" s="10" t="s">
        <v>118</v>
      </c>
      <c r="G60" s="8" t="s">
        <v>118</v>
      </c>
      <c r="H60" s="10" t="s">
        <v>123</v>
      </c>
      <c r="I60" s="10" t="s">
        <v>134</v>
      </c>
      <c r="J60" s="10" t="s">
        <v>138</v>
      </c>
      <c r="K60" s="10" t="s">
        <v>136</v>
      </c>
      <c r="L60" s="10" t="s">
        <v>130</v>
      </c>
      <c r="M60" s="10" t="s">
        <v>133</v>
      </c>
      <c r="N60" s="10" t="s">
        <v>127</v>
      </c>
      <c r="O60" s="10" t="s">
        <v>121</v>
      </c>
      <c r="P60" s="10" t="s">
        <v>112</v>
      </c>
    </row>
    <row r="61" spans="1:16" x14ac:dyDescent="0.2">
      <c r="E61" s="10" t="s">
        <v>144</v>
      </c>
      <c r="F61" s="10" t="s">
        <v>266</v>
      </c>
      <c r="G61" s="8" t="s">
        <v>266</v>
      </c>
      <c r="H61" s="10" t="s">
        <v>266</v>
      </c>
      <c r="I61" s="10" t="s">
        <v>371</v>
      </c>
      <c r="J61" s="10" t="s">
        <v>266</v>
      </c>
      <c r="K61" s="10" t="s">
        <v>144</v>
      </c>
      <c r="L61" s="10" t="s">
        <v>144</v>
      </c>
      <c r="M61" s="10" t="s">
        <v>144</v>
      </c>
      <c r="N61" s="10" t="s">
        <v>144</v>
      </c>
      <c r="O61" s="10" t="s">
        <v>144</v>
      </c>
      <c r="P61" s="10" t="s">
        <v>144</v>
      </c>
    </row>
    <row r="63" spans="1:16" x14ac:dyDescent="0.2">
      <c r="A63" s="7">
        <f>AVERAGE(A40:A57)</f>
        <v>32666.444444444445</v>
      </c>
      <c r="B63" s="4"/>
      <c r="E63" s="4">
        <f t="shared" ref="E63:P63" si="0">AVERAGE(E10:E57)</f>
        <v>515.19148936170211</v>
      </c>
      <c r="F63" s="4">
        <f t="shared" si="0"/>
        <v>134.02127659574469</v>
      </c>
      <c r="G63" s="4">
        <f t="shared" si="0"/>
        <v>140.19354838709677</v>
      </c>
      <c r="H63" s="4">
        <f t="shared" si="0"/>
        <v>1782.4893617021276</v>
      </c>
      <c r="I63" s="4">
        <f t="shared" si="0"/>
        <v>354.42553191489361</v>
      </c>
      <c r="J63" s="4">
        <f t="shared" si="0"/>
        <v>341.72340425531917</v>
      </c>
      <c r="K63" s="4">
        <f t="shared" si="0"/>
        <v>465.08510638297872</v>
      </c>
      <c r="L63" s="4">
        <f t="shared" si="0"/>
        <v>285.72340425531917</v>
      </c>
      <c r="M63" s="4">
        <f t="shared" si="0"/>
        <v>48.808510638297875</v>
      </c>
      <c r="N63" s="4">
        <f t="shared" si="0"/>
        <v>23.25</v>
      </c>
      <c r="O63" s="4">
        <f t="shared" si="0"/>
        <v>221.04255319148936</v>
      </c>
      <c r="P63" s="4">
        <f t="shared" si="0"/>
        <v>123.23255813953489</v>
      </c>
    </row>
    <row r="64" spans="1:16" x14ac:dyDescent="0.2">
      <c r="B64" s="4"/>
      <c r="E64" s="4">
        <f t="shared" ref="E64:P64" si="1">STDEV(E10:E57)</f>
        <v>23.381187437648446</v>
      </c>
      <c r="F64" s="4">
        <f t="shared" si="1"/>
        <v>32.485106528391768</v>
      </c>
      <c r="G64" s="4">
        <f t="shared" si="1"/>
        <v>39.193893533592473</v>
      </c>
      <c r="H64" s="4">
        <f t="shared" si="1"/>
        <v>14.26438608750072</v>
      </c>
      <c r="I64" s="4">
        <f t="shared" si="1"/>
        <v>9.846086578258797</v>
      </c>
      <c r="J64" s="4">
        <f t="shared" si="1"/>
        <v>2.5627102472354992</v>
      </c>
      <c r="K64" s="4">
        <f t="shared" si="1"/>
        <v>5.6523553660477504</v>
      </c>
      <c r="L64" s="4">
        <f t="shared" si="1"/>
        <v>17.691439993077928</v>
      </c>
      <c r="M64" s="4">
        <f t="shared" si="1"/>
        <v>1.8254040395192133</v>
      </c>
      <c r="N64" s="4">
        <f t="shared" si="1"/>
        <v>3.9812058474788765</v>
      </c>
      <c r="O64" s="4">
        <f t="shared" si="1"/>
        <v>7.6895113397307817</v>
      </c>
      <c r="P64" s="4">
        <f t="shared" si="1"/>
        <v>52.467603251141171</v>
      </c>
    </row>
    <row r="65" spans="2:16" x14ac:dyDescent="0.2">
      <c r="B65" s="4"/>
      <c r="E65" s="4">
        <f t="shared" ref="E65:P65" si="2">COUNTA(E10:E57)</f>
        <v>47</v>
      </c>
      <c r="F65" s="4">
        <f t="shared" si="2"/>
        <v>47</v>
      </c>
      <c r="G65" s="4">
        <f t="shared" si="2"/>
        <v>31</v>
      </c>
      <c r="H65" s="4">
        <f t="shared" si="2"/>
        <v>47</v>
      </c>
      <c r="I65" s="4">
        <f t="shared" si="2"/>
        <v>47</v>
      </c>
      <c r="J65" s="4">
        <f t="shared" si="2"/>
        <v>47</v>
      </c>
      <c r="K65" s="4">
        <f t="shared" si="2"/>
        <v>47</v>
      </c>
      <c r="L65" s="4">
        <f t="shared" si="2"/>
        <v>47</v>
      </c>
      <c r="M65" s="4">
        <f t="shared" si="2"/>
        <v>47</v>
      </c>
      <c r="N65" s="4">
        <f t="shared" si="2"/>
        <v>40</v>
      </c>
      <c r="O65" s="4">
        <f t="shared" si="2"/>
        <v>47</v>
      </c>
      <c r="P65" s="4">
        <f t="shared" si="2"/>
        <v>44</v>
      </c>
    </row>
  </sheetData>
  <pageMargins left="0.5" right="0.5" top="0.75" bottom="0.75" header="0.5" footer="0.5"/>
  <pageSetup orientation="portrait" horizontalDpi="0" verticalDpi="0" copies="0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8"/>
  <sheetViews>
    <sheetView showOutlineSymbols="0" defaultGridColor="0" colorId="9" workbookViewId="0">
      <selection activeCell="A22" sqref="A22"/>
    </sheetView>
  </sheetViews>
  <sheetFormatPr defaultColWidth="8.6640625" defaultRowHeight="15" x14ac:dyDescent="0.2"/>
  <cols>
    <col min="1" max="16384" width="8.6640625" style="2"/>
  </cols>
  <sheetData>
    <row r="1" spans="1:23" ht="15.75" x14ac:dyDescent="0.25">
      <c r="A1" s="6" t="s">
        <v>1216</v>
      </c>
      <c r="E1" s="8" t="s">
        <v>283</v>
      </c>
      <c r="W1" s="2" t="s">
        <v>1</v>
      </c>
    </row>
    <row r="2" spans="1:23" x14ac:dyDescent="0.2">
      <c r="E2" s="8" t="s">
        <v>368</v>
      </c>
      <c r="W2" s="2" t="s">
        <v>1</v>
      </c>
    </row>
    <row r="3" spans="1:23" x14ac:dyDescent="0.2">
      <c r="A3" s="15" t="s">
        <v>682</v>
      </c>
      <c r="B3" s="21" t="s">
        <v>253</v>
      </c>
      <c r="C3" s="8" t="s">
        <v>286</v>
      </c>
      <c r="D3" s="8" t="s">
        <v>287</v>
      </c>
      <c r="E3" s="8" t="s">
        <v>1217</v>
      </c>
      <c r="G3" s="8" t="s">
        <v>117</v>
      </c>
      <c r="H3" s="8" t="s">
        <v>118</v>
      </c>
      <c r="I3" s="8" t="s">
        <v>118</v>
      </c>
      <c r="J3" s="8" t="s">
        <v>123</v>
      </c>
      <c r="K3" s="8" t="s">
        <v>134</v>
      </c>
      <c r="L3" s="8" t="s">
        <v>138</v>
      </c>
      <c r="M3" s="8" t="s">
        <v>136</v>
      </c>
      <c r="N3" s="8" t="s">
        <v>130</v>
      </c>
      <c r="O3" s="8" t="s">
        <v>133</v>
      </c>
      <c r="P3" s="8" t="s">
        <v>133</v>
      </c>
      <c r="Q3" s="8" t="s">
        <v>127</v>
      </c>
      <c r="R3" s="8" t="s">
        <v>121</v>
      </c>
      <c r="S3" s="8" t="s">
        <v>112</v>
      </c>
      <c r="T3" s="8" t="s">
        <v>115</v>
      </c>
      <c r="U3" s="8" t="s">
        <v>148</v>
      </c>
      <c r="W3" s="2" t="s">
        <v>1</v>
      </c>
    </row>
    <row r="4" spans="1:23" x14ac:dyDescent="0.2">
      <c r="B4" s="19"/>
      <c r="C4" s="8" t="s">
        <v>1184</v>
      </c>
      <c r="D4" s="15" t="s">
        <v>291</v>
      </c>
      <c r="E4" s="8" t="s">
        <v>292</v>
      </c>
      <c r="G4" s="8" t="s">
        <v>266</v>
      </c>
      <c r="H4" s="8" t="s">
        <v>266</v>
      </c>
      <c r="I4" s="8" t="s">
        <v>266</v>
      </c>
      <c r="J4" s="8" t="s">
        <v>266</v>
      </c>
      <c r="K4" s="8" t="s">
        <v>371</v>
      </c>
      <c r="L4" s="8" t="s">
        <v>266</v>
      </c>
      <c r="M4" s="8" t="s">
        <v>144</v>
      </c>
      <c r="N4" s="8" t="s">
        <v>144</v>
      </c>
      <c r="O4" s="8" t="s">
        <v>144</v>
      </c>
      <c r="P4" s="8" t="s">
        <v>144</v>
      </c>
      <c r="Q4" s="8" t="s">
        <v>144</v>
      </c>
      <c r="R4" s="8" t="s">
        <v>144</v>
      </c>
      <c r="S4" s="8" t="s">
        <v>144</v>
      </c>
      <c r="T4" s="8" t="s">
        <v>144</v>
      </c>
      <c r="U4" s="8" t="s">
        <v>144</v>
      </c>
      <c r="W4" s="2" t="s">
        <v>1</v>
      </c>
    </row>
    <row r="5" spans="1:23" x14ac:dyDescent="0.2">
      <c r="B5" s="19"/>
      <c r="W5" s="2" t="s">
        <v>1</v>
      </c>
    </row>
    <row r="6" spans="1:23" x14ac:dyDescent="0.2">
      <c r="A6" s="2" t="s">
        <v>1218</v>
      </c>
      <c r="B6" s="19">
        <f>DATE(89,6,9)</f>
        <v>32668</v>
      </c>
      <c r="C6" s="2">
        <v>842</v>
      </c>
      <c r="D6" s="2">
        <v>-10</v>
      </c>
      <c r="E6" s="8" t="s">
        <v>1219</v>
      </c>
      <c r="G6" s="4">
        <v>513.6</v>
      </c>
      <c r="H6" s="4">
        <v>99.6</v>
      </c>
      <c r="I6" s="4">
        <v>102</v>
      </c>
      <c r="J6" s="4">
        <v>1771</v>
      </c>
      <c r="K6" s="4">
        <v>357.33333333333331</v>
      </c>
      <c r="L6" s="4">
        <v>342.1</v>
      </c>
      <c r="M6" s="4">
        <v>325</v>
      </c>
      <c r="N6" s="4">
        <v>291.33333333333331</v>
      </c>
      <c r="O6" s="4">
        <v>51</v>
      </c>
      <c r="P6" s="4"/>
      <c r="Q6" s="4">
        <v>29</v>
      </c>
      <c r="R6" s="4">
        <v>230.66666666666666</v>
      </c>
      <c r="S6" s="4">
        <v>163.33333333333334</v>
      </c>
      <c r="T6" s="4"/>
      <c r="U6" s="4"/>
      <c r="W6" s="2" t="s">
        <v>1</v>
      </c>
    </row>
    <row r="7" spans="1:23" x14ac:dyDescent="0.2">
      <c r="A7" s="2" t="s">
        <v>1220</v>
      </c>
      <c r="B7" s="19">
        <f>DATE(89,6,16)</f>
        <v>32675</v>
      </c>
      <c r="C7" s="2">
        <v>1617</v>
      </c>
      <c r="D7" s="2">
        <v>-7</v>
      </c>
      <c r="E7" s="8" t="s">
        <v>1221</v>
      </c>
      <c r="G7" s="4">
        <v>515.20000000000005</v>
      </c>
      <c r="H7" s="4">
        <v>96.8</v>
      </c>
      <c r="I7" s="4">
        <v>95</v>
      </c>
      <c r="J7" s="4">
        <v>1770.5</v>
      </c>
      <c r="K7" s="4">
        <v>354</v>
      </c>
      <c r="L7" s="4">
        <v>343.06666666666666</v>
      </c>
      <c r="M7" s="4">
        <v>539</v>
      </c>
      <c r="N7" s="4">
        <v>663</v>
      </c>
      <c r="O7" s="4">
        <v>50</v>
      </c>
      <c r="P7" s="4"/>
      <c r="Q7" s="4">
        <v>33</v>
      </c>
      <c r="R7" s="4">
        <v>801.66666666666663</v>
      </c>
      <c r="S7" s="4">
        <v>153.33333333333334</v>
      </c>
      <c r="T7" s="4"/>
      <c r="U7" s="4"/>
      <c r="W7" s="2" t="s">
        <v>1</v>
      </c>
    </row>
    <row r="8" spans="1:23" x14ac:dyDescent="0.2">
      <c r="A8" s="2" t="s">
        <v>1222</v>
      </c>
      <c r="B8" s="19">
        <f>DATE(89,6,23)</f>
        <v>32682</v>
      </c>
      <c r="C8" s="2">
        <v>2219</v>
      </c>
      <c r="D8" s="2">
        <v>-14</v>
      </c>
      <c r="E8" s="8" t="s">
        <v>1221</v>
      </c>
      <c r="G8" s="4">
        <v>504.6</v>
      </c>
      <c r="H8" s="4">
        <v>91.6</v>
      </c>
      <c r="I8" s="4">
        <v>82.5</v>
      </c>
      <c r="J8" s="4">
        <v>1770</v>
      </c>
      <c r="K8" s="4">
        <v>347</v>
      </c>
      <c r="L8" s="4">
        <v>343</v>
      </c>
      <c r="M8" s="4">
        <v>593.66666666666663</v>
      </c>
      <c r="N8" s="4">
        <v>1063.3333333333333</v>
      </c>
      <c r="O8" s="4">
        <v>69</v>
      </c>
      <c r="P8" s="4"/>
      <c r="Q8" s="4">
        <v>33</v>
      </c>
      <c r="R8" s="4">
        <v>1559.3333333333333</v>
      </c>
      <c r="S8" s="4">
        <v>148.66666666666666</v>
      </c>
      <c r="T8" s="4"/>
      <c r="U8" s="4"/>
      <c r="W8" s="2" t="s">
        <v>1</v>
      </c>
    </row>
    <row r="9" spans="1:23" x14ac:dyDescent="0.2">
      <c r="A9" s="2" t="s">
        <v>1223</v>
      </c>
      <c r="B9" s="19">
        <f>DATE(89,6,30)</f>
        <v>32689</v>
      </c>
      <c r="C9" s="2">
        <v>2149</v>
      </c>
      <c r="D9" s="2">
        <v>-18</v>
      </c>
      <c r="E9" s="8" t="s">
        <v>1189</v>
      </c>
      <c r="G9" s="4">
        <v>519.79999999999995</v>
      </c>
      <c r="H9" s="4">
        <v>100.8</v>
      </c>
      <c r="I9" s="4">
        <v>80</v>
      </c>
      <c r="J9" s="4">
        <v>1769.5</v>
      </c>
      <c r="K9" s="4">
        <v>353</v>
      </c>
      <c r="L9" s="4">
        <v>342.2</v>
      </c>
      <c r="M9" s="4">
        <v>611.33333333333337</v>
      </c>
      <c r="N9" s="4">
        <v>1182</v>
      </c>
      <c r="O9" s="4">
        <v>73</v>
      </c>
      <c r="P9" s="4"/>
      <c r="Q9" s="4">
        <v>34.333333333333336</v>
      </c>
      <c r="R9" s="4">
        <v>1688.3333333333333</v>
      </c>
      <c r="S9" s="4">
        <v>145.33333333333334</v>
      </c>
      <c r="T9" s="4"/>
      <c r="U9" s="4"/>
      <c r="W9" s="2" t="s">
        <v>1</v>
      </c>
    </row>
    <row r="10" spans="1:23" x14ac:dyDescent="0.2">
      <c r="A10" s="2" t="s">
        <v>1224</v>
      </c>
      <c r="B10" s="19">
        <f>DATE(89,7,7)</f>
        <v>32696</v>
      </c>
      <c r="C10" s="2">
        <v>2300</v>
      </c>
      <c r="D10" s="2">
        <v>-9</v>
      </c>
      <c r="E10" s="8" t="s">
        <v>1188</v>
      </c>
      <c r="G10" s="4">
        <v>525.75</v>
      </c>
      <c r="H10" s="4">
        <v>152</v>
      </c>
      <c r="I10" s="4">
        <v>122</v>
      </c>
      <c r="J10" s="4">
        <v>1771</v>
      </c>
      <c r="K10" s="4">
        <v>346.66666666666669</v>
      </c>
      <c r="L10" s="4">
        <v>341.13333333333333</v>
      </c>
      <c r="M10" s="4">
        <v>459.33333333333331</v>
      </c>
      <c r="N10" s="4">
        <v>287</v>
      </c>
      <c r="O10" s="4">
        <v>51</v>
      </c>
      <c r="P10" s="4"/>
      <c r="Q10" s="4">
        <v>22.333333333333332</v>
      </c>
      <c r="R10" s="4">
        <v>217.33333333333334</v>
      </c>
      <c r="S10" s="4">
        <v>162</v>
      </c>
      <c r="T10" s="4"/>
      <c r="U10" s="4"/>
      <c r="W10" s="2" t="s">
        <v>1</v>
      </c>
    </row>
    <row r="11" spans="1:23" x14ac:dyDescent="0.2">
      <c r="A11" s="2" t="s">
        <v>1225</v>
      </c>
      <c r="B11" s="19">
        <f>DATE(89,7,16)</f>
        <v>32705</v>
      </c>
      <c r="C11" s="2">
        <v>1630</v>
      </c>
      <c r="D11" s="2">
        <v>-5</v>
      </c>
      <c r="E11" s="8" t="s">
        <v>1226</v>
      </c>
      <c r="G11" s="4">
        <v>545.75</v>
      </c>
      <c r="H11" s="4">
        <v>121.25</v>
      </c>
      <c r="I11" s="4">
        <v>79.5</v>
      </c>
      <c r="J11" s="4">
        <v>1746.5</v>
      </c>
      <c r="K11" s="4">
        <v>343</v>
      </c>
      <c r="L11" s="4">
        <v>341.05</v>
      </c>
      <c r="M11" s="4">
        <v>470.5</v>
      </c>
      <c r="N11" s="4">
        <v>283.5</v>
      </c>
      <c r="O11" s="4">
        <v>51</v>
      </c>
      <c r="P11" s="4"/>
      <c r="Q11" s="4">
        <v>20</v>
      </c>
      <c r="R11" s="4">
        <v>208</v>
      </c>
      <c r="S11" s="4">
        <v>160</v>
      </c>
      <c r="T11" s="4"/>
      <c r="U11" s="4"/>
      <c r="W11" s="2" t="s">
        <v>1</v>
      </c>
    </row>
    <row r="12" spans="1:23" x14ac:dyDescent="0.2">
      <c r="A12" s="2" t="s">
        <v>1227</v>
      </c>
      <c r="B12" s="19">
        <f>DATE(89,7,21)</f>
        <v>32710</v>
      </c>
      <c r="C12" s="2">
        <v>1020</v>
      </c>
      <c r="D12" s="2">
        <v>-8</v>
      </c>
      <c r="E12" s="8" t="s">
        <v>1228</v>
      </c>
      <c r="G12" s="4">
        <v>516.4</v>
      </c>
      <c r="H12" s="4">
        <v>86.8</v>
      </c>
      <c r="I12" s="4">
        <v>81.666666666666671</v>
      </c>
      <c r="J12" s="4">
        <v>1762.3333333333333</v>
      </c>
      <c r="K12" s="4">
        <v>347.33333333333331</v>
      </c>
      <c r="L12" s="4">
        <v>341.86666666666667</v>
      </c>
      <c r="M12" s="4">
        <v>496.66666666666669</v>
      </c>
      <c r="N12" s="4">
        <v>501</v>
      </c>
      <c r="O12" s="4">
        <v>56.333333333333336</v>
      </c>
      <c r="P12" s="4"/>
      <c r="Q12" s="4">
        <v>29</v>
      </c>
      <c r="R12" s="4">
        <v>144.66666666666666</v>
      </c>
      <c r="S12" s="4">
        <v>148.66666666666666</v>
      </c>
      <c r="T12" s="4"/>
      <c r="U12" s="4"/>
      <c r="W12" s="2" t="s">
        <v>1</v>
      </c>
    </row>
    <row r="13" spans="1:23" x14ac:dyDescent="0.2">
      <c r="A13" s="2" t="s">
        <v>1229</v>
      </c>
      <c r="B13" s="19">
        <f>DATE(89,7,28)</f>
        <v>32717</v>
      </c>
      <c r="C13" s="2">
        <v>1250</v>
      </c>
      <c r="G13" s="4">
        <v>495</v>
      </c>
      <c r="H13" s="4">
        <v>82</v>
      </c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W13" s="2" t="s">
        <v>1</v>
      </c>
    </row>
    <row r="14" spans="1:23" x14ac:dyDescent="0.2">
      <c r="A14" s="2" t="s">
        <v>1230</v>
      </c>
      <c r="B14" s="19">
        <f>DATE(89,8,2)</f>
        <v>32722</v>
      </c>
      <c r="C14" s="2">
        <v>1445</v>
      </c>
      <c r="D14" s="2">
        <v>-13</v>
      </c>
      <c r="E14" s="8" t="s">
        <v>1231</v>
      </c>
      <c r="G14" s="4">
        <v>522.66666666666663</v>
      </c>
      <c r="H14" s="4">
        <v>149</v>
      </c>
      <c r="I14" s="4">
        <v>149</v>
      </c>
      <c r="J14" s="4">
        <v>1770.6666666666667</v>
      </c>
      <c r="K14" s="4">
        <v>346.66666666666669</v>
      </c>
      <c r="L14" s="4">
        <v>343.03333333333336</v>
      </c>
      <c r="M14" s="4">
        <v>471.33333333333331</v>
      </c>
      <c r="N14" s="4">
        <v>314</v>
      </c>
      <c r="O14" s="4">
        <v>52</v>
      </c>
      <c r="P14" s="4"/>
      <c r="Q14" s="4">
        <v>24</v>
      </c>
      <c r="R14" s="4">
        <v>221</v>
      </c>
      <c r="S14" s="4">
        <v>150.66666666666666</v>
      </c>
      <c r="T14" s="4"/>
      <c r="U14" s="4"/>
      <c r="W14" s="2" t="s">
        <v>1</v>
      </c>
    </row>
    <row r="15" spans="1:23" x14ac:dyDescent="0.2"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W15" s="2" t="s">
        <v>1</v>
      </c>
    </row>
    <row r="16" spans="1:23" x14ac:dyDescent="0.2">
      <c r="G16" s="8" t="s">
        <v>117</v>
      </c>
      <c r="H16" s="8" t="s">
        <v>118</v>
      </c>
      <c r="I16" s="8" t="s">
        <v>118</v>
      </c>
      <c r="J16" s="8" t="s">
        <v>123</v>
      </c>
      <c r="K16" s="8" t="s">
        <v>134</v>
      </c>
      <c r="L16" s="8" t="s">
        <v>138</v>
      </c>
      <c r="M16" s="8" t="s">
        <v>136</v>
      </c>
      <c r="N16" s="8" t="s">
        <v>130</v>
      </c>
      <c r="O16" s="8" t="s">
        <v>133</v>
      </c>
      <c r="P16" s="8" t="s">
        <v>133</v>
      </c>
      <c r="Q16" s="8" t="s">
        <v>127</v>
      </c>
      <c r="R16" s="8" t="s">
        <v>121</v>
      </c>
      <c r="S16" s="8" t="s">
        <v>112</v>
      </c>
      <c r="T16" s="8" t="s">
        <v>115</v>
      </c>
      <c r="U16" s="8" t="s">
        <v>148</v>
      </c>
      <c r="W16" s="2" t="s">
        <v>1</v>
      </c>
    </row>
    <row r="17" spans="1:23" x14ac:dyDescent="0.2">
      <c r="G17" s="8" t="s">
        <v>266</v>
      </c>
      <c r="H17" s="8" t="s">
        <v>266</v>
      </c>
      <c r="I17" s="8" t="s">
        <v>266</v>
      </c>
      <c r="J17" s="8" t="s">
        <v>266</v>
      </c>
      <c r="K17" s="8" t="s">
        <v>371</v>
      </c>
      <c r="L17" s="8" t="s">
        <v>266</v>
      </c>
      <c r="M17" s="8" t="s">
        <v>144</v>
      </c>
      <c r="N17" s="8" t="s">
        <v>144</v>
      </c>
      <c r="O17" s="8" t="s">
        <v>144</v>
      </c>
      <c r="P17" s="8" t="s">
        <v>144</v>
      </c>
      <c r="Q17" s="8" t="s">
        <v>144</v>
      </c>
      <c r="R17" s="8" t="s">
        <v>144</v>
      </c>
      <c r="S17" s="8" t="s">
        <v>144</v>
      </c>
      <c r="T17" s="8" t="s">
        <v>144</v>
      </c>
      <c r="U17" s="8" t="s">
        <v>144</v>
      </c>
      <c r="W17" s="2" t="s">
        <v>1</v>
      </c>
    </row>
    <row r="18" spans="1:23" x14ac:dyDescent="0.2">
      <c r="B18" s="7">
        <f>AVERAGE(B6:B14)</f>
        <v>32696</v>
      </c>
      <c r="G18" s="4">
        <f t="shared" ref="G18:U18" si="0">AVERAGE(G6:G14)</f>
        <v>517.64074074074085</v>
      </c>
      <c r="H18" s="4">
        <f t="shared" si="0"/>
        <v>108.87222222222221</v>
      </c>
      <c r="I18" s="4">
        <f t="shared" si="0"/>
        <v>98.958333333333329</v>
      </c>
      <c r="J18" s="4">
        <f t="shared" si="0"/>
        <v>1766.4375</v>
      </c>
      <c r="K18" s="4">
        <f t="shared" si="0"/>
        <v>349.375</v>
      </c>
      <c r="L18" s="4">
        <f t="shared" si="0"/>
        <v>342.18125000000003</v>
      </c>
      <c r="M18" s="4">
        <f t="shared" si="0"/>
        <v>495.85416666666669</v>
      </c>
      <c r="N18" s="4">
        <f t="shared" si="0"/>
        <v>573.14583333333326</v>
      </c>
      <c r="O18" s="4">
        <f t="shared" si="0"/>
        <v>56.666666666666664</v>
      </c>
      <c r="P18" s="4" t="e">
        <f t="shared" si="0"/>
        <v>#DIV/0!</v>
      </c>
      <c r="Q18" s="4">
        <f t="shared" si="0"/>
        <v>28.083333333333336</v>
      </c>
      <c r="R18" s="4">
        <f t="shared" si="0"/>
        <v>633.875</v>
      </c>
      <c r="S18" s="4">
        <f t="shared" si="0"/>
        <v>154.00000000000003</v>
      </c>
      <c r="T18" s="4" t="e">
        <f t="shared" si="0"/>
        <v>#DIV/0!</v>
      </c>
      <c r="U18" s="4" t="e">
        <f t="shared" si="0"/>
        <v>#DIV/0!</v>
      </c>
      <c r="W18" s="2" t="s">
        <v>1</v>
      </c>
    </row>
    <row r="19" spans="1:23" x14ac:dyDescent="0.2">
      <c r="B19" s="4"/>
      <c r="G19" s="4">
        <f t="shared" ref="G19:U19" si="1">STDEV(G6:G14)</f>
        <v>14.108070265097849</v>
      </c>
      <c r="H19" s="4">
        <f t="shared" si="1"/>
        <v>26.047925914445628</v>
      </c>
      <c r="I19" s="4">
        <f t="shared" si="1"/>
        <v>24.979793421185057</v>
      </c>
      <c r="J19" s="4">
        <f t="shared" si="1"/>
        <v>8.5560419105216727</v>
      </c>
      <c r="K19" s="4">
        <f t="shared" si="1"/>
        <v>4.8253217673778082</v>
      </c>
      <c r="L19" s="4">
        <f t="shared" si="1"/>
        <v>0.81627480880648662</v>
      </c>
      <c r="M19" s="4">
        <f t="shared" si="1"/>
        <v>89.868132560991455</v>
      </c>
      <c r="N19" s="4">
        <f t="shared" si="1"/>
        <v>365.78974615598128</v>
      </c>
      <c r="O19" s="4">
        <f t="shared" si="1"/>
        <v>9.1147882630023549</v>
      </c>
      <c r="P19" s="4" t="e">
        <f t="shared" si="1"/>
        <v>#DIV/0!</v>
      </c>
      <c r="Q19" s="4">
        <f t="shared" si="1"/>
        <v>5.4006172486731971</v>
      </c>
      <c r="R19" s="4">
        <f t="shared" si="1"/>
        <v>646.28095854740479</v>
      </c>
      <c r="S19" s="4">
        <f t="shared" si="1"/>
        <v>6.8729975438738</v>
      </c>
      <c r="T19" s="4" t="e">
        <f t="shared" si="1"/>
        <v>#DIV/0!</v>
      </c>
      <c r="U19" s="4" t="e">
        <f t="shared" si="1"/>
        <v>#DIV/0!</v>
      </c>
      <c r="W19" s="2" t="s">
        <v>1</v>
      </c>
    </row>
    <row r="20" spans="1:23" x14ac:dyDescent="0.2">
      <c r="B20" s="4"/>
      <c r="G20" s="4">
        <f t="shared" ref="G20:U20" si="2">COUNTA(G6:G14)</f>
        <v>9</v>
      </c>
      <c r="H20" s="4">
        <f t="shared" si="2"/>
        <v>9</v>
      </c>
      <c r="I20" s="4">
        <f t="shared" si="2"/>
        <v>8</v>
      </c>
      <c r="J20" s="4">
        <f t="shared" si="2"/>
        <v>8</v>
      </c>
      <c r="K20" s="4">
        <f t="shared" si="2"/>
        <v>8</v>
      </c>
      <c r="L20" s="4">
        <f t="shared" si="2"/>
        <v>8</v>
      </c>
      <c r="M20" s="4">
        <f t="shared" si="2"/>
        <v>8</v>
      </c>
      <c r="N20" s="4">
        <f t="shared" si="2"/>
        <v>8</v>
      </c>
      <c r="O20" s="4">
        <f t="shared" si="2"/>
        <v>8</v>
      </c>
      <c r="P20" s="4">
        <f t="shared" si="2"/>
        <v>0</v>
      </c>
      <c r="Q20" s="4">
        <f t="shared" si="2"/>
        <v>8</v>
      </c>
      <c r="R20" s="4">
        <f t="shared" si="2"/>
        <v>8</v>
      </c>
      <c r="S20" s="4">
        <f t="shared" si="2"/>
        <v>8</v>
      </c>
      <c r="T20" s="4">
        <f t="shared" si="2"/>
        <v>0</v>
      </c>
      <c r="U20" s="4">
        <f t="shared" si="2"/>
        <v>0</v>
      </c>
      <c r="W20" s="2" t="s">
        <v>1</v>
      </c>
    </row>
    <row r="21" spans="1:23" x14ac:dyDescent="0.2"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W21" s="2" t="s">
        <v>1</v>
      </c>
    </row>
    <row r="22" spans="1:23" x14ac:dyDescent="0.2">
      <c r="C22" s="8" t="s">
        <v>286</v>
      </c>
      <c r="E22" s="8" t="s">
        <v>283</v>
      </c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W22" s="2" t="s">
        <v>1</v>
      </c>
    </row>
    <row r="23" spans="1:23" x14ac:dyDescent="0.2">
      <c r="A23" s="2" t="s">
        <v>682</v>
      </c>
      <c r="B23" s="15" t="s">
        <v>253</v>
      </c>
      <c r="C23" s="8" t="s">
        <v>1184</v>
      </c>
      <c r="D23" s="8" t="s">
        <v>287</v>
      </c>
      <c r="E23" s="8" t="s">
        <v>1232</v>
      </c>
      <c r="G23" s="11" t="s">
        <v>117</v>
      </c>
      <c r="H23" s="11" t="s">
        <v>118</v>
      </c>
      <c r="I23" s="11" t="s">
        <v>118</v>
      </c>
      <c r="J23" s="11" t="s">
        <v>123</v>
      </c>
      <c r="K23" s="11" t="s">
        <v>134</v>
      </c>
      <c r="L23" s="11" t="s">
        <v>138</v>
      </c>
      <c r="M23" s="11" t="s">
        <v>136</v>
      </c>
      <c r="N23" s="11" t="s">
        <v>130</v>
      </c>
      <c r="O23" s="11" t="s">
        <v>133</v>
      </c>
      <c r="P23" s="11" t="s">
        <v>133</v>
      </c>
      <c r="Q23" s="11" t="s">
        <v>127</v>
      </c>
      <c r="R23" s="11" t="s">
        <v>121</v>
      </c>
      <c r="S23" s="11" t="s">
        <v>112</v>
      </c>
      <c r="T23" s="11" t="s">
        <v>115</v>
      </c>
      <c r="U23" s="11" t="s">
        <v>148</v>
      </c>
      <c r="W23" s="2" t="s">
        <v>1</v>
      </c>
    </row>
    <row r="24" spans="1:23" x14ac:dyDescent="0.2">
      <c r="C24" s="8" t="s">
        <v>105</v>
      </c>
      <c r="D24" s="15" t="s">
        <v>291</v>
      </c>
      <c r="E24" s="8" t="s">
        <v>292</v>
      </c>
      <c r="G24" s="11" t="s">
        <v>266</v>
      </c>
      <c r="H24" s="11" t="s">
        <v>266</v>
      </c>
      <c r="I24" s="11" t="s">
        <v>266</v>
      </c>
      <c r="J24" s="11" t="s">
        <v>266</v>
      </c>
      <c r="K24" s="11" t="s">
        <v>371</v>
      </c>
      <c r="L24" s="11" t="s">
        <v>266</v>
      </c>
      <c r="M24" s="11" t="s">
        <v>144</v>
      </c>
      <c r="N24" s="11" t="s">
        <v>144</v>
      </c>
      <c r="O24" s="11" t="s">
        <v>144</v>
      </c>
      <c r="P24" s="11" t="s">
        <v>144</v>
      </c>
      <c r="Q24" s="11" t="s">
        <v>144</v>
      </c>
      <c r="R24" s="11" t="s">
        <v>144</v>
      </c>
      <c r="S24" s="11" t="s">
        <v>144</v>
      </c>
      <c r="T24" s="11" t="s">
        <v>144</v>
      </c>
      <c r="U24" s="11" t="s">
        <v>144</v>
      </c>
      <c r="W24" s="2" t="s">
        <v>1</v>
      </c>
    </row>
    <row r="25" spans="1:23" x14ac:dyDescent="0.2"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W25" s="2" t="s">
        <v>1</v>
      </c>
    </row>
    <row r="26" spans="1:23" x14ac:dyDescent="0.2">
      <c r="A26" s="2" t="s">
        <v>1233</v>
      </c>
      <c r="B26" s="19">
        <f>DATE(90,5,28)</f>
        <v>33021</v>
      </c>
      <c r="C26" s="2">
        <v>2020</v>
      </c>
      <c r="D26" s="2">
        <v>-17</v>
      </c>
      <c r="E26" s="8" t="s">
        <v>1200</v>
      </c>
      <c r="G26" s="4">
        <v>520.33333333333337</v>
      </c>
      <c r="H26" s="4">
        <v>95</v>
      </c>
      <c r="I26" s="4">
        <v>103</v>
      </c>
      <c r="J26" s="4">
        <v>1785</v>
      </c>
      <c r="K26" s="4">
        <v>357</v>
      </c>
      <c r="L26" s="4">
        <v>340.95</v>
      </c>
      <c r="M26" s="4">
        <v>508.5</v>
      </c>
      <c r="N26" s="4">
        <v>290.5</v>
      </c>
      <c r="O26" s="4">
        <v>56.4</v>
      </c>
      <c r="P26" s="4">
        <v>56.5</v>
      </c>
      <c r="Q26" s="4">
        <v>20</v>
      </c>
      <c r="R26" s="4">
        <v>231.5</v>
      </c>
      <c r="S26" s="4">
        <v>162.5</v>
      </c>
      <c r="T26" s="4">
        <v>637</v>
      </c>
      <c r="U26" s="4">
        <v>151.25</v>
      </c>
      <c r="W26" s="2" t="s">
        <v>1</v>
      </c>
    </row>
    <row r="27" spans="1:23" x14ac:dyDescent="0.2">
      <c r="A27" s="2" t="s">
        <v>1234</v>
      </c>
      <c r="B27" s="19">
        <f>DATE(90,6,2)</f>
        <v>33026</v>
      </c>
      <c r="C27" s="2">
        <v>1345</v>
      </c>
      <c r="D27" s="2">
        <v>-8</v>
      </c>
      <c r="E27" s="2">
        <v>10</v>
      </c>
      <c r="G27" s="4">
        <v>514.33333333333337</v>
      </c>
      <c r="H27" s="4">
        <v>70.333333333333329</v>
      </c>
      <c r="I27" s="4">
        <v>75.5</v>
      </c>
      <c r="J27" s="4">
        <v>1778</v>
      </c>
      <c r="K27" s="4">
        <v>356</v>
      </c>
      <c r="L27" s="4">
        <v>341.65</v>
      </c>
      <c r="M27" s="4">
        <v>507.5</v>
      </c>
      <c r="N27" s="4">
        <v>336</v>
      </c>
      <c r="O27" s="4">
        <v>55.55</v>
      </c>
      <c r="P27" s="4">
        <v>56.5</v>
      </c>
      <c r="Q27" s="4"/>
      <c r="R27" s="4">
        <v>234</v>
      </c>
      <c r="S27" s="4">
        <v>162.5</v>
      </c>
      <c r="T27" s="4">
        <v>616</v>
      </c>
      <c r="U27" s="4">
        <v>145.05000000000001</v>
      </c>
      <c r="W27" s="2" t="s">
        <v>1</v>
      </c>
    </row>
    <row r="28" spans="1:23" x14ac:dyDescent="0.2">
      <c r="A28" s="2" t="s">
        <v>1235</v>
      </c>
      <c r="B28" s="19">
        <f>DATE(90,6,7)</f>
        <v>33031</v>
      </c>
      <c r="C28" s="2">
        <v>900</v>
      </c>
      <c r="D28" s="2">
        <v>-17</v>
      </c>
      <c r="E28" s="8" t="s">
        <v>1236</v>
      </c>
      <c r="G28" s="4">
        <v>515.33333333333337</v>
      </c>
      <c r="H28" s="4">
        <v>102.66666666666667</v>
      </c>
      <c r="I28" s="4">
        <v>109.5</v>
      </c>
      <c r="J28" s="4">
        <v>1789.5</v>
      </c>
      <c r="K28" s="4">
        <v>355</v>
      </c>
      <c r="L28" s="4"/>
      <c r="M28" s="4"/>
      <c r="N28" s="4"/>
      <c r="O28" s="4">
        <v>56.8</v>
      </c>
      <c r="P28" s="4"/>
      <c r="Q28" s="4"/>
      <c r="R28" s="4"/>
      <c r="S28" s="4"/>
      <c r="T28" s="4">
        <v>625.5</v>
      </c>
      <c r="U28" s="4">
        <v>202.85</v>
      </c>
      <c r="W28" s="2" t="s">
        <v>1</v>
      </c>
    </row>
    <row r="29" spans="1:23" x14ac:dyDescent="0.2">
      <c r="A29" s="2" t="s">
        <v>1237</v>
      </c>
      <c r="B29" s="19">
        <f>DATE(90,6,12)</f>
        <v>33036</v>
      </c>
      <c r="C29" s="2">
        <v>1020</v>
      </c>
      <c r="D29" s="2">
        <v>-11</v>
      </c>
      <c r="E29" s="8" t="s">
        <v>1238</v>
      </c>
      <c r="G29" s="4">
        <v>515</v>
      </c>
      <c r="H29" s="4">
        <v>92.666666666666671</v>
      </c>
      <c r="I29" s="4">
        <v>103</v>
      </c>
      <c r="J29" s="4">
        <v>1785</v>
      </c>
      <c r="K29" s="4">
        <v>355</v>
      </c>
      <c r="L29" s="4"/>
      <c r="M29" s="4"/>
      <c r="N29" s="4"/>
      <c r="O29" s="4">
        <v>56.9</v>
      </c>
      <c r="P29" s="4"/>
      <c r="Q29" s="4"/>
      <c r="R29" s="4"/>
      <c r="S29" s="4"/>
      <c r="T29" s="4">
        <v>600</v>
      </c>
      <c r="U29" s="4">
        <v>142.35</v>
      </c>
      <c r="W29" s="2" t="s">
        <v>1</v>
      </c>
    </row>
    <row r="30" spans="1:23" x14ac:dyDescent="0.2">
      <c r="A30" s="2" t="s">
        <v>1239</v>
      </c>
      <c r="B30" s="19">
        <f>DATE(90,6,17)</f>
        <v>33041</v>
      </c>
      <c r="C30" s="2">
        <v>1210</v>
      </c>
      <c r="D30" s="2">
        <v>-8</v>
      </c>
      <c r="G30" s="4">
        <v>508</v>
      </c>
      <c r="H30" s="4">
        <v>105</v>
      </c>
      <c r="I30" s="4">
        <v>101</v>
      </c>
      <c r="J30" s="4">
        <v>1783.5</v>
      </c>
      <c r="K30" s="4">
        <v>354.5</v>
      </c>
      <c r="L30" s="4">
        <v>341.5</v>
      </c>
      <c r="M30" s="4">
        <v>517.5</v>
      </c>
      <c r="N30" s="4">
        <v>459</v>
      </c>
      <c r="O30" s="4"/>
      <c r="P30" s="4">
        <v>56</v>
      </c>
      <c r="Q30" s="4">
        <v>24.5</v>
      </c>
      <c r="R30" s="4">
        <v>229.5</v>
      </c>
      <c r="S30" s="4">
        <v>162.5</v>
      </c>
      <c r="T30" s="4">
        <v>616</v>
      </c>
      <c r="U30" s="4">
        <v>143.05000000000001</v>
      </c>
      <c r="W30" s="2" t="s">
        <v>1</v>
      </c>
    </row>
    <row r="31" spans="1:23" x14ac:dyDescent="0.2">
      <c r="A31" s="2" t="s">
        <v>1240</v>
      </c>
      <c r="B31" s="19">
        <f>DATE(90,6,22)</f>
        <v>33046</v>
      </c>
      <c r="C31" s="2">
        <v>1510</v>
      </c>
      <c r="D31" s="2">
        <v>-5</v>
      </c>
      <c r="E31" s="2">
        <v>3</v>
      </c>
      <c r="G31" s="4">
        <v>514</v>
      </c>
      <c r="H31" s="4">
        <v>99.333333333333329</v>
      </c>
      <c r="I31" s="4">
        <v>96.5</v>
      </c>
      <c r="J31" s="4">
        <v>1786</v>
      </c>
      <c r="K31" s="4">
        <v>353.5</v>
      </c>
      <c r="L31" s="4">
        <v>341</v>
      </c>
      <c r="M31" s="4">
        <v>510.5</v>
      </c>
      <c r="N31" s="4">
        <v>372.5</v>
      </c>
      <c r="O31" s="4">
        <v>52.15</v>
      </c>
      <c r="P31" s="4">
        <v>56.5</v>
      </c>
      <c r="Q31" s="4">
        <v>20</v>
      </c>
      <c r="R31" s="4">
        <v>227</v>
      </c>
      <c r="S31" s="4">
        <v>161</v>
      </c>
      <c r="T31" s="4">
        <v>600</v>
      </c>
      <c r="U31" s="4">
        <v>141.80000000000001</v>
      </c>
      <c r="W31" s="2" t="s">
        <v>1</v>
      </c>
    </row>
    <row r="32" spans="1:23" x14ac:dyDescent="0.2">
      <c r="A32" s="2" t="s">
        <v>1241</v>
      </c>
      <c r="B32" s="19">
        <f>DATE(90,6,27)</f>
        <v>33051</v>
      </c>
      <c r="D32" s="2">
        <v>-7</v>
      </c>
      <c r="E32" s="8" t="s">
        <v>1242</v>
      </c>
      <c r="G32" s="4">
        <v>511.33333333333331</v>
      </c>
      <c r="H32" s="4">
        <v>85.333333333333329</v>
      </c>
      <c r="I32" s="4">
        <v>91.5</v>
      </c>
      <c r="J32" s="4">
        <v>1783.5</v>
      </c>
      <c r="K32" s="4">
        <v>353.5</v>
      </c>
      <c r="L32" s="4">
        <v>341.5</v>
      </c>
      <c r="M32" s="4">
        <v>568.5</v>
      </c>
      <c r="N32" s="4">
        <v>1997.5</v>
      </c>
      <c r="O32" s="4">
        <v>59.233333333333334</v>
      </c>
      <c r="P32" s="4">
        <v>55</v>
      </c>
      <c r="Q32" s="4">
        <v>24</v>
      </c>
      <c r="R32" s="4">
        <v>227</v>
      </c>
      <c r="S32" s="4">
        <v>162.5</v>
      </c>
      <c r="T32" s="4">
        <v>565.33333333333337</v>
      </c>
      <c r="U32" s="4">
        <v>144.5</v>
      </c>
      <c r="W32" s="2" t="s">
        <v>1</v>
      </c>
    </row>
    <row r="33" spans="1:23" x14ac:dyDescent="0.2">
      <c r="A33" s="2" t="s">
        <v>1243</v>
      </c>
      <c r="B33" s="19">
        <f>DATE(90,7,2)</f>
        <v>33056</v>
      </c>
      <c r="C33" s="2">
        <v>1035</v>
      </c>
      <c r="D33" s="2">
        <v>-10</v>
      </c>
      <c r="E33" s="8" t="s">
        <v>1244</v>
      </c>
      <c r="G33" s="4">
        <v>509.66666666666669</v>
      </c>
      <c r="H33" s="4">
        <v>75.666666666666671</v>
      </c>
      <c r="I33" s="4">
        <v>79</v>
      </c>
      <c r="J33" s="4">
        <v>1780</v>
      </c>
      <c r="K33" s="4">
        <v>352</v>
      </c>
      <c r="L33" s="4">
        <v>341</v>
      </c>
      <c r="M33" s="4">
        <v>511</v>
      </c>
      <c r="N33" s="4">
        <v>301</v>
      </c>
      <c r="O33" s="4">
        <v>56.633333333333333</v>
      </c>
      <c r="P33" s="4">
        <v>58</v>
      </c>
      <c r="Q33" s="4"/>
      <c r="R33" s="4">
        <v>230</v>
      </c>
      <c r="S33" s="4">
        <v>135</v>
      </c>
      <c r="T33" s="4">
        <v>556.33333333333337</v>
      </c>
      <c r="U33" s="4">
        <v>125.33333333333333</v>
      </c>
      <c r="W33" s="2" t="s">
        <v>1</v>
      </c>
    </row>
    <row r="34" spans="1:23" x14ac:dyDescent="0.2">
      <c r="A34" s="2" t="s">
        <v>1245</v>
      </c>
      <c r="B34" s="19">
        <f>DATE(90,7,7)</f>
        <v>33061</v>
      </c>
      <c r="C34" s="2">
        <v>830</v>
      </c>
      <c r="D34" s="2">
        <v>-8</v>
      </c>
      <c r="E34" s="8" t="s">
        <v>1246</v>
      </c>
      <c r="G34" s="4">
        <v>509.66666666666669</v>
      </c>
      <c r="H34" s="4">
        <v>73.666666666666671</v>
      </c>
      <c r="I34" s="4">
        <v>78</v>
      </c>
      <c r="J34" s="4">
        <v>1781</v>
      </c>
      <c r="K34" s="4">
        <v>356</v>
      </c>
      <c r="L34" s="4">
        <v>340.6</v>
      </c>
      <c r="M34" s="4">
        <v>512</v>
      </c>
      <c r="N34" s="4">
        <v>353</v>
      </c>
      <c r="O34" s="4"/>
      <c r="P34" s="4">
        <v>58</v>
      </c>
      <c r="Q34" s="4"/>
      <c r="R34" s="4">
        <v>230</v>
      </c>
      <c r="S34" s="4">
        <v>168</v>
      </c>
      <c r="T34" s="4"/>
      <c r="U34" s="4"/>
      <c r="W34" s="2" t="s">
        <v>1</v>
      </c>
    </row>
    <row r="35" spans="1:23" x14ac:dyDescent="0.2">
      <c r="A35" s="2" t="s">
        <v>1247</v>
      </c>
      <c r="B35" s="19">
        <f>DATE(90,7,13)</f>
        <v>33067</v>
      </c>
      <c r="C35" s="2">
        <v>1010</v>
      </c>
      <c r="D35" s="2">
        <v>-10</v>
      </c>
      <c r="E35" s="2">
        <v>0</v>
      </c>
      <c r="G35" s="4">
        <v>495.75</v>
      </c>
      <c r="H35" s="4">
        <v>80.25</v>
      </c>
      <c r="I35" s="4">
        <v>82</v>
      </c>
      <c r="J35" s="4">
        <v>1784</v>
      </c>
      <c r="K35" s="4">
        <v>351</v>
      </c>
      <c r="L35" s="4">
        <v>342.25</v>
      </c>
      <c r="M35" s="4">
        <v>519.5</v>
      </c>
      <c r="N35" s="4">
        <v>355</v>
      </c>
      <c r="O35" s="4"/>
      <c r="P35" s="4">
        <v>58</v>
      </c>
      <c r="Q35" s="4">
        <v>21</v>
      </c>
      <c r="R35" s="4">
        <v>229.5</v>
      </c>
      <c r="S35" s="4">
        <v>166.5</v>
      </c>
      <c r="T35" s="4">
        <v>562</v>
      </c>
      <c r="U35" s="4">
        <v>138.1</v>
      </c>
      <c r="W35" s="2" t="s">
        <v>1</v>
      </c>
    </row>
    <row r="36" spans="1:23" x14ac:dyDescent="0.2">
      <c r="A36" s="2" t="s">
        <v>1248</v>
      </c>
      <c r="B36" s="19">
        <f>DATE(90,7,17)</f>
        <v>33071</v>
      </c>
      <c r="C36" s="2">
        <v>1130</v>
      </c>
      <c r="D36" s="2">
        <v>-6</v>
      </c>
      <c r="E36" s="8" t="s">
        <v>1249</v>
      </c>
      <c r="G36" s="4">
        <v>500</v>
      </c>
      <c r="H36" s="4">
        <v>99.666666666666671</v>
      </c>
      <c r="I36" s="4">
        <v>107</v>
      </c>
      <c r="J36" s="4">
        <v>895.5</v>
      </c>
      <c r="K36" s="4">
        <v>349</v>
      </c>
      <c r="L36" s="4">
        <v>341.9</v>
      </c>
      <c r="M36" s="4">
        <v>514.5</v>
      </c>
      <c r="N36" s="4">
        <v>307.5</v>
      </c>
      <c r="O36" s="4"/>
      <c r="P36" s="4">
        <v>58</v>
      </c>
      <c r="Q36" s="4">
        <v>22</v>
      </c>
      <c r="R36" s="4">
        <v>244</v>
      </c>
      <c r="S36" s="4">
        <v>162</v>
      </c>
      <c r="T36" s="4">
        <v>562</v>
      </c>
      <c r="U36" s="4">
        <v>149.80000000000001</v>
      </c>
      <c r="W36" s="2" t="s">
        <v>1</v>
      </c>
    </row>
    <row r="37" spans="1:23" x14ac:dyDescent="0.2">
      <c r="A37" s="2" t="s">
        <v>1250</v>
      </c>
      <c r="B37" s="19">
        <f>DATE(90,7,23)</f>
        <v>33077</v>
      </c>
      <c r="C37" s="2">
        <v>2300</v>
      </c>
      <c r="D37" s="2">
        <v>-13</v>
      </c>
      <c r="E37" s="8" t="s">
        <v>1251</v>
      </c>
      <c r="G37" s="4">
        <v>498</v>
      </c>
      <c r="H37" s="4">
        <v>66.333333333333329</v>
      </c>
      <c r="I37" s="4">
        <v>75</v>
      </c>
      <c r="J37" s="4">
        <v>1781</v>
      </c>
      <c r="K37" s="4">
        <v>349</v>
      </c>
      <c r="L37" s="4">
        <v>340.5</v>
      </c>
      <c r="M37" s="4">
        <v>511.5</v>
      </c>
      <c r="N37" s="4">
        <v>289.5</v>
      </c>
      <c r="O37" s="4">
        <v>57.6</v>
      </c>
      <c r="P37" s="4">
        <v>57</v>
      </c>
      <c r="Q37" s="4">
        <v>23.5</v>
      </c>
      <c r="R37" s="4">
        <v>229</v>
      </c>
      <c r="S37" s="4">
        <v>160</v>
      </c>
      <c r="T37" s="4">
        <v>540</v>
      </c>
      <c r="U37" s="4">
        <v>141.80000000000001</v>
      </c>
      <c r="W37" s="2" t="s">
        <v>1</v>
      </c>
    </row>
    <row r="38" spans="1:23" x14ac:dyDescent="0.2">
      <c r="A38" s="2" t="s">
        <v>1252</v>
      </c>
      <c r="B38" s="19">
        <f>DATE(90,7,27)</f>
        <v>33081</v>
      </c>
      <c r="C38" s="2">
        <v>1715</v>
      </c>
      <c r="D38" s="2">
        <v>-8</v>
      </c>
      <c r="E38" s="2" t="s">
        <v>1253</v>
      </c>
      <c r="G38" s="4">
        <v>506</v>
      </c>
      <c r="H38" s="4">
        <v>105.75</v>
      </c>
      <c r="I38" s="4">
        <v>104</v>
      </c>
      <c r="J38" s="4">
        <v>1780</v>
      </c>
      <c r="K38" s="4">
        <v>347.5</v>
      </c>
      <c r="L38" s="4">
        <v>339.65</v>
      </c>
      <c r="M38" s="4">
        <v>510.5</v>
      </c>
      <c r="N38" s="4">
        <v>286.5</v>
      </c>
      <c r="O38" s="4">
        <v>57.4</v>
      </c>
      <c r="P38" s="4">
        <v>58</v>
      </c>
      <c r="Q38" s="4">
        <v>20</v>
      </c>
      <c r="R38" s="4">
        <v>228</v>
      </c>
      <c r="S38" s="4">
        <v>161</v>
      </c>
      <c r="T38" s="4">
        <v>565</v>
      </c>
      <c r="U38" s="4">
        <v>138.4</v>
      </c>
      <c r="W38" s="2" t="s">
        <v>1</v>
      </c>
    </row>
    <row r="39" spans="1:23" x14ac:dyDescent="0.2">
      <c r="A39" s="2" t="s">
        <v>1254</v>
      </c>
      <c r="B39" s="19">
        <f>DATE(90,8,1)</f>
        <v>33086</v>
      </c>
      <c r="C39" s="2">
        <v>1615</v>
      </c>
      <c r="D39" s="2">
        <v>-2</v>
      </c>
      <c r="E39" s="8" t="s">
        <v>1255</v>
      </c>
      <c r="G39" s="4">
        <v>498.33333333333331</v>
      </c>
      <c r="H39" s="4">
        <v>120.33333333333333</v>
      </c>
      <c r="I39" s="4">
        <v>130</v>
      </c>
      <c r="J39" s="4">
        <v>1784</v>
      </c>
      <c r="K39" s="4">
        <v>347.5</v>
      </c>
      <c r="L39" s="4">
        <v>339.65</v>
      </c>
      <c r="M39" s="4">
        <v>605</v>
      </c>
      <c r="N39" s="4">
        <v>285</v>
      </c>
      <c r="O39" s="4">
        <v>57.1</v>
      </c>
      <c r="P39" s="4">
        <v>63</v>
      </c>
      <c r="Q39" s="4">
        <v>26</v>
      </c>
      <c r="R39" s="4">
        <v>276</v>
      </c>
      <c r="S39" s="4">
        <v>163</v>
      </c>
      <c r="T39" s="4">
        <v>554</v>
      </c>
      <c r="U39" s="4">
        <v>140.80000000000001</v>
      </c>
      <c r="W39" s="2" t="s">
        <v>1</v>
      </c>
    </row>
    <row r="40" spans="1:23" x14ac:dyDescent="0.2">
      <c r="A40" s="2" t="s">
        <v>1256</v>
      </c>
      <c r="B40" s="19">
        <f>DATE(90,8,6)</f>
        <v>33091</v>
      </c>
      <c r="C40" s="2">
        <v>1750</v>
      </c>
      <c r="D40" s="2">
        <v>-7</v>
      </c>
      <c r="E40" s="8" t="s">
        <v>1257</v>
      </c>
      <c r="G40" s="4">
        <v>493.66666666666669</v>
      </c>
      <c r="H40" s="4">
        <v>89</v>
      </c>
      <c r="I40" s="4">
        <v>94.5</v>
      </c>
      <c r="J40" s="4">
        <v>1788.5</v>
      </c>
      <c r="K40" s="4">
        <v>347.5</v>
      </c>
      <c r="L40" s="4">
        <v>340.75</v>
      </c>
      <c r="M40" s="4">
        <v>517.5</v>
      </c>
      <c r="N40" s="4">
        <v>290.5</v>
      </c>
      <c r="O40" s="4">
        <v>57.9</v>
      </c>
      <c r="P40" s="4">
        <v>57</v>
      </c>
      <c r="Q40" s="4">
        <v>20</v>
      </c>
      <c r="R40" s="4">
        <v>226.5</v>
      </c>
      <c r="S40" s="4">
        <v>164</v>
      </c>
      <c r="T40" s="4">
        <v>557</v>
      </c>
      <c r="U40" s="4">
        <v>142.9</v>
      </c>
      <c r="W40" s="2" t="s">
        <v>1</v>
      </c>
    </row>
    <row r="41" spans="1:23" x14ac:dyDescent="0.2">
      <c r="A41" s="2" t="s">
        <v>1258</v>
      </c>
      <c r="B41" s="19">
        <f>DATE(90,8,11)</f>
        <v>33096</v>
      </c>
      <c r="C41" s="2">
        <v>1050</v>
      </c>
      <c r="D41" s="2">
        <v>-13</v>
      </c>
      <c r="E41" s="8" t="s">
        <v>1228</v>
      </c>
      <c r="G41" s="4">
        <v>503.66666666666669</v>
      </c>
      <c r="H41" s="4">
        <v>81.333333333333329</v>
      </c>
      <c r="I41" s="4">
        <v>84.5</v>
      </c>
      <c r="J41" s="4">
        <v>1779</v>
      </c>
      <c r="K41" s="4">
        <v>346</v>
      </c>
      <c r="L41" s="4">
        <v>341.6</v>
      </c>
      <c r="M41" s="4">
        <v>514</v>
      </c>
      <c r="N41" s="4">
        <v>291</v>
      </c>
      <c r="O41" s="4">
        <v>58.1</v>
      </c>
      <c r="P41" s="4">
        <v>57</v>
      </c>
      <c r="Q41" s="4">
        <v>19</v>
      </c>
      <c r="R41" s="4">
        <v>223.5</v>
      </c>
      <c r="S41" s="4">
        <v>154</v>
      </c>
      <c r="T41" s="4">
        <v>543</v>
      </c>
      <c r="U41" s="4">
        <v>139.69999999999999</v>
      </c>
      <c r="W41" s="2" t="s">
        <v>1</v>
      </c>
    </row>
    <row r="42" spans="1:23" x14ac:dyDescent="0.2">
      <c r="A42" s="2" t="s">
        <v>1259</v>
      </c>
      <c r="B42" s="19">
        <f>DATE(90,8,16)</f>
        <v>33101</v>
      </c>
      <c r="C42" s="2">
        <v>1815</v>
      </c>
      <c r="D42" s="2">
        <v>-10</v>
      </c>
      <c r="E42" s="8" t="s">
        <v>1260</v>
      </c>
      <c r="G42" s="4">
        <v>492.66666666666669</v>
      </c>
      <c r="H42" s="4">
        <v>80.666666666666671</v>
      </c>
      <c r="I42" s="4">
        <v>86</v>
      </c>
      <c r="J42" s="4">
        <v>1793</v>
      </c>
      <c r="K42" s="4">
        <v>345</v>
      </c>
      <c r="L42" s="4">
        <v>340.9</v>
      </c>
      <c r="M42" s="4">
        <v>512.5</v>
      </c>
      <c r="N42" s="4">
        <v>298</v>
      </c>
      <c r="O42" s="4">
        <v>57.4</v>
      </c>
      <c r="P42" s="4">
        <v>58</v>
      </c>
      <c r="Q42" s="4">
        <v>23</v>
      </c>
      <c r="R42" s="4">
        <v>226</v>
      </c>
      <c r="S42" s="4">
        <v>162</v>
      </c>
      <c r="T42" s="4">
        <v>540</v>
      </c>
      <c r="U42" s="4">
        <v>140.30000000000001</v>
      </c>
      <c r="W42" s="2" t="s">
        <v>1</v>
      </c>
    </row>
    <row r="43" spans="1:23" x14ac:dyDescent="0.2">
      <c r="A43" s="2" t="s">
        <v>1261</v>
      </c>
      <c r="B43" s="19">
        <f>DATE(90,8,21)</f>
        <v>33106</v>
      </c>
      <c r="C43" s="2">
        <v>1035</v>
      </c>
      <c r="D43" s="2">
        <v>-12</v>
      </c>
      <c r="E43" s="8" t="s">
        <v>1262</v>
      </c>
      <c r="G43" s="4">
        <v>497</v>
      </c>
      <c r="H43" s="4">
        <v>82</v>
      </c>
      <c r="I43" s="4">
        <v>88</v>
      </c>
      <c r="J43" s="4">
        <v>1795</v>
      </c>
      <c r="K43" s="4">
        <v>345.5</v>
      </c>
      <c r="L43" s="4">
        <v>340.95</v>
      </c>
      <c r="M43" s="4">
        <v>517.5</v>
      </c>
      <c r="N43" s="4">
        <v>291.5</v>
      </c>
      <c r="O43" s="4"/>
      <c r="P43" s="4">
        <v>58</v>
      </c>
      <c r="Q43" s="4">
        <v>22</v>
      </c>
      <c r="R43" s="4">
        <v>228</v>
      </c>
      <c r="S43" s="4">
        <v>162.5</v>
      </c>
      <c r="T43" s="4">
        <v>531</v>
      </c>
      <c r="U43" s="4">
        <v>140.5</v>
      </c>
      <c r="W43" s="2" t="s">
        <v>1</v>
      </c>
    </row>
    <row r="44" spans="1:23" x14ac:dyDescent="0.2">
      <c r="A44" s="2" t="s">
        <v>1263</v>
      </c>
      <c r="B44" s="19">
        <f>DATE(90,8,27)</f>
        <v>33112</v>
      </c>
      <c r="C44" s="2">
        <v>1045</v>
      </c>
      <c r="D44" s="2">
        <v>-16</v>
      </c>
      <c r="E44" s="8" t="s">
        <v>1264</v>
      </c>
      <c r="G44" s="4">
        <v>486.33333333333331</v>
      </c>
      <c r="H44" s="4">
        <v>73.333333333333329</v>
      </c>
      <c r="I44" s="4">
        <v>79</v>
      </c>
      <c r="J44" s="4">
        <v>1785</v>
      </c>
      <c r="K44" s="4">
        <v>344</v>
      </c>
      <c r="L44" s="4">
        <v>340.65</v>
      </c>
      <c r="M44" s="4">
        <v>515</v>
      </c>
      <c r="N44" s="4">
        <v>294.5</v>
      </c>
      <c r="O44" s="4">
        <v>57.5</v>
      </c>
      <c r="P44" s="4">
        <v>57</v>
      </c>
      <c r="Q44" s="4">
        <v>19.5</v>
      </c>
      <c r="R44" s="4">
        <v>223.5</v>
      </c>
      <c r="S44" s="4">
        <v>159.5</v>
      </c>
      <c r="T44" s="4">
        <v>528</v>
      </c>
      <c r="U44" s="4">
        <v>139.5</v>
      </c>
      <c r="W44" s="2" t="s">
        <v>1</v>
      </c>
    </row>
    <row r="45" spans="1:23" x14ac:dyDescent="0.2">
      <c r="A45" s="2" t="s">
        <v>1265</v>
      </c>
      <c r="B45" s="19">
        <f>DATE(90,8,31)</f>
        <v>33116</v>
      </c>
      <c r="C45" s="2">
        <v>1600</v>
      </c>
      <c r="D45" s="2">
        <v>-16</v>
      </c>
      <c r="E45" s="8" t="s">
        <v>1266</v>
      </c>
      <c r="G45" s="4">
        <v>496</v>
      </c>
      <c r="H45" s="4">
        <v>86.666666666666671</v>
      </c>
      <c r="I45" s="4">
        <v>92</v>
      </c>
      <c r="J45" s="4">
        <v>1781.6666666666667</v>
      </c>
      <c r="K45" s="4">
        <v>346.66666666666669</v>
      </c>
      <c r="L45" s="4">
        <v>343.3</v>
      </c>
      <c r="M45" s="4">
        <v>507</v>
      </c>
      <c r="N45" s="4">
        <v>285</v>
      </c>
      <c r="O45" s="4">
        <v>57.8</v>
      </c>
      <c r="P45" s="4">
        <v>57</v>
      </c>
      <c r="Q45" s="4">
        <v>17</v>
      </c>
      <c r="R45" s="4">
        <v>219</v>
      </c>
      <c r="S45" s="4">
        <v>162</v>
      </c>
      <c r="T45" s="4"/>
      <c r="U45" s="4"/>
      <c r="W45" s="2" t="s">
        <v>1</v>
      </c>
    </row>
    <row r="46" spans="1:23" x14ac:dyDescent="0.2">
      <c r="W46" s="2" t="s">
        <v>1</v>
      </c>
    </row>
    <row r="47" spans="1:23" x14ac:dyDescent="0.2">
      <c r="G47" s="11" t="s">
        <v>117</v>
      </c>
      <c r="H47" s="11" t="s">
        <v>118</v>
      </c>
      <c r="I47" s="11" t="s">
        <v>118</v>
      </c>
      <c r="J47" s="11" t="s">
        <v>123</v>
      </c>
      <c r="K47" s="11" t="s">
        <v>134</v>
      </c>
      <c r="L47" s="11" t="s">
        <v>138</v>
      </c>
      <c r="M47" s="11" t="s">
        <v>136</v>
      </c>
      <c r="N47" s="11" t="s">
        <v>130</v>
      </c>
      <c r="O47" s="11" t="s">
        <v>133</v>
      </c>
      <c r="P47" s="11" t="s">
        <v>133</v>
      </c>
      <c r="Q47" s="11" t="s">
        <v>127</v>
      </c>
      <c r="R47" s="11" t="s">
        <v>121</v>
      </c>
      <c r="S47" s="11" t="s">
        <v>112</v>
      </c>
      <c r="T47" s="11" t="s">
        <v>115</v>
      </c>
      <c r="U47" s="11" t="s">
        <v>148</v>
      </c>
      <c r="W47" s="2" t="s">
        <v>1</v>
      </c>
    </row>
    <row r="48" spans="1:23" x14ac:dyDescent="0.2">
      <c r="W48" s="2" t="s">
        <v>1</v>
      </c>
    </row>
    <row r="49" spans="1:23" x14ac:dyDescent="0.2">
      <c r="B49" s="7">
        <f>AVERAGE(B37:B45)</f>
        <v>33096.222222222219</v>
      </c>
      <c r="G49" s="4">
        <f t="shared" ref="G49:U49" si="3">AVERAGE(G25:G45)</f>
        <v>504.25416666666672</v>
      </c>
      <c r="H49" s="4">
        <f t="shared" si="3"/>
        <v>88.249999999999986</v>
      </c>
      <c r="I49" s="4">
        <f t="shared" si="3"/>
        <v>92.95</v>
      </c>
      <c r="J49" s="4">
        <f t="shared" si="3"/>
        <v>1739.9083333333333</v>
      </c>
      <c r="K49" s="4">
        <f t="shared" si="3"/>
        <v>350.55833333333334</v>
      </c>
      <c r="L49" s="4">
        <f t="shared" si="3"/>
        <v>341.12777777777774</v>
      </c>
      <c r="M49" s="4">
        <f t="shared" si="3"/>
        <v>521.11111111111109</v>
      </c>
      <c r="N49" s="4">
        <f t="shared" si="3"/>
        <v>410.19444444444446</v>
      </c>
      <c r="O49" s="4">
        <f t="shared" si="3"/>
        <v>56.964444444444439</v>
      </c>
      <c r="P49" s="4">
        <f t="shared" si="3"/>
        <v>57.472222222222221</v>
      </c>
      <c r="Q49" s="4">
        <f t="shared" si="3"/>
        <v>21.433333333333334</v>
      </c>
      <c r="R49" s="4">
        <f t="shared" si="3"/>
        <v>231.22222222222223</v>
      </c>
      <c r="S49" s="4">
        <f t="shared" si="3"/>
        <v>160.58333333333334</v>
      </c>
      <c r="T49" s="4">
        <f t="shared" si="3"/>
        <v>572.12037037037032</v>
      </c>
      <c r="U49" s="4">
        <f t="shared" si="3"/>
        <v>144.88796296296294</v>
      </c>
      <c r="W49" s="2" t="s">
        <v>1</v>
      </c>
    </row>
    <row r="50" spans="1:23" x14ac:dyDescent="0.2">
      <c r="G50" s="4">
        <f t="shared" ref="G50:U50" si="4">STDEV(G26:G45)</f>
        <v>9.3817461108111129</v>
      </c>
      <c r="H50" s="4">
        <f t="shared" si="4"/>
        <v>14.062075204760211</v>
      </c>
      <c r="I50" s="4">
        <f t="shared" si="4"/>
        <v>14.057120316015936</v>
      </c>
      <c r="J50" s="4">
        <f t="shared" si="4"/>
        <v>198.80262534742749</v>
      </c>
      <c r="K50" s="4">
        <f t="shared" si="4"/>
        <v>4.2527167099637229</v>
      </c>
      <c r="L50" s="4">
        <f t="shared" si="4"/>
        <v>0.87131108482330077</v>
      </c>
      <c r="M50" s="4">
        <f t="shared" si="4"/>
        <v>24.943203456910073</v>
      </c>
      <c r="N50" s="4">
        <f t="shared" si="4"/>
        <v>398.65734729910042</v>
      </c>
      <c r="O50" s="4">
        <f t="shared" si="4"/>
        <v>1.575215614703027</v>
      </c>
      <c r="P50" s="4">
        <f t="shared" si="4"/>
        <v>1.6222009578694059</v>
      </c>
      <c r="Q50" s="4">
        <f t="shared" si="4"/>
        <v>2.4191694757459543</v>
      </c>
      <c r="R50" s="4">
        <f t="shared" si="4"/>
        <v>12.282486601832018</v>
      </c>
      <c r="S50" s="4">
        <f t="shared" si="4"/>
        <v>6.9942203030115397</v>
      </c>
      <c r="T50" s="4">
        <f t="shared" si="4"/>
        <v>34.40321298813592</v>
      </c>
      <c r="U50" s="4">
        <f t="shared" si="4"/>
        <v>15.417206461727005</v>
      </c>
      <c r="W50" s="2" t="s">
        <v>1</v>
      </c>
    </row>
    <row r="51" spans="1:23" x14ac:dyDescent="0.2">
      <c r="G51" s="4">
        <f t="shared" ref="G51:U51" si="5">COUNTA(G26:G45)</f>
        <v>20</v>
      </c>
      <c r="H51" s="4">
        <f t="shared" si="5"/>
        <v>20</v>
      </c>
      <c r="I51" s="4">
        <f t="shared" si="5"/>
        <v>20</v>
      </c>
      <c r="J51" s="4">
        <f t="shared" si="5"/>
        <v>20</v>
      </c>
      <c r="K51" s="4">
        <f t="shared" si="5"/>
        <v>20</v>
      </c>
      <c r="L51" s="4">
        <f t="shared" si="5"/>
        <v>18</v>
      </c>
      <c r="M51" s="4">
        <f t="shared" si="5"/>
        <v>18</v>
      </c>
      <c r="N51" s="4">
        <f t="shared" si="5"/>
        <v>18</v>
      </c>
      <c r="O51" s="4">
        <f t="shared" si="5"/>
        <v>15</v>
      </c>
      <c r="P51" s="4">
        <f t="shared" si="5"/>
        <v>18</v>
      </c>
      <c r="Q51" s="4">
        <f t="shared" si="5"/>
        <v>15</v>
      </c>
      <c r="R51" s="4">
        <f t="shared" si="5"/>
        <v>18</v>
      </c>
      <c r="S51" s="4">
        <f t="shared" si="5"/>
        <v>18</v>
      </c>
      <c r="T51" s="4">
        <f t="shared" si="5"/>
        <v>18</v>
      </c>
      <c r="U51" s="4">
        <f t="shared" si="5"/>
        <v>18</v>
      </c>
      <c r="W51" s="2" t="s">
        <v>1</v>
      </c>
    </row>
    <row r="57" spans="1:23" x14ac:dyDescent="0.2">
      <c r="A57" s="2" t="s">
        <v>1267</v>
      </c>
    </row>
    <row r="58" spans="1:23" x14ac:dyDescent="0.2">
      <c r="E58" s="8" t="s">
        <v>283</v>
      </c>
      <c r="F58" s="8" t="s">
        <v>283</v>
      </c>
    </row>
    <row r="59" spans="1:23" x14ac:dyDescent="0.2">
      <c r="A59" s="15" t="s">
        <v>253</v>
      </c>
      <c r="B59" s="8" t="s">
        <v>286</v>
      </c>
      <c r="C59" s="8" t="s">
        <v>286</v>
      </c>
      <c r="D59" s="8" t="s">
        <v>287</v>
      </c>
      <c r="E59" s="8" t="s">
        <v>368</v>
      </c>
      <c r="F59" s="8" t="s">
        <v>292</v>
      </c>
      <c r="G59" s="8" t="s">
        <v>117</v>
      </c>
      <c r="H59" s="8" t="s">
        <v>118</v>
      </c>
      <c r="I59" s="8" t="s">
        <v>118</v>
      </c>
      <c r="J59" s="8" t="s">
        <v>123</v>
      </c>
      <c r="K59" s="8" t="s">
        <v>134</v>
      </c>
      <c r="L59" s="8" t="s">
        <v>138</v>
      </c>
      <c r="M59" s="8" t="s">
        <v>136</v>
      </c>
      <c r="N59" s="8" t="s">
        <v>130</v>
      </c>
      <c r="O59" s="8" t="s">
        <v>133</v>
      </c>
      <c r="Q59" s="8" t="s">
        <v>127</v>
      </c>
      <c r="R59" s="8" t="s">
        <v>121</v>
      </c>
      <c r="S59" s="8" t="s">
        <v>112</v>
      </c>
    </row>
    <row r="60" spans="1:23" x14ac:dyDescent="0.2">
      <c r="A60" s="19"/>
      <c r="B60" s="8" t="s">
        <v>1184</v>
      </c>
      <c r="C60" s="8" t="s">
        <v>105</v>
      </c>
      <c r="D60" s="15" t="s">
        <v>291</v>
      </c>
      <c r="E60" s="8" t="s">
        <v>1217</v>
      </c>
      <c r="G60" s="8" t="s">
        <v>266</v>
      </c>
      <c r="H60" s="8" t="s">
        <v>266</v>
      </c>
      <c r="I60" s="8" t="s">
        <v>266</v>
      </c>
      <c r="J60" s="8" t="s">
        <v>266</v>
      </c>
      <c r="K60" s="8" t="s">
        <v>371</v>
      </c>
      <c r="L60" s="8" t="s">
        <v>266</v>
      </c>
      <c r="M60" s="8" t="s">
        <v>144</v>
      </c>
      <c r="N60" s="8" t="s">
        <v>144</v>
      </c>
      <c r="O60" s="8" t="s">
        <v>144</v>
      </c>
      <c r="Q60" s="8" t="s">
        <v>144</v>
      </c>
      <c r="R60" s="8" t="s">
        <v>144</v>
      </c>
      <c r="S60" s="8" t="s">
        <v>144</v>
      </c>
    </row>
    <row r="61" spans="1:23" x14ac:dyDescent="0.2">
      <c r="A61" s="19"/>
    </row>
    <row r="62" spans="1:23" x14ac:dyDescent="0.2">
      <c r="A62" s="7">
        <f>DATE(91,5,11)</f>
        <v>33369</v>
      </c>
      <c r="B62" s="2">
        <v>1815</v>
      </c>
      <c r="C62" s="2">
        <v>1824</v>
      </c>
      <c r="D62" s="2">
        <v>-22</v>
      </c>
      <c r="E62" s="8" t="s">
        <v>1211</v>
      </c>
      <c r="F62" s="2">
        <v>150</v>
      </c>
      <c r="G62" s="4">
        <v>526</v>
      </c>
      <c r="H62" s="4">
        <v>112.5</v>
      </c>
      <c r="I62" s="4">
        <v>114</v>
      </c>
      <c r="J62" s="4">
        <v>1805.5</v>
      </c>
      <c r="K62" s="4">
        <v>359.5</v>
      </c>
      <c r="L62" s="4">
        <v>342.3</v>
      </c>
      <c r="M62" s="4">
        <v>529.5</v>
      </c>
      <c r="N62" s="4">
        <v>290.5</v>
      </c>
      <c r="O62" s="4">
        <v>59.5</v>
      </c>
      <c r="Q62" s="4">
        <v>19</v>
      </c>
      <c r="R62" s="4">
        <v>232.5</v>
      </c>
      <c r="S62" s="4">
        <v>162.5</v>
      </c>
    </row>
    <row r="63" spans="1:23" x14ac:dyDescent="0.2">
      <c r="A63" s="7">
        <f>DATE(91,5,14)</f>
        <v>33372</v>
      </c>
      <c r="B63" s="2">
        <v>1750</v>
      </c>
      <c r="D63" s="2">
        <v>-30</v>
      </c>
      <c r="E63" s="2">
        <v>10</v>
      </c>
      <c r="F63" s="2">
        <v>140</v>
      </c>
      <c r="G63" s="4">
        <v>555</v>
      </c>
      <c r="H63" s="4">
        <v>119</v>
      </c>
      <c r="I63" s="4">
        <v>133.5</v>
      </c>
      <c r="J63" s="4">
        <v>1813.5</v>
      </c>
      <c r="K63" s="4">
        <v>362</v>
      </c>
      <c r="L63" s="4">
        <v>341.65</v>
      </c>
      <c r="M63" s="4">
        <v>529</v>
      </c>
      <c r="N63" s="4">
        <v>403</v>
      </c>
      <c r="O63" s="4">
        <v>66.5</v>
      </c>
      <c r="Q63" s="4">
        <v>24.5</v>
      </c>
      <c r="R63" s="4">
        <v>275</v>
      </c>
      <c r="S63" s="4">
        <v>160</v>
      </c>
    </row>
    <row r="64" spans="1:23" x14ac:dyDescent="0.2">
      <c r="A64" s="7">
        <f>DATE(91,5,17)</f>
        <v>33375</v>
      </c>
      <c r="B64" s="2">
        <v>2310</v>
      </c>
      <c r="D64" s="2">
        <v>-31</v>
      </c>
      <c r="E64" s="8" t="s">
        <v>1268</v>
      </c>
      <c r="F64" s="2">
        <v>345</v>
      </c>
      <c r="G64" s="4">
        <v>516</v>
      </c>
      <c r="H64" s="4">
        <v>109</v>
      </c>
      <c r="I64" s="4">
        <v>118.5</v>
      </c>
      <c r="J64" s="4">
        <v>1811</v>
      </c>
      <c r="K64" s="4">
        <v>361</v>
      </c>
      <c r="L64" s="4">
        <v>342.25</v>
      </c>
      <c r="M64" s="4">
        <v>522</v>
      </c>
      <c r="N64" s="4">
        <v>289.5</v>
      </c>
      <c r="O64" s="4">
        <v>59.5</v>
      </c>
      <c r="Q64" s="4">
        <v>23.5</v>
      </c>
      <c r="R64" s="4">
        <v>232.5</v>
      </c>
      <c r="S64" s="4">
        <v>160.5</v>
      </c>
    </row>
    <row r="65" spans="1:19" x14ac:dyDescent="0.2">
      <c r="A65" s="7">
        <f>DATE(91,5,20)</f>
        <v>33378</v>
      </c>
      <c r="B65" s="2">
        <v>1045</v>
      </c>
      <c r="C65" s="2">
        <v>1050</v>
      </c>
      <c r="D65" s="2">
        <v>-27</v>
      </c>
      <c r="E65" s="2">
        <v>6</v>
      </c>
      <c r="F65" s="2">
        <v>190</v>
      </c>
      <c r="G65" s="4">
        <v>516.5</v>
      </c>
      <c r="H65" s="4">
        <v>105.5</v>
      </c>
      <c r="I65" s="4">
        <v>118</v>
      </c>
      <c r="J65" s="4">
        <v>1804.5</v>
      </c>
      <c r="K65" s="4">
        <v>360</v>
      </c>
      <c r="L65" s="4">
        <v>340.8</v>
      </c>
      <c r="M65" s="4">
        <v>517</v>
      </c>
      <c r="N65" s="4">
        <v>287</v>
      </c>
      <c r="O65" s="4">
        <v>60</v>
      </c>
      <c r="Q65" s="4">
        <v>22</v>
      </c>
      <c r="R65" s="4">
        <v>232</v>
      </c>
      <c r="S65" s="4">
        <v>163.5</v>
      </c>
    </row>
    <row r="66" spans="1:19" x14ac:dyDescent="0.2">
      <c r="A66" s="7">
        <f>DATE(91,5,23)</f>
        <v>33381</v>
      </c>
      <c r="B66" s="2">
        <v>1825</v>
      </c>
      <c r="C66" s="2">
        <v>1828</v>
      </c>
      <c r="D66" s="2">
        <v>-25</v>
      </c>
      <c r="E66" s="8" t="s">
        <v>1269</v>
      </c>
      <c r="F66" s="2">
        <v>215</v>
      </c>
      <c r="G66" s="4">
        <v>502</v>
      </c>
      <c r="H66" s="4">
        <v>103</v>
      </c>
      <c r="I66" s="4">
        <v>114</v>
      </c>
      <c r="J66" s="4">
        <v>1805</v>
      </c>
      <c r="K66" s="4">
        <v>360</v>
      </c>
      <c r="L66" s="4">
        <v>346.2</v>
      </c>
      <c r="M66" s="4">
        <v>520</v>
      </c>
      <c r="N66" s="4">
        <v>287</v>
      </c>
      <c r="O66" s="4">
        <v>59</v>
      </c>
      <c r="Q66" s="4">
        <v>22</v>
      </c>
      <c r="R66" s="4">
        <v>231</v>
      </c>
      <c r="S66" s="4">
        <v>162</v>
      </c>
    </row>
    <row r="67" spans="1:19" x14ac:dyDescent="0.2">
      <c r="A67" s="7">
        <f>DATE(91,5,26)</f>
        <v>33384</v>
      </c>
      <c r="B67" s="2">
        <v>1937</v>
      </c>
      <c r="C67" s="2">
        <v>1942</v>
      </c>
      <c r="D67" s="2">
        <v>-20</v>
      </c>
      <c r="E67" s="2">
        <v>3.5</v>
      </c>
      <c r="F67" s="2">
        <v>175</v>
      </c>
      <c r="G67" s="4">
        <v>509.5</v>
      </c>
      <c r="H67" s="4">
        <v>101</v>
      </c>
      <c r="I67" s="4">
        <v>111.5</v>
      </c>
      <c r="J67" s="4">
        <v>1798</v>
      </c>
      <c r="K67" s="4">
        <v>357</v>
      </c>
      <c r="L67" s="4">
        <v>343.4</v>
      </c>
      <c r="M67" s="4">
        <v>520</v>
      </c>
      <c r="N67" s="4">
        <v>287.5</v>
      </c>
      <c r="O67" s="4">
        <v>60</v>
      </c>
      <c r="Q67" s="4">
        <v>21</v>
      </c>
      <c r="R67" s="4">
        <v>232</v>
      </c>
      <c r="S67" s="4">
        <v>160</v>
      </c>
    </row>
    <row r="68" spans="1:19" x14ac:dyDescent="0.2">
      <c r="A68" s="7">
        <f>DATE(91,5,29)</f>
        <v>33387</v>
      </c>
      <c r="B68" s="2">
        <v>1155</v>
      </c>
      <c r="C68" s="2">
        <v>1158</v>
      </c>
      <c r="D68" s="2">
        <v>-15</v>
      </c>
      <c r="E68" s="2">
        <v>16.5</v>
      </c>
      <c r="F68" s="2">
        <v>262</v>
      </c>
      <c r="G68" s="4">
        <v>502.5</v>
      </c>
      <c r="H68" s="4">
        <v>108</v>
      </c>
      <c r="I68" s="4">
        <v>119.5</v>
      </c>
      <c r="J68" s="4">
        <v>1805</v>
      </c>
      <c r="K68" s="4">
        <v>358</v>
      </c>
      <c r="L68" s="4">
        <v>343.15</v>
      </c>
      <c r="M68" s="4">
        <v>518.5</v>
      </c>
      <c r="N68" s="4">
        <v>290</v>
      </c>
      <c r="O68" s="4">
        <v>60</v>
      </c>
      <c r="Q68" s="4">
        <v>21</v>
      </c>
      <c r="R68" s="4">
        <v>231.5</v>
      </c>
      <c r="S68" s="4">
        <v>161.5</v>
      </c>
    </row>
    <row r="69" spans="1:19" x14ac:dyDescent="0.2">
      <c r="A69" s="7">
        <f>DATE(91,6,1)</f>
        <v>33390</v>
      </c>
      <c r="B69" s="2">
        <v>1305</v>
      </c>
      <c r="C69" s="2">
        <v>1316</v>
      </c>
      <c r="D69" s="2">
        <v>-5</v>
      </c>
      <c r="E69" s="2">
        <v>5</v>
      </c>
      <c r="F69" s="2">
        <v>320</v>
      </c>
      <c r="G69" s="4">
        <v>532</v>
      </c>
      <c r="H69" s="4"/>
      <c r="I69" s="4">
        <v>120</v>
      </c>
      <c r="J69" s="4">
        <v>1773.5</v>
      </c>
      <c r="K69" s="4">
        <v>356</v>
      </c>
      <c r="L69" s="4">
        <v>342.65</v>
      </c>
      <c r="M69" s="4">
        <v>520.5</v>
      </c>
      <c r="N69" s="4">
        <v>287</v>
      </c>
      <c r="O69" s="4">
        <v>59</v>
      </c>
      <c r="Q69" s="4">
        <v>19</v>
      </c>
      <c r="R69" s="4">
        <v>224.5</v>
      </c>
      <c r="S69" s="4">
        <v>162</v>
      </c>
    </row>
    <row r="70" spans="1:19" x14ac:dyDescent="0.2">
      <c r="A70" s="7">
        <f>DATE(91,6,4)</f>
        <v>33393</v>
      </c>
      <c r="B70" s="2">
        <v>2241</v>
      </c>
      <c r="C70" s="2">
        <v>2247</v>
      </c>
      <c r="D70" s="2">
        <v>-20</v>
      </c>
      <c r="E70" s="2">
        <v>3.5</v>
      </c>
      <c r="F70" s="2">
        <v>140</v>
      </c>
      <c r="G70" s="4">
        <v>519</v>
      </c>
      <c r="H70" s="4"/>
      <c r="I70" s="4">
        <v>91.5</v>
      </c>
      <c r="J70" s="4">
        <v>1782.5</v>
      </c>
      <c r="K70" s="4">
        <v>355.5</v>
      </c>
      <c r="L70" s="4">
        <v>341.3</v>
      </c>
      <c r="M70" s="4">
        <v>518</v>
      </c>
      <c r="N70" s="4">
        <v>287.5</v>
      </c>
      <c r="O70" s="4">
        <v>59.5</v>
      </c>
      <c r="Q70" s="4"/>
      <c r="R70" s="4">
        <v>228</v>
      </c>
      <c r="S70" s="4">
        <v>161.5</v>
      </c>
    </row>
    <row r="71" spans="1:19" x14ac:dyDescent="0.2">
      <c r="A71" s="7">
        <f>DATE(91,6,7)</f>
        <v>33396</v>
      </c>
      <c r="B71" s="2">
        <v>1552</v>
      </c>
      <c r="C71" s="2">
        <v>1558</v>
      </c>
      <c r="D71" s="2">
        <v>-10</v>
      </c>
      <c r="E71" s="2">
        <v>10</v>
      </c>
      <c r="F71" s="2">
        <v>120</v>
      </c>
      <c r="G71" s="4">
        <v>505</v>
      </c>
      <c r="H71" s="4">
        <v>92.5</v>
      </c>
      <c r="I71" s="4">
        <v>103</v>
      </c>
      <c r="J71" s="4">
        <v>1779</v>
      </c>
      <c r="K71" s="4">
        <v>355.5</v>
      </c>
      <c r="L71" s="4">
        <v>342.85</v>
      </c>
      <c r="M71" s="4">
        <v>519</v>
      </c>
      <c r="N71" s="4">
        <v>285</v>
      </c>
      <c r="O71" s="4"/>
      <c r="Q71" s="4">
        <v>59</v>
      </c>
      <c r="R71" s="4">
        <v>232</v>
      </c>
      <c r="S71" s="4">
        <v>163.5</v>
      </c>
    </row>
    <row r="72" spans="1:19" x14ac:dyDescent="0.2">
      <c r="A72" s="7">
        <f>DATE(91,6,10)</f>
        <v>33399</v>
      </c>
      <c r="B72" s="2">
        <v>2318</v>
      </c>
      <c r="D72" s="2">
        <v>-20</v>
      </c>
      <c r="E72" s="2">
        <v>3</v>
      </c>
      <c r="F72" s="2">
        <v>170</v>
      </c>
      <c r="G72" s="4">
        <v>523.5</v>
      </c>
      <c r="H72" s="4">
        <v>92.5</v>
      </c>
      <c r="I72" s="4">
        <v>99.5</v>
      </c>
      <c r="J72" s="4">
        <v>1798.5</v>
      </c>
      <c r="K72" s="4">
        <v>357</v>
      </c>
      <c r="L72" s="4">
        <v>342.75</v>
      </c>
      <c r="M72" s="4">
        <v>531</v>
      </c>
      <c r="N72" s="4">
        <v>290</v>
      </c>
      <c r="O72" s="4">
        <v>60</v>
      </c>
      <c r="Q72" s="4">
        <v>10.5</v>
      </c>
      <c r="R72" s="4">
        <v>237.5</v>
      </c>
      <c r="S72" s="4">
        <v>161</v>
      </c>
    </row>
    <row r="73" spans="1:19" x14ac:dyDescent="0.2">
      <c r="A73" s="7">
        <f>DATE(91,6,13)</f>
        <v>33402</v>
      </c>
      <c r="B73" s="2">
        <v>1842</v>
      </c>
      <c r="D73" s="2">
        <v>-10</v>
      </c>
      <c r="E73" s="8" t="s">
        <v>1269</v>
      </c>
      <c r="F73" s="2">
        <v>180</v>
      </c>
      <c r="G73" s="4">
        <v>514.5</v>
      </c>
      <c r="H73" s="4">
        <v>94</v>
      </c>
      <c r="I73" s="4">
        <v>102.5</v>
      </c>
      <c r="J73" s="4">
        <v>1798</v>
      </c>
      <c r="K73" s="4">
        <v>355</v>
      </c>
      <c r="L73" s="4">
        <v>342.15</v>
      </c>
      <c r="M73" s="4">
        <v>518</v>
      </c>
      <c r="N73" s="4">
        <v>290</v>
      </c>
      <c r="O73" s="4">
        <v>60</v>
      </c>
      <c r="Q73" s="4">
        <v>27</v>
      </c>
      <c r="R73" s="4">
        <v>237.5</v>
      </c>
      <c r="S73" s="4">
        <v>163.5</v>
      </c>
    </row>
    <row r="74" spans="1:19" x14ac:dyDescent="0.2">
      <c r="A74" s="7">
        <f>DATE(91,6,17)</f>
        <v>33406</v>
      </c>
      <c r="B74" s="2">
        <v>1451</v>
      </c>
      <c r="C74" s="2">
        <v>1457</v>
      </c>
      <c r="D74" s="2">
        <v>-8</v>
      </c>
      <c r="E74" s="8" t="s">
        <v>1270</v>
      </c>
      <c r="F74" s="2">
        <v>230</v>
      </c>
      <c r="G74" s="4">
        <v>523</v>
      </c>
      <c r="H74" s="4">
        <v>96.5</v>
      </c>
      <c r="I74" s="4">
        <v>111</v>
      </c>
      <c r="J74" s="4">
        <v>1783.5</v>
      </c>
      <c r="K74" s="4">
        <v>358.5</v>
      </c>
      <c r="L74" s="4">
        <v>340.35</v>
      </c>
      <c r="M74" s="4">
        <v>517</v>
      </c>
      <c r="N74" s="4">
        <v>289</v>
      </c>
      <c r="O74" s="4">
        <v>59</v>
      </c>
      <c r="Q74" s="4">
        <v>19.5</v>
      </c>
      <c r="R74" s="4">
        <v>226</v>
      </c>
      <c r="S74" s="4">
        <v>163.5</v>
      </c>
    </row>
    <row r="75" spans="1:19" x14ac:dyDescent="0.2">
      <c r="A75" s="7">
        <f>DATE(91,6,19)</f>
        <v>33408</v>
      </c>
      <c r="B75" s="2">
        <v>1813</v>
      </c>
      <c r="C75" s="2">
        <v>1818</v>
      </c>
      <c r="D75" s="2">
        <v>-10</v>
      </c>
      <c r="E75" s="2">
        <v>15</v>
      </c>
      <c r="F75" s="2">
        <v>268</v>
      </c>
      <c r="G75" s="4">
        <v>529.5</v>
      </c>
      <c r="H75" s="4">
        <v>81</v>
      </c>
      <c r="I75" s="4">
        <v>103</v>
      </c>
      <c r="J75" s="4">
        <v>1774</v>
      </c>
      <c r="K75" s="4">
        <v>357</v>
      </c>
      <c r="L75" s="4">
        <v>340.2</v>
      </c>
      <c r="M75" s="4">
        <v>516</v>
      </c>
      <c r="N75" s="4">
        <v>289</v>
      </c>
      <c r="O75" s="4">
        <v>59</v>
      </c>
      <c r="Q75" s="4"/>
      <c r="R75" s="4">
        <v>227</v>
      </c>
      <c r="S75" s="4">
        <v>163</v>
      </c>
    </row>
    <row r="76" spans="1:19" x14ac:dyDescent="0.2">
      <c r="A76" s="7">
        <f>DATE(91,6,22)</f>
        <v>33411</v>
      </c>
      <c r="B76" s="2">
        <v>1935</v>
      </c>
      <c r="D76" s="2">
        <v>-18</v>
      </c>
      <c r="E76" s="8" t="s">
        <v>1221</v>
      </c>
      <c r="F76" s="2">
        <v>240</v>
      </c>
      <c r="G76" s="4">
        <v>512.5</v>
      </c>
      <c r="H76" s="4">
        <v>68</v>
      </c>
      <c r="I76" s="4">
        <v>88.5</v>
      </c>
      <c r="J76" s="4">
        <v>1785</v>
      </c>
      <c r="K76" s="4">
        <v>355</v>
      </c>
      <c r="L76" s="4">
        <v>342</v>
      </c>
      <c r="M76" s="4">
        <v>516.5</v>
      </c>
      <c r="N76" s="4">
        <v>290</v>
      </c>
      <c r="O76" s="4">
        <v>60.5</v>
      </c>
      <c r="Q76" s="4">
        <v>19</v>
      </c>
      <c r="R76" s="4">
        <v>231.5</v>
      </c>
      <c r="S76" s="4">
        <v>164</v>
      </c>
    </row>
    <row r="77" spans="1:19" x14ac:dyDescent="0.2">
      <c r="A77" s="7">
        <f>DATE(91,6,26)</f>
        <v>33415</v>
      </c>
      <c r="B77" s="2">
        <v>1630</v>
      </c>
      <c r="D77" s="2">
        <v>-8</v>
      </c>
      <c r="E77" s="8" t="s">
        <v>1271</v>
      </c>
      <c r="F77" s="8" t="s">
        <v>1272</v>
      </c>
      <c r="G77" s="4">
        <v>505.5</v>
      </c>
      <c r="H77" s="4">
        <v>80</v>
      </c>
      <c r="I77" s="4">
        <v>100.5</v>
      </c>
      <c r="J77" s="4">
        <v>1793.5</v>
      </c>
      <c r="K77" s="4">
        <v>353</v>
      </c>
      <c r="L77" s="4">
        <v>339.55</v>
      </c>
      <c r="M77" s="4">
        <v>512</v>
      </c>
      <c r="N77" s="4">
        <v>288</v>
      </c>
      <c r="O77" s="4">
        <v>59</v>
      </c>
      <c r="Q77" s="4">
        <v>21</v>
      </c>
      <c r="R77" s="4">
        <v>230.5</v>
      </c>
      <c r="S77" s="4">
        <v>163</v>
      </c>
    </row>
    <row r="78" spans="1:19" x14ac:dyDescent="0.2">
      <c r="A78" s="7">
        <f>DATE(91,7,1)</f>
        <v>33420</v>
      </c>
      <c r="B78" s="2">
        <v>1440</v>
      </c>
      <c r="D78" s="2">
        <v>-13</v>
      </c>
      <c r="E78" s="8" t="s">
        <v>1260</v>
      </c>
      <c r="F78" s="2">
        <v>220</v>
      </c>
      <c r="G78" s="4">
        <v>507</v>
      </c>
      <c r="H78" s="4">
        <v>89</v>
      </c>
      <c r="I78" s="4">
        <v>106</v>
      </c>
      <c r="J78" s="4">
        <v>1805.5</v>
      </c>
      <c r="K78" s="4">
        <v>351</v>
      </c>
      <c r="L78" s="4">
        <v>340.75</v>
      </c>
      <c r="M78" s="4">
        <v>518.5</v>
      </c>
      <c r="N78" s="4">
        <v>292</v>
      </c>
      <c r="O78" s="4">
        <v>62</v>
      </c>
      <c r="Q78" s="4">
        <v>12</v>
      </c>
      <c r="R78" s="4">
        <v>244.5</v>
      </c>
      <c r="S78" s="4">
        <v>163.5</v>
      </c>
    </row>
    <row r="79" spans="1:19" x14ac:dyDescent="0.2">
      <c r="A79" s="7">
        <f>DATE(91,7,4)</f>
        <v>33423</v>
      </c>
      <c r="B79" s="2">
        <v>1620</v>
      </c>
      <c r="D79" s="2">
        <v>-13</v>
      </c>
      <c r="E79" s="8" t="s">
        <v>1268</v>
      </c>
      <c r="F79" s="2">
        <v>220</v>
      </c>
      <c r="G79" s="4">
        <v>507.5</v>
      </c>
      <c r="H79" s="4">
        <v>68</v>
      </c>
      <c r="I79" s="4">
        <v>84.5</v>
      </c>
      <c r="J79" s="4">
        <v>1798</v>
      </c>
      <c r="K79" s="4">
        <v>350.5</v>
      </c>
      <c r="L79" s="4">
        <v>339</v>
      </c>
      <c r="M79" s="4">
        <v>513.5</v>
      </c>
      <c r="N79" s="4">
        <v>290</v>
      </c>
      <c r="O79" s="4">
        <v>60.5</v>
      </c>
      <c r="Q79" s="4">
        <v>22</v>
      </c>
      <c r="R79" s="4">
        <v>232</v>
      </c>
      <c r="S79" s="4">
        <v>163.5</v>
      </c>
    </row>
    <row r="80" spans="1:19" x14ac:dyDescent="0.2">
      <c r="A80" s="7">
        <f>DATE(91,7,6)</f>
        <v>33425</v>
      </c>
      <c r="B80" s="2">
        <v>1025</v>
      </c>
      <c r="D80" s="2">
        <v>-12</v>
      </c>
      <c r="E80" s="8" t="s">
        <v>1273</v>
      </c>
      <c r="F80" s="2">
        <v>240</v>
      </c>
      <c r="G80" s="4">
        <v>526</v>
      </c>
      <c r="H80" s="4">
        <v>77.5</v>
      </c>
      <c r="I80" s="4">
        <v>97.5</v>
      </c>
      <c r="J80" s="4">
        <v>1793</v>
      </c>
      <c r="K80" s="4">
        <v>351.5</v>
      </c>
      <c r="L80" s="4">
        <v>341.4</v>
      </c>
      <c r="M80" s="4">
        <v>582.5</v>
      </c>
      <c r="N80" s="4"/>
      <c r="O80" s="4">
        <v>76</v>
      </c>
      <c r="Q80" s="4">
        <v>24.5</v>
      </c>
      <c r="R80" s="4">
        <v>375</v>
      </c>
      <c r="S80" s="4">
        <v>162</v>
      </c>
    </row>
    <row r="81" spans="1:19" x14ac:dyDescent="0.2">
      <c r="A81" s="7">
        <f>DATE(91,7,11)</f>
        <v>33430</v>
      </c>
      <c r="B81" s="2">
        <v>856</v>
      </c>
      <c r="D81" s="2">
        <v>-5</v>
      </c>
      <c r="E81" s="2">
        <v>3</v>
      </c>
      <c r="F81" s="2">
        <v>110</v>
      </c>
      <c r="G81" s="4">
        <v>511</v>
      </c>
      <c r="H81" s="4">
        <v>64.5</v>
      </c>
      <c r="I81" s="4">
        <v>83</v>
      </c>
      <c r="J81" s="4">
        <v>1787.5</v>
      </c>
      <c r="K81" s="4">
        <v>349</v>
      </c>
      <c r="L81" s="4">
        <v>341.8</v>
      </c>
      <c r="M81" s="4">
        <v>520</v>
      </c>
      <c r="N81" s="4">
        <v>292</v>
      </c>
      <c r="O81" s="4">
        <v>60.5</v>
      </c>
      <c r="Q81" s="4">
        <v>18.5</v>
      </c>
      <c r="R81" s="4">
        <v>232.5</v>
      </c>
      <c r="S81" s="4">
        <v>164.5</v>
      </c>
    </row>
    <row r="82" spans="1:19" x14ac:dyDescent="0.2">
      <c r="A82" s="7">
        <f>DATE(91,7,13)</f>
        <v>33432</v>
      </c>
      <c r="B82" s="2">
        <v>900</v>
      </c>
      <c r="C82" s="2">
        <v>908</v>
      </c>
      <c r="D82" s="2">
        <v>-10</v>
      </c>
      <c r="E82" s="2">
        <v>5</v>
      </c>
      <c r="F82" s="2">
        <v>210</v>
      </c>
      <c r="G82" s="4">
        <v>518.5</v>
      </c>
      <c r="H82" s="4">
        <v>101.5</v>
      </c>
      <c r="I82" s="4">
        <v>98.5</v>
      </c>
      <c r="J82" s="4">
        <v>1785.5</v>
      </c>
      <c r="K82" s="4">
        <v>350.5</v>
      </c>
      <c r="L82" s="4">
        <v>342.85</v>
      </c>
      <c r="M82" s="4">
        <v>523.5</v>
      </c>
      <c r="N82" s="4">
        <v>294</v>
      </c>
      <c r="O82" s="4">
        <v>61</v>
      </c>
      <c r="Q82" s="4">
        <v>17.5</v>
      </c>
      <c r="R82" s="4">
        <v>239</v>
      </c>
      <c r="S82" s="4">
        <v>163.5</v>
      </c>
    </row>
    <row r="83" spans="1:19" x14ac:dyDescent="0.2">
      <c r="A83" s="7">
        <f>DATE(91,7,17)</f>
        <v>33436</v>
      </c>
      <c r="B83" s="2">
        <v>1630</v>
      </c>
      <c r="D83" s="2">
        <v>-10</v>
      </c>
      <c r="E83" s="2">
        <v>13</v>
      </c>
      <c r="F83" s="2">
        <v>160</v>
      </c>
      <c r="G83" s="4">
        <v>506</v>
      </c>
      <c r="H83" s="4">
        <v>97</v>
      </c>
      <c r="I83" s="4">
        <v>95</v>
      </c>
      <c r="J83" s="4">
        <v>1801.5</v>
      </c>
      <c r="K83" s="4">
        <v>348</v>
      </c>
      <c r="L83" s="4">
        <v>171.5</v>
      </c>
      <c r="M83" s="4">
        <v>519</v>
      </c>
      <c r="N83" s="4">
        <v>287</v>
      </c>
      <c r="O83" s="4">
        <v>62</v>
      </c>
      <c r="Q83" s="4"/>
      <c r="R83" s="4">
        <v>229</v>
      </c>
      <c r="S83" s="4">
        <v>156</v>
      </c>
    </row>
    <row r="84" spans="1:19" x14ac:dyDescent="0.2">
      <c r="A84" s="7">
        <f>DATE(91,7,19)</f>
        <v>33438</v>
      </c>
      <c r="B84" s="2">
        <v>1415</v>
      </c>
      <c r="D84" s="2">
        <v>-7</v>
      </c>
      <c r="E84" s="2">
        <v>8</v>
      </c>
      <c r="F84" s="2">
        <v>110</v>
      </c>
      <c r="G84" s="4">
        <v>503.5</v>
      </c>
      <c r="H84" s="4">
        <v>101</v>
      </c>
      <c r="I84" s="4">
        <v>93.5</v>
      </c>
      <c r="J84" s="4">
        <v>1799.5</v>
      </c>
      <c r="K84" s="4">
        <v>349</v>
      </c>
      <c r="L84" s="4">
        <v>360.9</v>
      </c>
      <c r="M84" s="4">
        <v>532.5</v>
      </c>
      <c r="N84" s="4">
        <v>290</v>
      </c>
      <c r="O84" s="4">
        <v>62.5</v>
      </c>
      <c r="Q84" s="4"/>
      <c r="R84" s="4">
        <v>230.5</v>
      </c>
      <c r="S84" s="4">
        <v>163.5</v>
      </c>
    </row>
    <row r="85" spans="1:19" x14ac:dyDescent="0.2">
      <c r="A85" s="7">
        <f>DATE(91,7,22)</f>
        <v>33441</v>
      </c>
      <c r="B85" s="2">
        <v>1555</v>
      </c>
      <c r="D85" s="2">
        <v>-10</v>
      </c>
      <c r="E85" s="2">
        <v>5</v>
      </c>
      <c r="F85" s="2">
        <v>110</v>
      </c>
      <c r="G85" s="4">
        <v>524</v>
      </c>
      <c r="H85" s="4">
        <v>92</v>
      </c>
      <c r="I85" s="4">
        <v>86.5</v>
      </c>
      <c r="J85" s="4">
        <v>1790</v>
      </c>
      <c r="K85" s="4">
        <v>350</v>
      </c>
      <c r="L85" s="4">
        <v>341</v>
      </c>
      <c r="M85" s="4">
        <v>519.5</v>
      </c>
      <c r="N85" s="4">
        <v>289</v>
      </c>
      <c r="O85" s="4">
        <v>60</v>
      </c>
      <c r="Q85" s="4">
        <v>17</v>
      </c>
      <c r="R85" s="4">
        <v>227.5</v>
      </c>
      <c r="S85" s="4">
        <v>162</v>
      </c>
    </row>
    <row r="86" spans="1:19" x14ac:dyDescent="0.2">
      <c r="A86" s="7">
        <f>DATE(91,7,25)</f>
        <v>33444</v>
      </c>
      <c r="B86" s="2">
        <v>1015</v>
      </c>
      <c r="D86" s="2">
        <v>-7</v>
      </c>
      <c r="E86" s="2">
        <v>6</v>
      </c>
      <c r="G86" s="4">
        <v>502.5</v>
      </c>
      <c r="H86" s="4">
        <v>85.5</v>
      </c>
      <c r="I86" s="4">
        <v>86</v>
      </c>
      <c r="J86" s="4">
        <v>1790</v>
      </c>
      <c r="K86" s="4">
        <v>350</v>
      </c>
      <c r="L86" s="4">
        <v>345.1</v>
      </c>
      <c r="M86" s="4">
        <v>522.5</v>
      </c>
      <c r="N86" s="4">
        <v>291</v>
      </c>
      <c r="O86" s="4">
        <v>60.5</v>
      </c>
      <c r="Q86" s="4">
        <v>18</v>
      </c>
      <c r="R86" s="4">
        <v>229.5</v>
      </c>
      <c r="S86" s="4">
        <v>162</v>
      </c>
    </row>
    <row r="87" spans="1:19" x14ac:dyDescent="0.2">
      <c r="A87" s="7">
        <f>DATE(91,7,28)</f>
        <v>33447</v>
      </c>
      <c r="B87" s="2">
        <v>1745</v>
      </c>
      <c r="D87" s="2">
        <v>-10</v>
      </c>
      <c r="E87" s="2">
        <v>10</v>
      </c>
      <c r="F87" s="2">
        <v>200</v>
      </c>
      <c r="G87" s="4">
        <v>521.5</v>
      </c>
      <c r="H87" s="4">
        <v>76.5</v>
      </c>
      <c r="I87" s="4">
        <v>82</v>
      </c>
      <c r="J87" s="4">
        <v>1791</v>
      </c>
      <c r="K87" s="4">
        <v>349</v>
      </c>
      <c r="L87" s="4">
        <v>340.5</v>
      </c>
      <c r="M87" s="4">
        <v>520</v>
      </c>
      <c r="N87" s="4">
        <v>289.5</v>
      </c>
      <c r="O87" s="4">
        <v>60</v>
      </c>
      <c r="Q87" s="4">
        <v>24</v>
      </c>
      <c r="R87" s="4">
        <v>234</v>
      </c>
      <c r="S87" s="4">
        <v>160</v>
      </c>
    </row>
    <row r="88" spans="1:19" x14ac:dyDescent="0.2">
      <c r="A88" s="7">
        <f>DATE(91,7,30)</f>
        <v>33449</v>
      </c>
      <c r="B88" s="2">
        <v>1130</v>
      </c>
      <c r="D88" s="2">
        <v>-10</v>
      </c>
      <c r="E88" s="2">
        <v>25</v>
      </c>
      <c r="F88" s="2">
        <v>240</v>
      </c>
      <c r="G88" s="4">
        <v>489</v>
      </c>
      <c r="H88" s="4">
        <v>89</v>
      </c>
      <c r="I88" s="4">
        <v>91</v>
      </c>
      <c r="J88" s="4">
        <v>1789.5</v>
      </c>
      <c r="K88" s="4">
        <v>350</v>
      </c>
      <c r="L88" s="4">
        <v>341.5</v>
      </c>
      <c r="M88" s="4">
        <v>518</v>
      </c>
      <c r="N88" s="4">
        <v>289</v>
      </c>
      <c r="O88" s="4">
        <v>59.5</v>
      </c>
      <c r="Q88" s="4"/>
      <c r="R88" s="4">
        <v>227.5</v>
      </c>
      <c r="S88" s="4">
        <v>162.5</v>
      </c>
    </row>
    <row r="89" spans="1:19" x14ac:dyDescent="0.2">
      <c r="A89" s="7">
        <f>DATE(91,8,5)</f>
        <v>33455</v>
      </c>
      <c r="B89" s="2">
        <v>1115</v>
      </c>
      <c r="D89" s="2">
        <v>-5</v>
      </c>
      <c r="E89" s="2">
        <v>3</v>
      </c>
      <c r="F89" s="2">
        <v>100</v>
      </c>
      <c r="G89" s="4">
        <v>486.5</v>
      </c>
      <c r="H89" s="4">
        <v>108.5</v>
      </c>
      <c r="I89" s="4">
        <v>108</v>
      </c>
      <c r="J89" s="4">
        <v>1785.5</v>
      </c>
      <c r="K89" s="4">
        <v>353</v>
      </c>
      <c r="L89" s="4">
        <v>342.35</v>
      </c>
      <c r="M89" s="4">
        <v>528</v>
      </c>
      <c r="N89" s="4">
        <v>289</v>
      </c>
      <c r="O89" s="4">
        <v>60.5</v>
      </c>
      <c r="Q89" s="4">
        <v>17</v>
      </c>
      <c r="R89" s="4">
        <v>226</v>
      </c>
      <c r="S89" s="4">
        <v>163.5</v>
      </c>
    </row>
    <row r="90" spans="1:19" x14ac:dyDescent="0.2">
      <c r="A90" s="7">
        <f>DATE(91,8,7)</f>
        <v>33457</v>
      </c>
      <c r="B90" s="2">
        <v>1050</v>
      </c>
      <c r="D90" s="2">
        <v>-10</v>
      </c>
      <c r="E90" s="8" t="s">
        <v>1210</v>
      </c>
      <c r="F90" s="2">
        <v>350</v>
      </c>
      <c r="G90" s="4">
        <v>504.5</v>
      </c>
      <c r="H90" s="4">
        <v>63.5</v>
      </c>
      <c r="I90" s="4">
        <v>69</v>
      </c>
      <c r="J90" s="4">
        <v>1779</v>
      </c>
      <c r="K90" s="4">
        <v>348.5</v>
      </c>
      <c r="L90" s="4">
        <v>344</v>
      </c>
      <c r="M90" s="4">
        <v>529.5</v>
      </c>
      <c r="N90" s="4">
        <v>295</v>
      </c>
      <c r="O90" s="4">
        <v>66</v>
      </c>
      <c r="Q90" s="4">
        <v>17</v>
      </c>
      <c r="R90" s="4">
        <v>226.5</v>
      </c>
      <c r="S90" s="4">
        <v>153.5</v>
      </c>
    </row>
    <row r="91" spans="1:19" x14ac:dyDescent="0.2">
      <c r="A91" s="7">
        <f>DATE(91,8,9)</f>
        <v>33459</v>
      </c>
      <c r="B91" s="2">
        <v>915</v>
      </c>
      <c r="D91" s="2">
        <v>-17</v>
      </c>
      <c r="E91" s="8" t="s">
        <v>1211</v>
      </c>
      <c r="F91" s="2">
        <v>30</v>
      </c>
      <c r="G91" s="4">
        <v>508.5</v>
      </c>
      <c r="H91" s="4">
        <v>86.5</v>
      </c>
      <c r="I91" s="4"/>
      <c r="J91" s="4"/>
      <c r="K91" s="4"/>
      <c r="L91" s="4">
        <v>343.6</v>
      </c>
      <c r="M91" s="4">
        <v>524.5</v>
      </c>
      <c r="N91" s="4">
        <v>291.5</v>
      </c>
      <c r="O91" s="4">
        <v>61</v>
      </c>
      <c r="Q91" s="4">
        <v>20.5</v>
      </c>
      <c r="R91" s="4">
        <v>232.5</v>
      </c>
      <c r="S91" s="4">
        <v>160</v>
      </c>
    </row>
    <row r="92" spans="1:19" x14ac:dyDescent="0.2">
      <c r="A92" s="7">
        <f>DATE(91,8,12)</f>
        <v>33462</v>
      </c>
      <c r="B92" s="2">
        <v>1930</v>
      </c>
      <c r="D92" s="2">
        <v>-21</v>
      </c>
      <c r="E92" s="2">
        <v>4</v>
      </c>
      <c r="F92" s="2">
        <v>80</v>
      </c>
      <c r="G92" s="4">
        <v>489</v>
      </c>
      <c r="H92" s="4">
        <v>93</v>
      </c>
      <c r="I92" s="4">
        <v>93.5</v>
      </c>
      <c r="J92" s="4">
        <v>1797.5</v>
      </c>
      <c r="K92" s="4">
        <v>346.5</v>
      </c>
      <c r="L92" s="4">
        <v>343.65</v>
      </c>
      <c r="M92" s="4">
        <v>534</v>
      </c>
      <c r="N92" s="4">
        <v>418</v>
      </c>
      <c r="O92" s="4">
        <v>61.5</v>
      </c>
      <c r="Q92" s="4">
        <v>21</v>
      </c>
      <c r="R92" s="4">
        <v>231</v>
      </c>
      <c r="S92" s="4">
        <v>115.5</v>
      </c>
    </row>
    <row r="93" spans="1:19" x14ac:dyDescent="0.2">
      <c r="A93" s="7">
        <f>DATE(91,8,15)</f>
        <v>33465</v>
      </c>
      <c r="B93" s="2">
        <v>1100</v>
      </c>
      <c r="D93" s="2">
        <v>-15</v>
      </c>
      <c r="E93" s="8" t="s">
        <v>1211</v>
      </c>
      <c r="F93" s="2">
        <v>180</v>
      </c>
      <c r="G93" s="4">
        <v>480</v>
      </c>
      <c r="H93" s="4">
        <v>79</v>
      </c>
      <c r="I93" s="4">
        <v>87</v>
      </c>
      <c r="J93" s="4">
        <v>1807</v>
      </c>
      <c r="K93" s="4">
        <v>346</v>
      </c>
      <c r="L93" s="4">
        <v>343.1</v>
      </c>
      <c r="M93" s="4">
        <v>528</v>
      </c>
      <c r="N93" s="4">
        <v>290</v>
      </c>
      <c r="O93" s="4">
        <v>61</v>
      </c>
      <c r="Q93" s="4"/>
      <c r="R93" s="4">
        <v>227</v>
      </c>
      <c r="S93" s="4">
        <v>162</v>
      </c>
    </row>
    <row r="94" spans="1:19" x14ac:dyDescent="0.2">
      <c r="A94" s="7">
        <f>DATE(91,8,19)</f>
        <v>33469</v>
      </c>
      <c r="B94" s="2">
        <v>1107</v>
      </c>
      <c r="D94" s="2">
        <v>-18</v>
      </c>
      <c r="E94" s="8" t="s">
        <v>1211</v>
      </c>
      <c r="F94" s="2">
        <v>275</v>
      </c>
      <c r="G94" s="4">
        <v>481</v>
      </c>
      <c r="H94" s="4">
        <v>86</v>
      </c>
      <c r="I94" s="4">
        <v>87.5</v>
      </c>
      <c r="J94" s="4">
        <v>1807.5</v>
      </c>
      <c r="K94" s="4">
        <v>346</v>
      </c>
      <c r="L94" s="4">
        <v>343.9</v>
      </c>
      <c r="M94" s="4">
        <v>532</v>
      </c>
      <c r="N94" s="4">
        <v>290.5</v>
      </c>
      <c r="O94" s="4">
        <v>60</v>
      </c>
      <c r="Q94" s="4">
        <v>21</v>
      </c>
      <c r="R94" s="4">
        <v>227.5</v>
      </c>
      <c r="S94" s="4">
        <v>159.5</v>
      </c>
    </row>
    <row r="95" spans="1:19" x14ac:dyDescent="0.2">
      <c r="A95" s="7">
        <f>DATE(91,8,21)</f>
        <v>33471</v>
      </c>
      <c r="B95" s="2">
        <v>1100</v>
      </c>
      <c r="D95" s="2">
        <v>-15</v>
      </c>
      <c r="E95" s="8" t="s">
        <v>1210</v>
      </c>
      <c r="F95" s="2">
        <v>200</v>
      </c>
      <c r="G95" s="4">
        <v>460</v>
      </c>
      <c r="H95" s="4">
        <v>94</v>
      </c>
      <c r="I95" s="4">
        <v>96.5</v>
      </c>
      <c r="J95" s="4">
        <v>1814.5</v>
      </c>
      <c r="K95" s="4">
        <v>345</v>
      </c>
      <c r="L95" s="4">
        <v>342.35</v>
      </c>
      <c r="M95" s="4">
        <v>529</v>
      </c>
      <c r="N95" s="4">
        <v>292.5</v>
      </c>
      <c r="O95" s="4">
        <v>61.5</v>
      </c>
      <c r="Q95" s="4">
        <v>23</v>
      </c>
      <c r="R95" s="4">
        <v>232</v>
      </c>
      <c r="S95" s="4">
        <v>165</v>
      </c>
    </row>
    <row r="96" spans="1:19" x14ac:dyDescent="0.2">
      <c r="A96" s="7">
        <f>DATE(91,8,24)</f>
        <v>33474</v>
      </c>
      <c r="B96" s="2">
        <v>1015</v>
      </c>
      <c r="D96" s="2">
        <v>-19</v>
      </c>
      <c r="E96" s="8" t="s">
        <v>1210</v>
      </c>
      <c r="F96" s="2">
        <v>180</v>
      </c>
      <c r="G96" s="4">
        <v>495</v>
      </c>
      <c r="H96" s="4">
        <v>93.5</v>
      </c>
      <c r="I96" s="4">
        <v>98</v>
      </c>
      <c r="J96" s="4">
        <v>1810.5</v>
      </c>
      <c r="K96" s="4">
        <v>345</v>
      </c>
      <c r="L96" s="4">
        <v>343.85</v>
      </c>
      <c r="M96" s="4">
        <v>525</v>
      </c>
      <c r="N96" s="4">
        <v>288.5</v>
      </c>
      <c r="O96" s="4">
        <v>60</v>
      </c>
      <c r="Q96" s="4">
        <v>22</v>
      </c>
      <c r="R96" s="4">
        <v>231.5</v>
      </c>
      <c r="S96" s="4">
        <v>160</v>
      </c>
    </row>
    <row r="97" spans="1:21" x14ac:dyDescent="0.2">
      <c r="A97" s="7">
        <f>DATE(91,8,27)</f>
        <v>33477</v>
      </c>
      <c r="B97" s="2">
        <v>1030</v>
      </c>
      <c r="D97" s="2">
        <v>-30</v>
      </c>
      <c r="E97" s="8" t="s">
        <v>1203</v>
      </c>
      <c r="F97" s="2">
        <v>150</v>
      </c>
      <c r="G97" s="4">
        <v>478.5</v>
      </c>
      <c r="H97" s="4">
        <v>65</v>
      </c>
      <c r="I97" s="4">
        <v>85</v>
      </c>
      <c r="J97" s="4">
        <v>1806</v>
      </c>
      <c r="K97" s="4">
        <v>345</v>
      </c>
      <c r="L97" s="4">
        <v>342.9</v>
      </c>
      <c r="M97" s="4">
        <v>524</v>
      </c>
      <c r="N97" s="4">
        <v>292.5</v>
      </c>
      <c r="O97" s="4">
        <v>61.5</v>
      </c>
      <c r="Q97" s="4">
        <v>18</v>
      </c>
      <c r="R97" s="4">
        <v>228</v>
      </c>
      <c r="S97" s="4">
        <v>154.5</v>
      </c>
    </row>
    <row r="98" spans="1:21" x14ac:dyDescent="0.2">
      <c r="A98" s="7">
        <f>DATE(91,9,2)</f>
        <v>33483</v>
      </c>
      <c r="B98" s="2">
        <v>1630</v>
      </c>
      <c r="D98" s="2">
        <v>-25</v>
      </c>
      <c r="G98" s="4">
        <v>495.5</v>
      </c>
      <c r="H98" s="4">
        <v>78</v>
      </c>
      <c r="I98" s="4">
        <v>99.5</v>
      </c>
      <c r="J98" s="4">
        <v>1814</v>
      </c>
      <c r="K98" s="4">
        <v>346</v>
      </c>
      <c r="L98" s="4">
        <v>344.9</v>
      </c>
      <c r="M98" s="4">
        <v>538.5</v>
      </c>
      <c r="N98" s="4">
        <v>292</v>
      </c>
      <c r="O98" s="4">
        <v>62</v>
      </c>
      <c r="Q98" s="4">
        <v>24</v>
      </c>
      <c r="R98" s="4">
        <v>234.5</v>
      </c>
      <c r="S98" s="4">
        <v>160.5</v>
      </c>
    </row>
    <row r="99" spans="1:21" x14ac:dyDescent="0.2">
      <c r="A99" s="7">
        <f>DATE(91,9,4)</f>
        <v>33485</v>
      </c>
      <c r="B99" s="2">
        <v>920</v>
      </c>
      <c r="D99" s="2">
        <v>-27</v>
      </c>
      <c r="E99" s="2">
        <v>10</v>
      </c>
      <c r="F99" s="2">
        <v>200</v>
      </c>
      <c r="G99" s="4">
        <v>487</v>
      </c>
      <c r="H99" s="4">
        <v>81.5</v>
      </c>
      <c r="I99" s="4">
        <v>99</v>
      </c>
      <c r="J99" s="4">
        <v>1812</v>
      </c>
      <c r="K99" s="4">
        <v>346.5</v>
      </c>
      <c r="L99" s="4">
        <v>344.25</v>
      </c>
      <c r="M99" s="4">
        <v>534.5</v>
      </c>
      <c r="N99" s="4">
        <v>297</v>
      </c>
      <c r="O99" s="4">
        <v>61</v>
      </c>
      <c r="Q99" s="4">
        <v>21.5</v>
      </c>
      <c r="R99" s="4">
        <v>241.5</v>
      </c>
      <c r="S99" s="4">
        <v>164</v>
      </c>
    </row>
    <row r="100" spans="1:21" x14ac:dyDescent="0.2">
      <c r="A100" s="7">
        <f>DATE(91,9,8)</f>
        <v>33489</v>
      </c>
      <c r="B100" s="2">
        <v>1225</v>
      </c>
      <c r="D100" s="2">
        <v>-17</v>
      </c>
      <c r="E100" s="8" t="s">
        <v>1210</v>
      </c>
      <c r="F100" s="2">
        <v>90</v>
      </c>
      <c r="G100" s="4">
        <v>455.5</v>
      </c>
      <c r="H100" s="4">
        <v>72</v>
      </c>
      <c r="I100" s="4">
        <v>91</v>
      </c>
      <c r="J100" s="4">
        <v>1822</v>
      </c>
      <c r="K100" s="4">
        <v>347</v>
      </c>
      <c r="L100" s="4">
        <v>342.85</v>
      </c>
      <c r="M100" s="4">
        <v>534</v>
      </c>
      <c r="N100" s="4">
        <v>159.5</v>
      </c>
      <c r="O100" s="4">
        <v>60</v>
      </c>
      <c r="Q100" s="4">
        <v>22</v>
      </c>
      <c r="R100" s="4">
        <v>228</v>
      </c>
      <c r="S100" s="4">
        <v>160</v>
      </c>
    </row>
    <row r="101" spans="1:21" x14ac:dyDescent="0.2">
      <c r="A101" s="19"/>
    </row>
    <row r="104" spans="1:21" x14ac:dyDescent="0.2">
      <c r="G104" s="11" t="s">
        <v>117</v>
      </c>
      <c r="H104" s="11" t="s">
        <v>118</v>
      </c>
      <c r="I104" s="11" t="s">
        <v>118</v>
      </c>
      <c r="J104" s="11" t="s">
        <v>123</v>
      </c>
      <c r="K104" s="11" t="s">
        <v>134</v>
      </c>
      <c r="L104" s="11" t="s">
        <v>138</v>
      </c>
      <c r="M104" s="11" t="s">
        <v>136</v>
      </c>
      <c r="N104" s="11" t="s">
        <v>130</v>
      </c>
      <c r="O104" s="11" t="s">
        <v>133</v>
      </c>
      <c r="P104" s="4"/>
      <c r="Q104" s="11" t="s">
        <v>127</v>
      </c>
      <c r="R104" s="11" t="s">
        <v>121</v>
      </c>
      <c r="S104" s="11" t="s">
        <v>112</v>
      </c>
      <c r="T104" s="4"/>
      <c r="U104" s="4"/>
    </row>
    <row r="106" spans="1:21" x14ac:dyDescent="0.2">
      <c r="A106" s="7">
        <f>AVERAGE(A62:A100)</f>
        <v>33428.128205128203</v>
      </c>
      <c r="B106" s="7"/>
      <c r="G106" s="4">
        <f t="shared" ref="G106:O106" si="6">AVERAGE(G62:G100)</f>
        <v>505.88461538461536</v>
      </c>
      <c r="H106" s="4">
        <f t="shared" si="6"/>
        <v>89.310810810810807</v>
      </c>
      <c r="I106" s="4">
        <f t="shared" si="6"/>
        <v>99.10526315789474</v>
      </c>
      <c r="J106" s="4">
        <f t="shared" si="6"/>
        <v>1797.2763157894738</v>
      </c>
      <c r="K106" s="4">
        <f t="shared" si="6"/>
        <v>352.18421052631578</v>
      </c>
      <c r="L106" s="4">
        <f t="shared" si="6"/>
        <v>338.50128205128209</v>
      </c>
      <c r="M106" s="4">
        <f t="shared" si="6"/>
        <v>524.98717948717945</v>
      </c>
      <c r="N106" s="4">
        <f t="shared" si="6"/>
        <v>292.88157894736844</v>
      </c>
      <c r="O106" s="4">
        <f t="shared" si="6"/>
        <v>61.078947368421055</v>
      </c>
      <c r="P106" s="4"/>
      <c r="Q106" s="4">
        <f>AVERAGE(Q62:Q100)</f>
        <v>21.469696969696969</v>
      </c>
      <c r="R106" s="4">
        <f>AVERAGE(R62:R100)</f>
        <v>236.10256410256412</v>
      </c>
      <c r="S106" s="4">
        <f>AVERAGE(S62:S100)</f>
        <v>160.41025641025641</v>
      </c>
      <c r="T106" s="4"/>
      <c r="U106" s="4"/>
    </row>
    <row r="107" spans="1:21" x14ac:dyDescent="0.2">
      <c r="G107" s="4">
        <f t="shared" ref="G107:O107" si="7">STDEV(G62:G100)</f>
        <v>19.607484318380738</v>
      </c>
      <c r="H107" s="4">
        <f t="shared" si="7"/>
        <v>14.412740964233771</v>
      </c>
      <c r="I107" s="4">
        <f t="shared" si="7"/>
        <v>13.3082771920624</v>
      </c>
      <c r="J107" s="4">
        <f t="shared" si="7"/>
        <v>12.284739692113432</v>
      </c>
      <c r="K107" s="4">
        <f t="shared" si="7"/>
        <v>5.1758548747246094</v>
      </c>
      <c r="L107" s="4">
        <f t="shared" si="7"/>
        <v>27.646477093501652</v>
      </c>
      <c r="M107" s="4">
        <f t="shared" si="7"/>
        <v>11.502566749876207</v>
      </c>
      <c r="N107" s="4">
        <f t="shared" si="7"/>
        <v>35.286938516567048</v>
      </c>
      <c r="O107" s="4">
        <f t="shared" si="7"/>
        <v>2.9694988106318942</v>
      </c>
      <c r="P107" s="4"/>
      <c r="Q107" s="4">
        <f>STDEV(Q62:Q100)</f>
        <v>7.5435603683077268</v>
      </c>
      <c r="R107" s="4">
        <f>STDEV(R62:R100)</f>
        <v>24.251201675917834</v>
      </c>
      <c r="S107" s="4">
        <f>STDEV(S62:S100)</f>
        <v>7.7974960512568225</v>
      </c>
      <c r="T107" s="4"/>
      <c r="U107" s="4"/>
    </row>
    <row r="108" spans="1:21" x14ac:dyDescent="0.2">
      <c r="A108" s="4">
        <f>COUNTA(A62:A100)</f>
        <v>39</v>
      </c>
      <c r="G108" s="4">
        <f t="shared" ref="G108:O108" si="8">COUNTA(G62:G100)</f>
        <v>39</v>
      </c>
      <c r="H108" s="4">
        <f t="shared" si="8"/>
        <v>37</v>
      </c>
      <c r="I108" s="4">
        <f t="shared" si="8"/>
        <v>38</v>
      </c>
      <c r="J108" s="4">
        <f t="shared" si="8"/>
        <v>38</v>
      </c>
      <c r="K108" s="4">
        <f t="shared" si="8"/>
        <v>38</v>
      </c>
      <c r="L108" s="4">
        <f t="shared" si="8"/>
        <v>39</v>
      </c>
      <c r="M108" s="4">
        <f t="shared" si="8"/>
        <v>39</v>
      </c>
      <c r="N108" s="4">
        <f t="shared" si="8"/>
        <v>38</v>
      </c>
      <c r="O108" s="4">
        <f t="shared" si="8"/>
        <v>38</v>
      </c>
      <c r="P108" s="4"/>
      <c r="Q108" s="4">
        <f>COUNTA(Q62:Q100)</f>
        <v>33</v>
      </c>
      <c r="R108" s="4">
        <f>COUNTA(R62:R100)</f>
        <v>39</v>
      </c>
      <c r="S108" s="4">
        <f>COUNTA(S62:S100)</f>
        <v>39</v>
      </c>
      <c r="T108" s="4"/>
      <c r="U108" s="4"/>
    </row>
  </sheetData>
  <pageMargins left="0.5" right="0.5" top="0.75" bottom="0.75" header="0.5" footer="0.5"/>
  <pageSetup orientation="portrait" horizontalDpi="0" verticalDpi="0" copies="0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1"/>
  <sheetViews>
    <sheetView showOutlineSymbols="0" defaultGridColor="0" colorId="9" workbookViewId="0">
      <selection activeCell="E1" sqref="E1"/>
    </sheetView>
  </sheetViews>
  <sheetFormatPr defaultColWidth="8.6640625" defaultRowHeight="15" x14ac:dyDescent="0.2"/>
  <cols>
    <col min="1" max="16384" width="8.6640625" style="2"/>
  </cols>
  <sheetData>
    <row r="1" spans="1:25" ht="18" x14ac:dyDescent="0.25">
      <c r="A1" s="18" t="s">
        <v>1274</v>
      </c>
      <c r="Y1" s="2" t="s">
        <v>1</v>
      </c>
    </row>
    <row r="2" spans="1:25" x14ac:dyDescent="0.2">
      <c r="A2" s="2" t="s">
        <v>1275</v>
      </c>
      <c r="Y2" s="2" t="s">
        <v>1</v>
      </c>
    </row>
    <row r="3" spans="1:25" x14ac:dyDescent="0.2">
      <c r="A3" s="2" t="s">
        <v>284</v>
      </c>
      <c r="B3" s="2" t="s">
        <v>367</v>
      </c>
      <c r="C3" s="15" t="s">
        <v>253</v>
      </c>
      <c r="D3" s="8" t="s">
        <v>286</v>
      </c>
      <c r="E3" s="8" t="s">
        <v>117</v>
      </c>
      <c r="F3" s="8" t="s">
        <v>118</v>
      </c>
      <c r="G3" s="8" t="s">
        <v>123</v>
      </c>
      <c r="H3" s="8" t="s">
        <v>134</v>
      </c>
      <c r="I3" s="8" t="s">
        <v>138</v>
      </c>
      <c r="J3" s="8" t="s">
        <v>136</v>
      </c>
      <c r="K3" s="8" t="s">
        <v>130</v>
      </c>
      <c r="L3" s="8" t="s">
        <v>133</v>
      </c>
      <c r="M3" s="8" t="s">
        <v>121</v>
      </c>
      <c r="N3" s="8" t="s">
        <v>112</v>
      </c>
      <c r="O3" s="8" t="s">
        <v>127</v>
      </c>
      <c r="P3" s="8" t="s">
        <v>118</v>
      </c>
      <c r="Q3" s="8" t="s">
        <v>126</v>
      </c>
      <c r="R3" s="8" t="s">
        <v>122</v>
      </c>
      <c r="S3" s="8" t="s">
        <v>113</v>
      </c>
      <c r="T3" s="8" t="s">
        <v>131</v>
      </c>
      <c r="U3" s="8" t="s">
        <v>129</v>
      </c>
      <c r="V3" s="8" t="s">
        <v>149</v>
      </c>
      <c r="W3" s="8" t="s">
        <v>151</v>
      </c>
      <c r="Y3" s="2" t="s">
        <v>1</v>
      </c>
    </row>
    <row r="4" spans="1:25" x14ac:dyDescent="0.2">
      <c r="A4" s="2" t="s">
        <v>289</v>
      </c>
      <c r="E4" s="8" t="s">
        <v>266</v>
      </c>
      <c r="F4" s="8" t="s">
        <v>266</v>
      </c>
      <c r="G4" s="8" t="s">
        <v>266</v>
      </c>
      <c r="H4" s="8" t="s">
        <v>371</v>
      </c>
      <c r="I4" s="8" t="s">
        <v>266</v>
      </c>
      <c r="J4" s="8" t="s">
        <v>144</v>
      </c>
      <c r="K4" s="8" t="s">
        <v>144</v>
      </c>
      <c r="L4" s="8" t="s">
        <v>144</v>
      </c>
      <c r="M4" s="8" t="s">
        <v>144</v>
      </c>
      <c r="N4" s="8" t="s">
        <v>144</v>
      </c>
      <c r="O4" s="8" t="s">
        <v>144</v>
      </c>
      <c r="P4" s="8" t="s">
        <v>266</v>
      </c>
      <c r="Q4" s="8" t="s">
        <v>144</v>
      </c>
      <c r="R4" s="8" t="s">
        <v>144</v>
      </c>
      <c r="S4" s="8" t="s">
        <v>144</v>
      </c>
      <c r="T4" s="8" t="s">
        <v>144</v>
      </c>
      <c r="U4" s="8" t="s">
        <v>144</v>
      </c>
      <c r="V4" s="8" t="s">
        <v>144</v>
      </c>
      <c r="W4" s="8" t="s">
        <v>144</v>
      </c>
      <c r="Y4" s="2" t="s">
        <v>1</v>
      </c>
    </row>
    <row r="5" spans="1:25" x14ac:dyDescent="0.2">
      <c r="Y5" s="2" t="s">
        <v>1</v>
      </c>
    </row>
    <row r="6" spans="1:25" x14ac:dyDescent="0.2">
      <c r="A6" s="2">
        <v>1</v>
      </c>
      <c r="B6" s="2" t="s">
        <v>1276</v>
      </c>
      <c r="C6" s="19">
        <f>DATE(87,6,26)</f>
        <v>31954</v>
      </c>
      <c r="D6" s="8" t="s">
        <v>1039</v>
      </c>
      <c r="E6" s="2">
        <v>580</v>
      </c>
      <c r="F6" s="2">
        <v>130</v>
      </c>
      <c r="G6" s="2">
        <v>1688</v>
      </c>
      <c r="H6" s="2">
        <v>364</v>
      </c>
      <c r="I6" s="2">
        <v>308</v>
      </c>
      <c r="J6" s="2">
        <v>687</v>
      </c>
      <c r="K6" s="2">
        <v>4133</v>
      </c>
      <c r="L6" s="2">
        <v>711</v>
      </c>
      <c r="M6" s="2">
        <v>489</v>
      </c>
      <c r="N6" s="2">
        <v>114</v>
      </c>
      <c r="O6" s="2">
        <v>24</v>
      </c>
      <c r="P6" s="2">
        <v>126</v>
      </c>
      <c r="Q6" s="4">
        <v>998</v>
      </c>
      <c r="R6" s="4">
        <v>1110</v>
      </c>
      <c r="S6" s="4">
        <v>553</v>
      </c>
      <c r="T6" s="4">
        <v>1290</v>
      </c>
      <c r="U6" s="4">
        <v>935</v>
      </c>
      <c r="V6" s="4">
        <v>125</v>
      </c>
      <c r="W6" s="4">
        <v>325</v>
      </c>
      <c r="Y6" s="2" t="s">
        <v>1</v>
      </c>
    </row>
    <row r="7" spans="1:25" x14ac:dyDescent="0.2">
      <c r="A7" s="2">
        <v>2</v>
      </c>
      <c r="B7" s="2" t="s">
        <v>1277</v>
      </c>
      <c r="C7" s="19">
        <f>DATE(87,6,26)</f>
        <v>31954</v>
      </c>
      <c r="D7" s="2">
        <v>1100</v>
      </c>
      <c r="E7" s="2">
        <v>614</v>
      </c>
      <c r="F7" s="2">
        <v>131</v>
      </c>
      <c r="G7" s="2">
        <v>1698</v>
      </c>
      <c r="H7" s="2">
        <v>385</v>
      </c>
      <c r="I7" s="2">
        <v>309</v>
      </c>
      <c r="J7" s="2">
        <v>1302</v>
      </c>
      <c r="K7" s="2">
        <v>2680</v>
      </c>
      <c r="L7" s="2">
        <v>193</v>
      </c>
      <c r="M7" s="2">
        <v>441</v>
      </c>
      <c r="N7" s="2">
        <v>107</v>
      </c>
      <c r="O7" s="2">
        <v>23</v>
      </c>
      <c r="P7" s="2">
        <v>129</v>
      </c>
      <c r="Q7" s="4">
        <v>954</v>
      </c>
      <c r="R7" s="4">
        <v>524</v>
      </c>
      <c r="S7" s="4">
        <v>403</v>
      </c>
      <c r="T7" s="4">
        <v>313</v>
      </c>
      <c r="U7" s="4">
        <v>2700</v>
      </c>
      <c r="V7" s="4">
        <v>74</v>
      </c>
      <c r="W7" s="4">
        <v>623</v>
      </c>
      <c r="Y7" s="2" t="s">
        <v>1</v>
      </c>
    </row>
    <row r="8" spans="1:25" x14ac:dyDescent="0.2">
      <c r="A8" s="2">
        <v>3</v>
      </c>
      <c r="B8" s="2" t="s">
        <v>1278</v>
      </c>
      <c r="C8" s="19">
        <f>DATE(87,6,26)</f>
        <v>31954</v>
      </c>
      <c r="D8" s="2">
        <v>1900</v>
      </c>
      <c r="E8" s="2">
        <v>579</v>
      </c>
      <c r="F8" s="2">
        <v>108</v>
      </c>
      <c r="G8" s="2">
        <v>1690</v>
      </c>
      <c r="H8" s="2">
        <v>361</v>
      </c>
      <c r="I8" s="2">
        <v>316</v>
      </c>
      <c r="J8" s="2">
        <v>659</v>
      </c>
      <c r="K8" s="2">
        <v>958</v>
      </c>
      <c r="L8" s="2">
        <v>30259</v>
      </c>
      <c r="M8" s="2">
        <v>662</v>
      </c>
      <c r="N8" s="2">
        <v>114</v>
      </c>
      <c r="O8" s="2">
        <v>29</v>
      </c>
      <c r="P8" s="2">
        <v>108</v>
      </c>
      <c r="Q8" s="4">
        <v>970</v>
      </c>
      <c r="R8" s="4">
        <v>2020</v>
      </c>
      <c r="S8" s="4">
        <v>408</v>
      </c>
      <c r="T8" s="4">
        <v>510</v>
      </c>
      <c r="U8" s="4">
        <v>397</v>
      </c>
      <c r="V8" s="4">
        <v>91</v>
      </c>
      <c r="W8" s="4">
        <v>232</v>
      </c>
      <c r="Y8" s="2" t="s">
        <v>1</v>
      </c>
    </row>
    <row r="9" spans="1:25" x14ac:dyDescent="0.2">
      <c r="A9" s="2">
        <v>4</v>
      </c>
      <c r="B9" s="2" t="s">
        <v>1279</v>
      </c>
      <c r="C9" s="19">
        <f>DATE(87,6,27)</f>
        <v>31955</v>
      </c>
      <c r="D9" s="8" t="s">
        <v>1039</v>
      </c>
      <c r="E9" s="2">
        <v>533</v>
      </c>
      <c r="F9" s="2">
        <v>100</v>
      </c>
      <c r="G9" s="2">
        <v>1683</v>
      </c>
      <c r="H9" s="2">
        <v>363</v>
      </c>
      <c r="I9" s="2">
        <v>316</v>
      </c>
      <c r="J9" s="2">
        <v>466</v>
      </c>
      <c r="K9" s="2">
        <v>308</v>
      </c>
      <c r="L9" s="2">
        <v>257</v>
      </c>
      <c r="M9" s="2">
        <v>216</v>
      </c>
      <c r="N9" s="2">
        <v>160</v>
      </c>
      <c r="O9" s="2">
        <v>16</v>
      </c>
      <c r="P9" s="2">
        <v>99</v>
      </c>
      <c r="Q9" s="4">
        <v>970</v>
      </c>
      <c r="R9" s="4">
        <v>1670</v>
      </c>
      <c r="S9" s="4">
        <v>272</v>
      </c>
      <c r="T9" s="4">
        <v>608</v>
      </c>
      <c r="U9" s="4">
        <v>591</v>
      </c>
      <c r="V9" s="4">
        <v>67</v>
      </c>
      <c r="W9" s="4">
        <v>155</v>
      </c>
      <c r="Y9" s="2" t="s">
        <v>1</v>
      </c>
    </row>
    <row r="10" spans="1:25" x14ac:dyDescent="0.2">
      <c r="A10" s="2">
        <v>5</v>
      </c>
      <c r="B10" s="2" t="s">
        <v>1280</v>
      </c>
      <c r="C10" s="19">
        <f>DATE(87,6,27)</f>
        <v>31955</v>
      </c>
      <c r="D10" s="2">
        <v>1100</v>
      </c>
      <c r="E10" s="2">
        <v>548</v>
      </c>
      <c r="F10" s="2">
        <v>130</v>
      </c>
      <c r="G10" s="2">
        <v>1682</v>
      </c>
      <c r="H10" s="2">
        <v>362</v>
      </c>
      <c r="I10" s="2">
        <v>311</v>
      </c>
      <c r="J10" s="2">
        <v>478</v>
      </c>
      <c r="K10" s="2">
        <v>320</v>
      </c>
      <c r="L10" s="2">
        <v>55</v>
      </c>
      <c r="M10" s="2">
        <v>173</v>
      </c>
      <c r="N10" s="2">
        <v>160</v>
      </c>
      <c r="O10" s="2">
        <v>16</v>
      </c>
      <c r="P10" s="2">
        <v>129</v>
      </c>
      <c r="Q10" s="4">
        <v>880</v>
      </c>
      <c r="R10" s="4">
        <v>1360</v>
      </c>
      <c r="S10" s="4">
        <v>280</v>
      </c>
      <c r="T10" s="4">
        <v>222</v>
      </c>
      <c r="U10" s="4">
        <v>536</v>
      </c>
      <c r="V10" s="4">
        <v>57</v>
      </c>
      <c r="W10" s="4">
        <v>149</v>
      </c>
      <c r="Y10" s="2" t="s">
        <v>1</v>
      </c>
    </row>
    <row r="11" spans="1:25" x14ac:dyDescent="0.2">
      <c r="A11" s="2">
        <v>6</v>
      </c>
      <c r="B11" s="2" t="s">
        <v>1281</v>
      </c>
      <c r="C11" s="19">
        <f>DATE(87,6,27)</f>
        <v>31955</v>
      </c>
      <c r="D11" s="2">
        <v>1900</v>
      </c>
      <c r="E11" s="2">
        <v>556</v>
      </c>
      <c r="F11" s="2">
        <v>100</v>
      </c>
      <c r="G11" s="2">
        <v>1682</v>
      </c>
      <c r="H11" s="2">
        <v>361</v>
      </c>
      <c r="I11" s="2">
        <v>313</v>
      </c>
      <c r="J11" s="2">
        <v>481</v>
      </c>
      <c r="K11" s="2">
        <v>372</v>
      </c>
      <c r="L11" s="2">
        <v>17492</v>
      </c>
      <c r="M11" s="2">
        <v>248</v>
      </c>
      <c r="N11" s="2">
        <v>106</v>
      </c>
      <c r="O11" s="2">
        <v>24</v>
      </c>
      <c r="P11" s="2">
        <v>99</v>
      </c>
      <c r="Q11" s="4">
        <v>774</v>
      </c>
      <c r="R11" s="4">
        <v>334</v>
      </c>
      <c r="S11" s="4">
        <v>220</v>
      </c>
      <c r="T11" s="4">
        <v>335</v>
      </c>
      <c r="U11" s="4">
        <v>156</v>
      </c>
      <c r="V11" s="4">
        <v>57</v>
      </c>
      <c r="W11" s="4">
        <v>210</v>
      </c>
      <c r="Y11" s="2" t="s">
        <v>1</v>
      </c>
    </row>
    <row r="12" spans="1:25" x14ac:dyDescent="0.2">
      <c r="A12" s="2">
        <v>7</v>
      </c>
      <c r="B12" s="2" t="s">
        <v>1282</v>
      </c>
      <c r="C12" s="19">
        <f>DATE(87,6,28)</f>
        <v>31956</v>
      </c>
      <c r="D12" s="8" t="s">
        <v>1039</v>
      </c>
      <c r="E12" s="2">
        <v>529</v>
      </c>
      <c r="F12" s="2">
        <v>108</v>
      </c>
      <c r="G12" s="2">
        <v>1680</v>
      </c>
      <c r="H12" s="2">
        <v>363</v>
      </c>
      <c r="I12" s="2">
        <v>308</v>
      </c>
      <c r="J12" s="2">
        <v>485</v>
      </c>
      <c r="K12" s="2">
        <v>376</v>
      </c>
      <c r="L12" s="2">
        <v>210</v>
      </c>
      <c r="M12" s="2">
        <v>202</v>
      </c>
      <c r="N12" s="2">
        <v>106</v>
      </c>
      <c r="O12" s="2">
        <v>16</v>
      </c>
      <c r="P12" s="2">
        <v>104</v>
      </c>
      <c r="Q12" s="4">
        <v>810</v>
      </c>
      <c r="R12" s="4">
        <v>516</v>
      </c>
      <c r="S12" s="4">
        <v>209</v>
      </c>
      <c r="T12" s="4">
        <v>626</v>
      </c>
      <c r="U12" s="4">
        <v>508</v>
      </c>
      <c r="V12" s="4">
        <v>64</v>
      </c>
      <c r="W12" s="4">
        <v>121</v>
      </c>
      <c r="Y12" s="2" t="s">
        <v>1</v>
      </c>
    </row>
    <row r="13" spans="1:25" x14ac:dyDescent="0.2">
      <c r="A13" s="2">
        <v>8</v>
      </c>
      <c r="B13" s="2" t="s">
        <v>1283</v>
      </c>
      <c r="C13" s="19">
        <f>DATE(87,6,28)</f>
        <v>31956</v>
      </c>
      <c r="D13" s="2">
        <v>1100</v>
      </c>
      <c r="E13" s="2">
        <v>556</v>
      </c>
      <c r="F13" s="2">
        <v>107</v>
      </c>
      <c r="G13" s="2">
        <v>1678</v>
      </c>
      <c r="H13" s="2">
        <v>361</v>
      </c>
      <c r="I13" s="2">
        <v>309</v>
      </c>
      <c r="J13" s="2">
        <v>478</v>
      </c>
      <c r="K13" s="2">
        <v>354</v>
      </c>
      <c r="L13" s="2">
        <v>50</v>
      </c>
      <c r="M13" s="2">
        <v>186</v>
      </c>
      <c r="N13" s="2">
        <v>114</v>
      </c>
      <c r="O13" s="2">
        <v>17</v>
      </c>
      <c r="P13" s="2">
        <v>104</v>
      </c>
      <c r="Q13" s="4">
        <v>826</v>
      </c>
      <c r="R13" s="4">
        <v>678</v>
      </c>
      <c r="S13" s="4">
        <v>270</v>
      </c>
      <c r="T13" s="4">
        <v>261</v>
      </c>
      <c r="U13" s="4">
        <v>431</v>
      </c>
      <c r="V13" s="4">
        <v>57</v>
      </c>
      <c r="W13" s="4">
        <v>121</v>
      </c>
      <c r="Y13" s="2" t="s">
        <v>1</v>
      </c>
    </row>
    <row r="14" spans="1:25" x14ac:dyDescent="0.2">
      <c r="A14" s="2">
        <v>9</v>
      </c>
      <c r="B14" s="2" t="s">
        <v>1284</v>
      </c>
      <c r="C14" s="19">
        <f>DATE(87,6,28)</f>
        <v>31956</v>
      </c>
      <c r="D14" s="2">
        <v>1900</v>
      </c>
      <c r="E14" s="2">
        <v>554</v>
      </c>
      <c r="F14" s="2">
        <v>91</v>
      </c>
      <c r="G14" s="2">
        <v>1680</v>
      </c>
      <c r="H14" s="2">
        <v>362</v>
      </c>
      <c r="I14" s="2">
        <v>311</v>
      </c>
      <c r="J14" s="2">
        <v>465</v>
      </c>
      <c r="K14" s="2">
        <v>479</v>
      </c>
      <c r="L14" s="2">
        <v>15747</v>
      </c>
      <c r="M14" s="2">
        <v>229</v>
      </c>
      <c r="N14" s="2">
        <v>108</v>
      </c>
      <c r="O14" s="2">
        <v>18</v>
      </c>
      <c r="P14" s="2">
        <v>87</v>
      </c>
      <c r="Q14" s="4">
        <v>702</v>
      </c>
      <c r="R14" s="4">
        <v>335</v>
      </c>
      <c r="S14" s="4">
        <v>198</v>
      </c>
      <c r="T14" s="4">
        <v>255</v>
      </c>
      <c r="U14" s="4">
        <v>295</v>
      </c>
      <c r="V14" s="4">
        <v>45</v>
      </c>
      <c r="W14" s="4">
        <v>149</v>
      </c>
      <c r="Y14" s="2" t="s">
        <v>1</v>
      </c>
    </row>
    <row r="15" spans="1:25" x14ac:dyDescent="0.2">
      <c r="A15" s="2">
        <v>10</v>
      </c>
      <c r="B15" s="2" t="s">
        <v>1285</v>
      </c>
      <c r="C15" s="19">
        <f>DATE(87,6,29)</f>
        <v>31957</v>
      </c>
      <c r="D15" s="8" t="s">
        <v>1039</v>
      </c>
      <c r="E15" s="2">
        <v>526</v>
      </c>
      <c r="F15" s="2">
        <v>91</v>
      </c>
      <c r="G15" s="2">
        <v>1681</v>
      </c>
      <c r="H15" s="2">
        <v>364</v>
      </c>
      <c r="I15" s="2">
        <v>310</v>
      </c>
      <c r="J15" s="2">
        <v>452</v>
      </c>
      <c r="K15" s="2">
        <v>277</v>
      </c>
      <c r="L15" s="2">
        <v>188</v>
      </c>
      <c r="M15" s="2">
        <v>169</v>
      </c>
      <c r="N15" s="2">
        <v>107</v>
      </c>
      <c r="O15" s="2">
        <v>20</v>
      </c>
      <c r="P15" s="2">
        <v>88</v>
      </c>
      <c r="Q15" s="4">
        <v>728</v>
      </c>
      <c r="R15" s="4">
        <v>2000</v>
      </c>
      <c r="S15" s="4">
        <v>189</v>
      </c>
      <c r="T15" s="4">
        <v>767</v>
      </c>
      <c r="U15" s="4">
        <v>736</v>
      </c>
      <c r="V15" s="4">
        <v>69</v>
      </c>
      <c r="W15" s="4">
        <v>140</v>
      </c>
      <c r="Y15" s="2" t="s">
        <v>1</v>
      </c>
    </row>
    <row r="16" spans="1:25" x14ac:dyDescent="0.2">
      <c r="A16" s="2">
        <v>11</v>
      </c>
      <c r="B16" s="2" t="s">
        <v>1286</v>
      </c>
      <c r="C16" s="19">
        <f>DATE(87,6,29)</f>
        <v>31957</v>
      </c>
      <c r="D16" s="2">
        <v>1100</v>
      </c>
      <c r="E16" s="2">
        <v>557</v>
      </c>
      <c r="F16" s="2">
        <v>128</v>
      </c>
      <c r="G16" s="2">
        <v>1677</v>
      </c>
      <c r="H16" s="2">
        <v>362</v>
      </c>
      <c r="I16" s="2">
        <v>309</v>
      </c>
      <c r="J16" s="2">
        <v>457</v>
      </c>
      <c r="K16" s="2">
        <v>314</v>
      </c>
      <c r="L16" s="2">
        <v>50</v>
      </c>
      <c r="M16" s="2">
        <v>161</v>
      </c>
      <c r="N16" s="2">
        <v>109</v>
      </c>
      <c r="P16" s="2">
        <v>124</v>
      </c>
      <c r="Q16" s="4">
        <v>733</v>
      </c>
      <c r="R16" s="4">
        <v>1640</v>
      </c>
      <c r="S16" s="4">
        <v>271</v>
      </c>
      <c r="T16" s="4">
        <v>176</v>
      </c>
      <c r="U16" s="4">
        <v>774</v>
      </c>
      <c r="V16" s="4">
        <v>70</v>
      </c>
      <c r="W16" s="4">
        <v>174</v>
      </c>
      <c r="Y16" s="2" t="s">
        <v>1</v>
      </c>
    </row>
    <row r="17" spans="1:25" x14ac:dyDescent="0.2">
      <c r="A17" s="2">
        <v>12</v>
      </c>
      <c r="B17" s="2" t="s">
        <v>1287</v>
      </c>
      <c r="C17" s="19">
        <f>DATE(87,6,29)</f>
        <v>31957</v>
      </c>
      <c r="D17" s="2">
        <v>1900</v>
      </c>
      <c r="E17" s="2">
        <v>533</v>
      </c>
      <c r="F17" s="2">
        <v>110</v>
      </c>
      <c r="G17" s="2">
        <v>1676</v>
      </c>
      <c r="H17" s="2">
        <v>361</v>
      </c>
      <c r="I17" s="2">
        <v>311</v>
      </c>
      <c r="J17" s="2">
        <v>442</v>
      </c>
      <c r="K17" s="2">
        <v>345</v>
      </c>
      <c r="L17" s="2">
        <v>14474</v>
      </c>
      <c r="M17" s="2">
        <v>212</v>
      </c>
      <c r="N17" s="2">
        <v>113</v>
      </c>
      <c r="O17" s="2">
        <v>11</v>
      </c>
      <c r="P17" s="2">
        <v>103</v>
      </c>
      <c r="Q17" s="4">
        <v>879</v>
      </c>
      <c r="R17" s="4">
        <v>571</v>
      </c>
      <c r="S17" s="4">
        <v>252</v>
      </c>
      <c r="T17" s="4">
        <v>359</v>
      </c>
      <c r="U17" s="4">
        <v>324</v>
      </c>
      <c r="V17" s="4">
        <v>62</v>
      </c>
      <c r="W17" s="4">
        <v>112</v>
      </c>
      <c r="Y17" s="2" t="s">
        <v>1</v>
      </c>
    </row>
    <row r="18" spans="1:25" x14ac:dyDescent="0.2">
      <c r="A18" s="2">
        <v>13</v>
      </c>
      <c r="B18" s="2" t="s">
        <v>1288</v>
      </c>
      <c r="C18" s="19">
        <f>DATE(87,6,30)</f>
        <v>31958</v>
      </c>
      <c r="D18" s="8" t="s">
        <v>1039</v>
      </c>
      <c r="E18" s="2">
        <v>524</v>
      </c>
      <c r="F18" s="2">
        <v>92</v>
      </c>
      <c r="G18" s="2">
        <v>1682</v>
      </c>
      <c r="H18" s="2">
        <v>361</v>
      </c>
      <c r="I18" s="2">
        <v>311</v>
      </c>
      <c r="J18" s="2">
        <v>455</v>
      </c>
      <c r="K18" s="2">
        <v>414</v>
      </c>
      <c r="L18" s="2">
        <v>226</v>
      </c>
      <c r="M18" s="2">
        <v>177</v>
      </c>
      <c r="N18" s="2">
        <v>109</v>
      </c>
      <c r="P18" s="2">
        <v>92</v>
      </c>
      <c r="Q18" s="4">
        <v>749</v>
      </c>
      <c r="R18" s="4">
        <v>614</v>
      </c>
      <c r="S18" s="4">
        <v>281</v>
      </c>
      <c r="T18" s="4">
        <v>433</v>
      </c>
      <c r="U18" s="4">
        <v>398</v>
      </c>
      <c r="V18" s="4">
        <v>55</v>
      </c>
      <c r="W18" s="4">
        <v>101</v>
      </c>
      <c r="Y18" s="2" t="s">
        <v>1</v>
      </c>
    </row>
    <row r="19" spans="1:25" x14ac:dyDescent="0.2">
      <c r="A19" s="2">
        <v>14</v>
      </c>
      <c r="B19" s="2" t="s">
        <v>1281</v>
      </c>
      <c r="C19" s="19">
        <f>DATE(87,6,30)</f>
        <v>31958</v>
      </c>
      <c r="D19" s="2">
        <v>1100</v>
      </c>
      <c r="E19" s="2">
        <v>542</v>
      </c>
      <c r="F19" s="2">
        <v>122</v>
      </c>
      <c r="G19" s="2">
        <v>1682</v>
      </c>
      <c r="H19" s="2">
        <v>366</v>
      </c>
      <c r="I19" s="2">
        <v>310</v>
      </c>
      <c r="J19" s="2">
        <v>444</v>
      </c>
      <c r="K19" s="2">
        <v>270</v>
      </c>
      <c r="L19" s="2">
        <v>46</v>
      </c>
      <c r="M19" s="2">
        <v>212</v>
      </c>
      <c r="N19" s="2">
        <v>110</v>
      </c>
      <c r="P19" s="2">
        <v>116</v>
      </c>
      <c r="Q19" s="4">
        <v>786</v>
      </c>
      <c r="R19" s="4">
        <v>667</v>
      </c>
      <c r="S19" s="4">
        <v>264</v>
      </c>
      <c r="T19" s="4">
        <v>231</v>
      </c>
      <c r="U19" s="4">
        <v>453</v>
      </c>
      <c r="V19" s="4">
        <v>69</v>
      </c>
      <c r="W19" s="4">
        <v>142</v>
      </c>
      <c r="Y19" s="2" t="s">
        <v>1</v>
      </c>
    </row>
    <row r="20" spans="1:25" x14ac:dyDescent="0.2">
      <c r="A20" s="2">
        <v>15</v>
      </c>
      <c r="B20" s="2" t="s">
        <v>1282</v>
      </c>
      <c r="C20" s="19">
        <f>DATE(87,6,30)</f>
        <v>31958</v>
      </c>
      <c r="D20" s="2">
        <v>1900</v>
      </c>
      <c r="E20" s="2">
        <v>572</v>
      </c>
      <c r="F20" s="2">
        <v>107</v>
      </c>
      <c r="G20" s="2">
        <v>1666</v>
      </c>
      <c r="H20" s="2">
        <v>363</v>
      </c>
      <c r="I20" s="2">
        <v>313</v>
      </c>
      <c r="J20" s="2">
        <v>442</v>
      </c>
      <c r="K20" s="2">
        <v>296</v>
      </c>
      <c r="L20" s="2">
        <v>15548</v>
      </c>
      <c r="M20" s="2">
        <v>208</v>
      </c>
      <c r="N20" s="2">
        <v>113</v>
      </c>
      <c r="P20" s="2">
        <v>101</v>
      </c>
      <c r="Q20" s="4">
        <v>644</v>
      </c>
      <c r="R20" s="4">
        <v>1170</v>
      </c>
      <c r="S20" s="4">
        <v>212</v>
      </c>
      <c r="T20" s="4">
        <v>410</v>
      </c>
      <c r="U20" s="4">
        <v>273</v>
      </c>
      <c r="V20" s="4">
        <v>66</v>
      </c>
      <c r="W20" s="4">
        <v>135</v>
      </c>
      <c r="Y20" s="2" t="s">
        <v>1</v>
      </c>
    </row>
    <row r="21" spans="1:25" x14ac:dyDescent="0.2">
      <c r="A21" s="2">
        <v>16</v>
      </c>
      <c r="B21" s="2" t="s">
        <v>1289</v>
      </c>
      <c r="C21" s="19">
        <f>DATE(87,7,5)</f>
        <v>31963</v>
      </c>
      <c r="D21" s="2">
        <v>1900</v>
      </c>
      <c r="E21" s="2">
        <v>602</v>
      </c>
      <c r="F21" s="2">
        <v>122</v>
      </c>
      <c r="G21" s="2">
        <v>1704</v>
      </c>
      <c r="H21" s="2">
        <v>358</v>
      </c>
      <c r="I21" s="2">
        <v>315</v>
      </c>
      <c r="J21" s="2">
        <v>483</v>
      </c>
      <c r="K21" s="2">
        <v>476</v>
      </c>
      <c r="L21" s="2">
        <v>14838</v>
      </c>
      <c r="M21" s="2">
        <v>206</v>
      </c>
      <c r="N21" s="2">
        <v>113</v>
      </c>
      <c r="P21" s="2">
        <v>121</v>
      </c>
      <c r="Q21" s="4">
        <v>919</v>
      </c>
      <c r="R21" s="4">
        <v>551</v>
      </c>
      <c r="S21" s="4">
        <v>383</v>
      </c>
      <c r="T21" s="4">
        <v>540</v>
      </c>
      <c r="U21" s="4">
        <v>206</v>
      </c>
      <c r="V21" s="4">
        <v>60</v>
      </c>
      <c r="W21" s="4">
        <v>195</v>
      </c>
      <c r="Y21" s="2" t="s">
        <v>1</v>
      </c>
    </row>
    <row r="22" spans="1:25" x14ac:dyDescent="0.2">
      <c r="A22" s="2">
        <v>17</v>
      </c>
      <c r="B22" s="2" t="s">
        <v>1290</v>
      </c>
      <c r="C22" s="19">
        <f>DATE(87,7,5)</f>
        <v>31963</v>
      </c>
      <c r="E22" s="2">
        <v>560</v>
      </c>
      <c r="F22" s="2">
        <v>121</v>
      </c>
      <c r="G22" s="2">
        <v>1708</v>
      </c>
      <c r="H22" s="2">
        <v>356</v>
      </c>
      <c r="I22" s="2">
        <v>314</v>
      </c>
      <c r="K22" s="2">
        <v>531</v>
      </c>
      <c r="L22" s="2">
        <v>194</v>
      </c>
      <c r="M22" s="2">
        <v>161</v>
      </c>
      <c r="N22" s="2">
        <v>100</v>
      </c>
      <c r="P22" s="2">
        <v>114</v>
      </c>
      <c r="Q22" s="4">
        <v>978</v>
      </c>
      <c r="R22" s="4">
        <v>788</v>
      </c>
      <c r="S22" s="4">
        <v>178</v>
      </c>
      <c r="T22" s="4">
        <v>250</v>
      </c>
      <c r="U22" s="4">
        <v>306</v>
      </c>
      <c r="V22" s="4">
        <v>54</v>
      </c>
      <c r="W22" s="4">
        <v>111</v>
      </c>
      <c r="Y22" s="2" t="s">
        <v>1</v>
      </c>
    </row>
    <row r="23" spans="1:25" x14ac:dyDescent="0.2">
      <c r="A23" s="2">
        <v>19</v>
      </c>
      <c r="B23" s="2" t="s">
        <v>1280</v>
      </c>
      <c r="C23" s="19">
        <f>DATE(87,7,10)</f>
        <v>31968</v>
      </c>
      <c r="D23" s="2">
        <v>1026</v>
      </c>
      <c r="E23" s="2">
        <v>536</v>
      </c>
      <c r="F23" s="2">
        <v>82</v>
      </c>
      <c r="G23" s="2">
        <v>1696</v>
      </c>
      <c r="H23" s="2">
        <v>362</v>
      </c>
      <c r="I23" s="2">
        <v>313</v>
      </c>
      <c r="J23" s="2">
        <v>440</v>
      </c>
      <c r="K23" s="2">
        <v>298</v>
      </c>
      <c r="L23" s="2">
        <v>13304</v>
      </c>
      <c r="M23" s="2">
        <v>203</v>
      </c>
      <c r="N23" s="2">
        <v>114</v>
      </c>
      <c r="P23" s="2">
        <v>82</v>
      </c>
      <c r="Q23" s="4">
        <v>675</v>
      </c>
      <c r="R23" s="4">
        <v>496</v>
      </c>
      <c r="S23" s="4">
        <v>676</v>
      </c>
      <c r="T23" s="4">
        <v>234</v>
      </c>
      <c r="U23" s="4">
        <v>164</v>
      </c>
      <c r="V23" s="4">
        <v>24</v>
      </c>
      <c r="W23" s="4">
        <v>141</v>
      </c>
      <c r="Y23" s="2" t="s">
        <v>1</v>
      </c>
    </row>
    <row r="24" spans="1:25" x14ac:dyDescent="0.2">
      <c r="A24" s="2">
        <v>20</v>
      </c>
      <c r="B24" s="2" t="s">
        <v>1283</v>
      </c>
      <c r="C24" s="19">
        <f>DATE(87,7,10)</f>
        <v>31968</v>
      </c>
      <c r="D24" s="2">
        <v>1026</v>
      </c>
      <c r="E24" s="2">
        <v>532</v>
      </c>
      <c r="F24" s="2">
        <v>293</v>
      </c>
      <c r="G24" s="2">
        <v>1682</v>
      </c>
      <c r="H24" s="2">
        <v>362</v>
      </c>
      <c r="I24" s="2">
        <v>312</v>
      </c>
      <c r="J24" s="2">
        <v>438</v>
      </c>
      <c r="K24" s="2">
        <v>290</v>
      </c>
      <c r="L24" s="2">
        <v>544</v>
      </c>
      <c r="M24" s="2">
        <v>201</v>
      </c>
      <c r="N24" s="2">
        <v>118</v>
      </c>
      <c r="P24" s="2">
        <v>275</v>
      </c>
      <c r="Q24" s="4">
        <v>628</v>
      </c>
      <c r="R24" s="4">
        <v>355</v>
      </c>
      <c r="S24" s="4">
        <v>163</v>
      </c>
      <c r="T24" s="4">
        <v>240</v>
      </c>
      <c r="U24" s="4">
        <v>557</v>
      </c>
      <c r="V24" s="4">
        <v>26</v>
      </c>
      <c r="W24" s="4">
        <v>43</v>
      </c>
      <c r="Y24" s="2" t="s">
        <v>1</v>
      </c>
    </row>
    <row r="25" spans="1:25" x14ac:dyDescent="0.2">
      <c r="A25" s="2">
        <v>21</v>
      </c>
      <c r="B25" s="2" t="s">
        <v>1291</v>
      </c>
      <c r="C25" s="19">
        <f>DATE(87,7,11)</f>
        <v>31969</v>
      </c>
      <c r="D25" s="2">
        <v>1100</v>
      </c>
      <c r="E25" s="2">
        <v>535</v>
      </c>
      <c r="F25" s="2">
        <v>324</v>
      </c>
      <c r="G25" s="2">
        <v>1854</v>
      </c>
      <c r="H25" s="2">
        <v>323</v>
      </c>
      <c r="I25" s="2">
        <v>316</v>
      </c>
      <c r="J25" s="2">
        <v>656</v>
      </c>
      <c r="K25" s="2">
        <v>457</v>
      </c>
      <c r="L25" s="2">
        <v>239</v>
      </c>
      <c r="M25" s="2">
        <v>237</v>
      </c>
      <c r="N25" s="2">
        <v>159</v>
      </c>
      <c r="O25" s="2">
        <v>395</v>
      </c>
      <c r="P25" s="2">
        <v>311</v>
      </c>
      <c r="Q25" s="4">
        <v>2190</v>
      </c>
      <c r="R25" s="4">
        <v>1730</v>
      </c>
      <c r="S25" s="4">
        <v>1080</v>
      </c>
      <c r="T25" s="4">
        <v>3220</v>
      </c>
      <c r="U25" s="4">
        <v>357</v>
      </c>
      <c r="V25" s="4">
        <v>948</v>
      </c>
      <c r="W25" s="4">
        <v>2390</v>
      </c>
      <c r="Y25" s="2" t="s">
        <v>1</v>
      </c>
    </row>
    <row r="26" spans="1:25" x14ac:dyDescent="0.2">
      <c r="A26" s="2">
        <v>22</v>
      </c>
      <c r="B26" s="2" t="s">
        <v>1292</v>
      </c>
      <c r="C26" s="19">
        <f>DATE(87,7,18)</f>
        <v>31976</v>
      </c>
      <c r="D26" s="8" t="s">
        <v>1039</v>
      </c>
      <c r="E26" s="2">
        <v>548</v>
      </c>
      <c r="F26" s="2">
        <v>80</v>
      </c>
      <c r="G26" s="2">
        <v>1683</v>
      </c>
      <c r="H26" s="2">
        <v>361</v>
      </c>
      <c r="I26" s="2">
        <v>310</v>
      </c>
      <c r="J26" s="2">
        <v>515</v>
      </c>
      <c r="K26" s="2">
        <v>1650</v>
      </c>
      <c r="L26" s="2">
        <v>283</v>
      </c>
      <c r="M26" s="2">
        <v>239</v>
      </c>
      <c r="N26" s="2">
        <v>113</v>
      </c>
      <c r="P26" s="2">
        <v>77</v>
      </c>
      <c r="Q26" s="4">
        <v>556</v>
      </c>
      <c r="R26" s="4">
        <v>257</v>
      </c>
      <c r="S26" s="4">
        <v>306</v>
      </c>
      <c r="T26" s="4">
        <v>107</v>
      </c>
      <c r="U26" s="4">
        <v>337</v>
      </c>
      <c r="V26" s="4">
        <v>30</v>
      </c>
      <c r="W26" s="4">
        <v>70</v>
      </c>
      <c r="Y26" s="2" t="s">
        <v>1</v>
      </c>
    </row>
    <row r="27" spans="1:25" x14ac:dyDescent="0.2">
      <c r="A27" s="2">
        <v>23</v>
      </c>
      <c r="B27" s="2" t="s">
        <v>1293</v>
      </c>
      <c r="C27" s="19">
        <f>DATE(87,7,18)</f>
        <v>31976</v>
      </c>
      <c r="D27" s="8" t="s">
        <v>1039</v>
      </c>
      <c r="E27" s="2">
        <v>530</v>
      </c>
      <c r="F27" s="2">
        <v>104</v>
      </c>
      <c r="G27" s="2">
        <v>1683</v>
      </c>
      <c r="H27" s="2">
        <v>361</v>
      </c>
      <c r="I27" s="2">
        <v>310</v>
      </c>
      <c r="J27" s="2">
        <v>717</v>
      </c>
      <c r="K27" s="2">
        <v>3371</v>
      </c>
      <c r="L27" s="2">
        <v>67</v>
      </c>
      <c r="M27" s="2">
        <v>1558</v>
      </c>
      <c r="N27" s="2">
        <v>114</v>
      </c>
      <c r="O27" s="2">
        <v>23</v>
      </c>
      <c r="P27" s="2">
        <v>98</v>
      </c>
      <c r="Q27" s="4">
        <v>602</v>
      </c>
      <c r="R27" s="4">
        <v>1920</v>
      </c>
      <c r="S27" s="4">
        <v>407</v>
      </c>
      <c r="T27" s="4">
        <v>963</v>
      </c>
      <c r="U27" s="4">
        <v>1220</v>
      </c>
      <c r="V27" s="4">
        <v>278</v>
      </c>
      <c r="W27" s="4">
        <v>438</v>
      </c>
      <c r="Y27" s="2" t="s">
        <v>1</v>
      </c>
    </row>
    <row r="28" spans="1:25" x14ac:dyDescent="0.2">
      <c r="A28" s="2">
        <v>24</v>
      </c>
      <c r="B28" s="2" t="s">
        <v>1294</v>
      </c>
      <c r="C28" s="19">
        <f>DATE(87,7,18)</f>
        <v>31976</v>
      </c>
      <c r="D28" s="2">
        <v>1900</v>
      </c>
      <c r="E28" s="2">
        <v>543</v>
      </c>
      <c r="F28" s="2">
        <v>84</v>
      </c>
      <c r="G28" s="2">
        <v>1708</v>
      </c>
      <c r="H28" s="2">
        <v>357</v>
      </c>
      <c r="I28" s="2">
        <v>310</v>
      </c>
      <c r="J28" s="2">
        <v>447</v>
      </c>
      <c r="K28" s="2">
        <v>272</v>
      </c>
      <c r="L28" s="2">
        <v>44</v>
      </c>
      <c r="M28" s="2">
        <v>159</v>
      </c>
      <c r="N28" s="2">
        <v>114</v>
      </c>
      <c r="P28" s="2">
        <v>81</v>
      </c>
      <c r="Q28" s="4">
        <v>758</v>
      </c>
      <c r="R28" s="4">
        <v>215</v>
      </c>
      <c r="S28" s="4">
        <v>140</v>
      </c>
      <c r="T28" s="4">
        <v>178</v>
      </c>
      <c r="U28" s="4">
        <v>248</v>
      </c>
      <c r="V28" s="4">
        <v>24</v>
      </c>
      <c r="W28" s="4">
        <v>35</v>
      </c>
      <c r="Y28" s="2" t="s">
        <v>1</v>
      </c>
    </row>
    <row r="29" spans="1:25" x14ac:dyDescent="0.2">
      <c r="A29" s="2">
        <v>25</v>
      </c>
      <c r="B29" s="2" t="s">
        <v>1295</v>
      </c>
      <c r="C29" s="19">
        <f>DATE(87,7,19)</f>
        <v>31977</v>
      </c>
      <c r="D29" s="8" t="s">
        <v>1039</v>
      </c>
      <c r="E29" s="2">
        <v>514</v>
      </c>
      <c r="F29" s="2">
        <v>98</v>
      </c>
      <c r="G29" s="2">
        <v>1696</v>
      </c>
      <c r="H29" s="2">
        <v>360</v>
      </c>
      <c r="I29" s="2">
        <v>309</v>
      </c>
      <c r="J29" s="2">
        <v>458</v>
      </c>
      <c r="K29" s="2">
        <v>280</v>
      </c>
      <c r="L29" s="2">
        <v>205</v>
      </c>
      <c r="M29" s="2">
        <v>172</v>
      </c>
      <c r="N29" s="2">
        <v>114</v>
      </c>
      <c r="P29" s="2">
        <v>93</v>
      </c>
      <c r="Q29" s="4">
        <v>676</v>
      </c>
      <c r="R29" s="4">
        <v>378</v>
      </c>
      <c r="S29" s="4">
        <v>237</v>
      </c>
      <c r="T29" s="4">
        <v>313</v>
      </c>
      <c r="U29" s="4">
        <v>309</v>
      </c>
      <c r="V29" s="4">
        <v>69</v>
      </c>
      <c r="W29" s="4">
        <v>161</v>
      </c>
      <c r="Y29" s="2" t="s">
        <v>1</v>
      </c>
    </row>
    <row r="30" spans="1:25" x14ac:dyDescent="0.2">
      <c r="A30" s="2">
        <v>26</v>
      </c>
      <c r="B30" s="2" t="s">
        <v>1296</v>
      </c>
      <c r="C30" s="19">
        <f>DATE(87,7,19)</f>
        <v>31977</v>
      </c>
      <c r="D30" s="2">
        <v>1100</v>
      </c>
      <c r="E30" s="2">
        <v>530</v>
      </c>
      <c r="F30" s="2">
        <v>74</v>
      </c>
      <c r="G30" s="2">
        <v>1674</v>
      </c>
      <c r="H30" s="2">
        <v>360</v>
      </c>
      <c r="I30" s="2">
        <v>312</v>
      </c>
      <c r="J30" s="2">
        <v>446</v>
      </c>
      <c r="K30" s="2">
        <v>291</v>
      </c>
      <c r="L30" s="2">
        <v>61</v>
      </c>
      <c r="M30" s="2">
        <v>146</v>
      </c>
      <c r="N30" s="2">
        <v>114</v>
      </c>
      <c r="P30" s="2">
        <v>72</v>
      </c>
      <c r="Q30" s="4">
        <v>595</v>
      </c>
      <c r="R30" s="4">
        <v>802</v>
      </c>
      <c r="S30" s="4">
        <v>179</v>
      </c>
      <c r="T30" s="4">
        <v>237</v>
      </c>
      <c r="U30" s="4">
        <v>441</v>
      </c>
      <c r="V30" s="4">
        <v>41</v>
      </c>
      <c r="W30" s="4">
        <v>78</v>
      </c>
      <c r="Y30" s="2" t="s">
        <v>1</v>
      </c>
    </row>
    <row r="31" spans="1:25" x14ac:dyDescent="0.2">
      <c r="A31" s="2">
        <v>27</v>
      </c>
      <c r="B31" s="2" t="s">
        <v>1297</v>
      </c>
      <c r="C31" s="19">
        <f>DATE(87,7,19)</f>
        <v>31977</v>
      </c>
      <c r="D31" s="2">
        <v>1900</v>
      </c>
      <c r="E31" s="2">
        <v>527</v>
      </c>
      <c r="F31" s="2">
        <v>63</v>
      </c>
      <c r="G31" s="2">
        <v>1667</v>
      </c>
      <c r="H31" s="2">
        <v>361</v>
      </c>
      <c r="I31" s="2">
        <v>311</v>
      </c>
      <c r="J31" s="2">
        <v>438</v>
      </c>
      <c r="K31" s="2">
        <v>278</v>
      </c>
      <c r="L31" s="2">
        <v>187</v>
      </c>
      <c r="M31" s="2">
        <v>150</v>
      </c>
      <c r="N31" s="2">
        <v>112</v>
      </c>
      <c r="P31" s="2">
        <v>61</v>
      </c>
      <c r="Q31" s="4">
        <v>499</v>
      </c>
      <c r="R31" s="4">
        <v>415</v>
      </c>
      <c r="S31" s="4">
        <v>175</v>
      </c>
      <c r="T31" s="4">
        <v>248</v>
      </c>
      <c r="U31" s="4">
        <v>285</v>
      </c>
      <c r="V31" s="4">
        <v>22</v>
      </c>
      <c r="W31" s="4">
        <v>32</v>
      </c>
      <c r="Y31" s="2" t="s">
        <v>1</v>
      </c>
    </row>
    <row r="32" spans="1:25" x14ac:dyDescent="0.2">
      <c r="A32" s="2">
        <v>28</v>
      </c>
      <c r="B32" s="2" t="s">
        <v>1298</v>
      </c>
      <c r="C32" s="19">
        <f>DATE(87,7,20)</f>
        <v>31978</v>
      </c>
      <c r="D32" s="8" t="s">
        <v>1039</v>
      </c>
      <c r="E32" s="2">
        <v>490</v>
      </c>
      <c r="F32" s="2">
        <v>86</v>
      </c>
      <c r="G32" s="2">
        <v>1679</v>
      </c>
      <c r="H32" s="2">
        <v>365</v>
      </c>
      <c r="I32" s="2">
        <v>309</v>
      </c>
      <c r="J32" s="2">
        <v>432</v>
      </c>
      <c r="K32" s="2">
        <v>269</v>
      </c>
      <c r="L32" s="2">
        <v>46</v>
      </c>
      <c r="M32" s="2">
        <v>143</v>
      </c>
      <c r="N32" s="2">
        <v>115</v>
      </c>
      <c r="O32" s="2">
        <v>17</v>
      </c>
      <c r="P32" s="2">
        <v>77</v>
      </c>
      <c r="Q32" s="4">
        <v>562</v>
      </c>
      <c r="R32" s="4">
        <v>1590</v>
      </c>
      <c r="S32" s="4">
        <v>301</v>
      </c>
      <c r="T32" s="4">
        <v>525</v>
      </c>
      <c r="U32" s="4">
        <v>458</v>
      </c>
      <c r="V32" s="4">
        <v>52</v>
      </c>
      <c r="W32" s="4">
        <v>110</v>
      </c>
      <c r="Y32" s="2" t="s">
        <v>1</v>
      </c>
    </row>
    <row r="33" spans="1:25" x14ac:dyDescent="0.2">
      <c r="A33" s="2">
        <v>29</v>
      </c>
      <c r="B33" s="2" t="s">
        <v>1299</v>
      </c>
      <c r="C33" s="19">
        <f>DATE(87,7,20)</f>
        <v>31978</v>
      </c>
      <c r="D33" s="2">
        <v>1100</v>
      </c>
      <c r="E33" s="2">
        <v>580</v>
      </c>
      <c r="F33" s="2">
        <v>97</v>
      </c>
      <c r="G33" s="2">
        <v>1671</v>
      </c>
      <c r="H33" s="2">
        <v>362</v>
      </c>
      <c r="I33" s="2">
        <v>312</v>
      </c>
      <c r="J33" s="2">
        <v>440</v>
      </c>
      <c r="K33" s="2">
        <v>290</v>
      </c>
      <c r="L33" s="2">
        <v>327</v>
      </c>
      <c r="M33" s="2">
        <v>180</v>
      </c>
      <c r="N33" s="2">
        <v>112</v>
      </c>
      <c r="O33" s="2">
        <v>14</v>
      </c>
      <c r="P33" s="2">
        <v>89</v>
      </c>
      <c r="Q33" s="4">
        <v>590</v>
      </c>
      <c r="R33" s="4">
        <v>1240</v>
      </c>
      <c r="S33" s="4">
        <v>278</v>
      </c>
      <c r="T33" s="4">
        <v>245</v>
      </c>
      <c r="U33" s="4">
        <v>427</v>
      </c>
      <c r="V33" s="4">
        <v>66</v>
      </c>
      <c r="W33" s="4">
        <v>163</v>
      </c>
      <c r="Y33" s="2" t="s">
        <v>1</v>
      </c>
    </row>
    <row r="34" spans="1:25" x14ac:dyDescent="0.2">
      <c r="A34" s="2">
        <v>30</v>
      </c>
      <c r="B34" s="2" t="s">
        <v>1300</v>
      </c>
      <c r="C34" s="19">
        <f>DATE(87,7,20)</f>
        <v>31978</v>
      </c>
      <c r="D34" s="2">
        <v>1900</v>
      </c>
      <c r="E34" s="2">
        <v>622</v>
      </c>
      <c r="F34" s="2">
        <v>93</v>
      </c>
      <c r="G34" s="2">
        <v>1668</v>
      </c>
      <c r="H34" s="2">
        <v>363</v>
      </c>
      <c r="I34" s="2">
        <v>312</v>
      </c>
      <c r="J34" s="2">
        <v>430</v>
      </c>
      <c r="K34" s="2">
        <v>261</v>
      </c>
      <c r="L34" s="2">
        <v>47</v>
      </c>
      <c r="M34" s="2">
        <v>140</v>
      </c>
      <c r="N34" s="2">
        <v>110</v>
      </c>
      <c r="P34" s="2">
        <v>84</v>
      </c>
      <c r="Q34" s="4">
        <v>1390</v>
      </c>
      <c r="R34" s="4">
        <v>1690</v>
      </c>
      <c r="S34" s="4">
        <v>220</v>
      </c>
      <c r="T34" s="4">
        <v>507</v>
      </c>
      <c r="U34" s="4">
        <v>956</v>
      </c>
      <c r="V34" s="4">
        <v>65</v>
      </c>
      <c r="W34" s="4">
        <v>187</v>
      </c>
      <c r="Y34" s="2" t="s">
        <v>1</v>
      </c>
    </row>
    <row r="35" spans="1:25" x14ac:dyDescent="0.2">
      <c r="A35" s="2">
        <v>31</v>
      </c>
      <c r="B35" s="2" t="s">
        <v>1301</v>
      </c>
      <c r="C35" s="19">
        <f>DATE(87,7,21)</f>
        <v>31979</v>
      </c>
      <c r="D35" s="8" t="s">
        <v>1039</v>
      </c>
      <c r="E35" s="2">
        <v>500</v>
      </c>
      <c r="F35" s="2">
        <v>84</v>
      </c>
      <c r="G35" s="2">
        <v>1672</v>
      </c>
      <c r="H35" s="2">
        <v>365</v>
      </c>
      <c r="I35" s="2">
        <v>307</v>
      </c>
      <c r="J35" s="2">
        <v>443</v>
      </c>
      <c r="K35" s="2">
        <v>280</v>
      </c>
      <c r="L35" s="2">
        <v>325</v>
      </c>
      <c r="M35" s="2">
        <v>176</v>
      </c>
      <c r="N35" s="2">
        <v>110</v>
      </c>
      <c r="P35" s="2">
        <v>75</v>
      </c>
      <c r="Q35" s="4">
        <v>707</v>
      </c>
      <c r="R35" s="4">
        <v>463</v>
      </c>
      <c r="S35" s="4">
        <v>181</v>
      </c>
      <c r="T35" s="4">
        <v>558</v>
      </c>
      <c r="U35" s="4">
        <v>384</v>
      </c>
      <c r="V35" s="4">
        <v>67</v>
      </c>
      <c r="W35" s="4">
        <v>117</v>
      </c>
      <c r="Y35" s="2" t="s">
        <v>1</v>
      </c>
    </row>
    <row r="36" spans="1:25" x14ac:dyDescent="0.2">
      <c r="A36" s="2">
        <v>32</v>
      </c>
      <c r="B36" s="2" t="s">
        <v>1302</v>
      </c>
      <c r="C36" s="19">
        <f>DATE(87,7,21)</f>
        <v>31979</v>
      </c>
      <c r="D36" s="2">
        <v>1100</v>
      </c>
      <c r="E36" s="2">
        <v>524</v>
      </c>
      <c r="F36" s="2">
        <v>81</v>
      </c>
      <c r="G36" s="2">
        <v>1671</v>
      </c>
      <c r="H36" s="2">
        <v>363</v>
      </c>
      <c r="I36" s="2">
        <v>313</v>
      </c>
      <c r="J36" s="2">
        <v>438</v>
      </c>
      <c r="K36" s="2">
        <v>254</v>
      </c>
      <c r="L36" s="2">
        <v>44</v>
      </c>
      <c r="M36" s="2">
        <v>148</v>
      </c>
      <c r="N36" s="2">
        <v>107</v>
      </c>
      <c r="P36" s="2">
        <v>79</v>
      </c>
      <c r="Q36" s="4">
        <v>589</v>
      </c>
      <c r="R36" s="4">
        <v>735</v>
      </c>
      <c r="S36" s="4">
        <v>259</v>
      </c>
      <c r="T36" s="4">
        <v>263</v>
      </c>
      <c r="U36" s="4">
        <v>339</v>
      </c>
      <c r="V36" s="4">
        <v>45</v>
      </c>
      <c r="W36" s="4">
        <v>88</v>
      </c>
      <c r="Y36" s="2" t="s">
        <v>1</v>
      </c>
    </row>
    <row r="37" spans="1:25" x14ac:dyDescent="0.2">
      <c r="A37" s="2">
        <v>33</v>
      </c>
      <c r="B37" s="2" t="s">
        <v>1303</v>
      </c>
      <c r="C37" s="19">
        <f>DATE(87,7,21)</f>
        <v>31979</v>
      </c>
      <c r="D37" s="2">
        <v>1900</v>
      </c>
      <c r="E37" s="2">
        <v>544</v>
      </c>
      <c r="F37" s="2">
        <v>69</v>
      </c>
      <c r="G37" s="2">
        <v>1662</v>
      </c>
      <c r="H37" s="2">
        <v>360</v>
      </c>
      <c r="I37" s="2">
        <v>312</v>
      </c>
      <c r="J37" s="2">
        <v>436</v>
      </c>
      <c r="K37" s="2">
        <v>268</v>
      </c>
      <c r="L37" s="2">
        <v>249</v>
      </c>
      <c r="M37" s="2">
        <v>157</v>
      </c>
      <c r="N37" s="2">
        <v>116</v>
      </c>
      <c r="P37" s="2">
        <v>65</v>
      </c>
      <c r="Q37" s="4">
        <v>519</v>
      </c>
      <c r="R37" s="4">
        <v>439</v>
      </c>
      <c r="S37" s="4">
        <v>269</v>
      </c>
      <c r="T37" s="4">
        <v>368</v>
      </c>
      <c r="U37" s="4">
        <v>365</v>
      </c>
      <c r="V37" s="4">
        <v>40</v>
      </c>
      <c r="W37" s="4">
        <v>39</v>
      </c>
      <c r="Y37" s="2" t="s">
        <v>1</v>
      </c>
    </row>
    <row r="38" spans="1:25" x14ac:dyDescent="0.2">
      <c r="A38" s="2">
        <v>34</v>
      </c>
      <c r="B38" s="2" t="s">
        <v>1304</v>
      </c>
      <c r="C38" s="19">
        <f>DATE(87,7,22)</f>
        <v>31980</v>
      </c>
      <c r="D38" s="8" t="s">
        <v>1039</v>
      </c>
      <c r="E38" s="2">
        <v>512</v>
      </c>
      <c r="F38" s="2">
        <v>73</v>
      </c>
      <c r="G38" s="2">
        <v>1660</v>
      </c>
      <c r="H38" s="2">
        <v>362</v>
      </c>
      <c r="I38" s="2">
        <v>311</v>
      </c>
      <c r="J38" s="2">
        <v>433</v>
      </c>
      <c r="K38" s="2">
        <v>260</v>
      </c>
      <c r="L38" s="2">
        <v>43</v>
      </c>
      <c r="M38" s="2">
        <v>139</v>
      </c>
      <c r="N38" s="2">
        <v>117</v>
      </c>
      <c r="P38" s="2">
        <v>71</v>
      </c>
      <c r="Q38" s="4">
        <v>496</v>
      </c>
      <c r="R38" s="4">
        <v>363</v>
      </c>
      <c r="S38" s="4">
        <v>284</v>
      </c>
      <c r="T38" s="4">
        <v>326</v>
      </c>
      <c r="U38" s="4">
        <v>311</v>
      </c>
      <c r="V38" s="4">
        <v>102</v>
      </c>
      <c r="W38" s="4">
        <v>232</v>
      </c>
      <c r="Y38" s="2" t="s">
        <v>1</v>
      </c>
    </row>
    <row r="39" spans="1:25" x14ac:dyDescent="0.2">
      <c r="A39" s="2">
        <v>35</v>
      </c>
      <c r="B39" s="2" t="s">
        <v>1305</v>
      </c>
      <c r="C39" s="19">
        <f>DATE(87,7,22)</f>
        <v>31980</v>
      </c>
      <c r="D39" s="2">
        <v>1100</v>
      </c>
      <c r="E39" s="2">
        <v>530</v>
      </c>
      <c r="F39" s="2">
        <v>75</v>
      </c>
      <c r="G39" s="2">
        <v>1665</v>
      </c>
      <c r="H39" s="2">
        <v>360</v>
      </c>
      <c r="I39" s="2">
        <v>311</v>
      </c>
      <c r="J39" s="2">
        <v>444</v>
      </c>
      <c r="K39" s="2">
        <v>287</v>
      </c>
      <c r="L39" s="2">
        <v>222</v>
      </c>
      <c r="M39" s="2">
        <v>145</v>
      </c>
      <c r="N39" s="2">
        <v>109</v>
      </c>
      <c r="P39" s="2">
        <v>72</v>
      </c>
      <c r="Q39" s="4">
        <v>848</v>
      </c>
      <c r="R39" s="4">
        <v>346</v>
      </c>
      <c r="S39" s="4">
        <v>303</v>
      </c>
      <c r="T39" s="4">
        <v>172</v>
      </c>
      <c r="U39" s="4">
        <v>266</v>
      </c>
      <c r="V39" s="4">
        <v>39</v>
      </c>
      <c r="W39" s="4">
        <v>78</v>
      </c>
      <c r="Y39" s="2" t="s">
        <v>1</v>
      </c>
    </row>
    <row r="40" spans="1:25" x14ac:dyDescent="0.2">
      <c r="A40" s="2">
        <v>36</v>
      </c>
      <c r="B40" s="2" t="s">
        <v>1306</v>
      </c>
      <c r="C40" s="19">
        <f>DATE(87,7,22)</f>
        <v>31980</v>
      </c>
      <c r="D40" s="2">
        <v>1900</v>
      </c>
      <c r="E40" s="2">
        <v>524</v>
      </c>
      <c r="F40" s="2">
        <v>84</v>
      </c>
      <c r="G40" s="2">
        <v>1677</v>
      </c>
      <c r="H40" s="2">
        <v>359</v>
      </c>
      <c r="I40" s="2">
        <v>312</v>
      </c>
      <c r="J40" s="2">
        <v>441</v>
      </c>
      <c r="K40" s="2">
        <v>286</v>
      </c>
      <c r="L40" s="2">
        <v>42</v>
      </c>
      <c r="M40" s="2">
        <v>146</v>
      </c>
      <c r="N40" s="2">
        <v>117</v>
      </c>
      <c r="P40" s="2">
        <v>78</v>
      </c>
      <c r="Q40" s="4">
        <v>559</v>
      </c>
      <c r="R40" s="4">
        <v>306</v>
      </c>
      <c r="S40" s="4">
        <v>186</v>
      </c>
      <c r="T40" s="4">
        <v>312</v>
      </c>
      <c r="U40" s="4">
        <v>263</v>
      </c>
      <c r="V40" s="4">
        <v>25</v>
      </c>
      <c r="W40" s="4">
        <v>47</v>
      </c>
      <c r="Y40" s="2" t="s">
        <v>1</v>
      </c>
    </row>
    <row r="41" spans="1:25" x14ac:dyDescent="0.2">
      <c r="A41" s="2">
        <v>37</v>
      </c>
      <c r="B41" s="2" t="s">
        <v>1307</v>
      </c>
      <c r="C41" s="19">
        <f>DATE(87,7,23)</f>
        <v>31981</v>
      </c>
      <c r="D41" s="8" t="s">
        <v>1039</v>
      </c>
      <c r="E41" s="2">
        <v>489</v>
      </c>
      <c r="F41" s="2">
        <v>95</v>
      </c>
      <c r="G41" s="2">
        <v>1676</v>
      </c>
      <c r="H41" s="2">
        <v>362</v>
      </c>
      <c r="I41" s="2">
        <v>309</v>
      </c>
      <c r="J41" s="2">
        <v>460</v>
      </c>
      <c r="K41" s="2">
        <v>287</v>
      </c>
      <c r="L41" s="2">
        <v>204</v>
      </c>
      <c r="M41" s="2">
        <v>164</v>
      </c>
      <c r="N41" s="2">
        <v>113</v>
      </c>
      <c r="P41" s="2">
        <v>92</v>
      </c>
      <c r="Q41" s="4">
        <v>663</v>
      </c>
      <c r="R41" s="4">
        <v>770</v>
      </c>
      <c r="S41" s="4">
        <v>292</v>
      </c>
      <c r="T41" s="4">
        <v>1040</v>
      </c>
      <c r="U41" s="4">
        <v>385</v>
      </c>
      <c r="V41" s="4">
        <v>94</v>
      </c>
      <c r="W41" s="4">
        <v>228</v>
      </c>
      <c r="Y41" s="2" t="s">
        <v>1</v>
      </c>
    </row>
    <row r="42" spans="1:25" x14ac:dyDescent="0.2">
      <c r="A42" s="2">
        <v>38</v>
      </c>
      <c r="B42" s="2" t="s">
        <v>1308</v>
      </c>
      <c r="C42" s="19">
        <f>DATE(87,7,23)</f>
        <v>31981</v>
      </c>
      <c r="D42" s="2">
        <v>1100</v>
      </c>
      <c r="E42" s="2">
        <v>583</v>
      </c>
      <c r="F42" s="2">
        <v>136</v>
      </c>
      <c r="G42" s="2">
        <v>1670</v>
      </c>
      <c r="H42" s="2">
        <v>364</v>
      </c>
      <c r="I42" s="2">
        <v>312</v>
      </c>
      <c r="J42" s="2">
        <v>446</v>
      </c>
      <c r="K42" s="2">
        <v>262</v>
      </c>
      <c r="L42" s="2">
        <v>44</v>
      </c>
      <c r="M42" s="2">
        <v>146</v>
      </c>
      <c r="N42" s="2">
        <v>113</v>
      </c>
      <c r="P42" s="2">
        <v>126</v>
      </c>
      <c r="Q42" s="4">
        <v>673</v>
      </c>
      <c r="R42" s="4">
        <v>673</v>
      </c>
      <c r="S42" s="4">
        <v>295</v>
      </c>
      <c r="T42" s="4">
        <v>189</v>
      </c>
      <c r="U42" s="4">
        <v>378</v>
      </c>
      <c r="V42" s="4">
        <v>65</v>
      </c>
      <c r="W42" s="4">
        <v>165</v>
      </c>
      <c r="Y42" s="2" t="s">
        <v>1</v>
      </c>
    </row>
    <row r="43" spans="1:25" x14ac:dyDescent="0.2">
      <c r="A43" s="2">
        <v>39</v>
      </c>
      <c r="B43" s="2" t="s">
        <v>1309</v>
      </c>
      <c r="C43" s="19">
        <f>DATE(87,7,23)</f>
        <v>31981</v>
      </c>
      <c r="D43" s="2">
        <v>1900</v>
      </c>
      <c r="E43" s="2">
        <v>524</v>
      </c>
      <c r="F43" s="2">
        <v>112</v>
      </c>
      <c r="G43" s="2">
        <v>1669</v>
      </c>
      <c r="H43" s="2">
        <v>361</v>
      </c>
      <c r="I43" s="2">
        <v>312</v>
      </c>
      <c r="J43" s="2">
        <v>450</v>
      </c>
      <c r="K43" s="2">
        <v>279</v>
      </c>
      <c r="L43" s="2">
        <v>222</v>
      </c>
      <c r="M43" s="2">
        <v>154</v>
      </c>
      <c r="N43" s="2">
        <v>113</v>
      </c>
      <c r="P43" s="2">
        <v>104</v>
      </c>
      <c r="Q43" s="4">
        <v>568</v>
      </c>
      <c r="R43" s="4">
        <v>1120</v>
      </c>
      <c r="S43" s="4">
        <v>380</v>
      </c>
      <c r="T43" s="4">
        <v>263</v>
      </c>
      <c r="U43" s="4">
        <v>542</v>
      </c>
      <c r="V43" s="4">
        <v>55</v>
      </c>
      <c r="W43" s="4">
        <v>146</v>
      </c>
      <c r="Y43" s="2" t="s">
        <v>1</v>
      </c>
    </row>
    <row r="44" spans="1:25" x14ac:dyDescent="0.2">
      <c r="A44" s="2">
        <v>40</v>
      </c>
      <c r="B44" s="2" t="s">
        <v>1310</v>
      </c>
      <c r="C44" s="19">
        <f>DATE(87,7,24)</f>
        <v>31982</v>
      </c>
      <c r="D44" s="8" t="s">
        <v>1039</v>
      </c>
      <c r="E44" s="2">
        <v>505</v>
      </c>
      <c r="F44" s="2">
        <v>120</v>
      </c>
      <c r="G44" s="2">
        <v>1672</v>
      </c>
      <c r="H44" s="2">
        <v>363</v>
      </c>
      <c r="I44" s="2">
        <v>312</v>
      </c>
      <c r="J44" s="2">
        <v>465</v>
      </c>
      <c r="K44" s="2">
        <v>264</v>
      </c>
      <c r="L44" s="2">
        <v>44</v>
      </c>
      <c r="M44" s="2">
        <v>148</v>
      </c>
      <c r="N44" s="2">
        <v>114</v>
      </c>
      <c r="P44" s="2">
        <v>111</v>
      </c>
      <c r="Q44" s="4">
        <v>699</v>
      </c>
      <c r="R44" s="4">
        <v>879</v>
      </c>
      <c r="S44" s="4">
        <v>341</v>
      </c>
      <c r="T44" s="4">
        <v>1360</v>
      </c>
      <c r="U44" s="4">
        <v>430</v>
      </c>
      <c r="V44" s="4">
        <v>123</v>
      </c>
      <c r="W44" s="4">
        <v>287</v>
      </c>
      <c r="Y44" s="2" t="s">
        <v>1</v>
      </c>
    </row>
    <row r="45" spans="1:25" x14ac:dyDescent="0.2">
      <c r="A45" s="2">
        <v>41</v>
      </c>
      <c r="B45" s="2" t="s">
        <v>1280</v>
      </c>
      <c r="C45" s="19">
        <f>DATE(87,7,24)</f>
        <v>31982</v>
      </c>
      <c r="D45" s="2">
        <v>1100</v>
      </c>
      <c r="E45" s="2">
        <v>532</v>
      </c>
      <c r="F45" s="2">
        <v>133</v>
      </c>
      <c r="G45" s="2">
        <v>1665</v>
      </c>
      <c r="H45" s="2">
        <v>362</v>
      </c>
      <c r="I45" s="2">
        <v>312</v>
      </c>
      <c r="J45" s="2">
        <v>457</v>
      </c>
      <c r="K45" s="2">
        <v>292</v>
      </c>
      <c r="L45" s="2">
        <v>198</v>
      </c>
      <c r="M45" s="2">
        <v>157</v>
      </c>
      <c r="N45" s="2">
        <v>113</v>
      </c>
      <c r="O45" s="2">
        <v>10</v>
      </c>
      <c r="P45" s="2">
        <v>118</v>
      </c>
      <c r="Q45" s="4">
        <v>620</v>
      </c>
      <c r="R45" s="4">
        <v>418</v>
      </c>
      <c r="S45" s="4">
        <v>362</v>
      </c>
      <c r="T45" s="4">
        <v>188</v>
      </c>
      <c r="U45" s="4">
        <v>336</v>
      </c>
      <c r="V45" s="4">
        <v>59</v>
      </c>
      <c r="W45" s="4">
        <v>158</v>
      </c>
      <c r="Y45" s="2" t="s">
        <v>1</v>
      </c>
    </row>
    <row r="46" spans="1:25" x14ac:dyDescent="0.2">
      <c r="A46" s="2">
        <v>42</v>
      </c>
      <c r="B46" s="2" t="s">
        <v>1311</v>
      </c>
      <c r="C46" s="19">
        <f>DATE(87,7,24)</f>
        <v>31982</v>
      </c>
      <c r="D46" s="2">
        <v>1940</v>
      </c>
      <c r="E46" s="2">
        <v>537</v>
      </c>
      <c r="F46" s="2">
        <v>75</v>
      </c>
      <c r="G46" s="2">
        <v>1669</v>
      </c>
      <c r="H46" s="2">
        <v>362</v>
      </c>
      <c r="I46" s="2">
        <v>312</v>
      </c>
      <c r="J46" s="2">
        <v>447</v>
      </c>
      <c r="K46" s="2">
        <v>263</v>
      </c>
      <c r="L46" s="2">
        <v>42</v>
      </c>
      <c r="M46" s="2">
        <v>142</v>
      </c>
      <c r="N46" s="2">
        <v>112</v>
      </c>
      <c r="P46" s="2">
        <v>75</v>
      </c>
      <c r="Q46" s="4">
        <v>696</v>
      </c>
      <c r="R46" s="4">
        <v>436</v>
      </c>
      <c r="S46" s="4">
        <v>179</v>
      </c>
      <c r="T46" s="4">
        <v>238</v>
      </c>
      <c r="U46" s="4">
        <v>285</v>
      </c>
      <c r="V46" s="4">
        <v>41</v>
      </c>
      <c r="W46" s="4">
        <v>66</v>
      </c>
    </row>
    <row r="47" spans="1:25" x14ac:dyDescent="0.2">
      <c r="A47" s="2">
        <v>43</v>
      </c>
      <c r="B47" s="2" t="s">
        <v>1312</v>
      </c>
      <c r="C47" s="19">
        <f>DATE(87,7,25)</f>
        <v>31983</v>
      </c>
      <c r="D47" s="8" t="s">
        <v>1039</v>
      </c>
      <c r="E47" s="2">
        <v>526</v>
      </c>
      <c r="F47" s="2">
        <v>79</v>
      </c>
      <c r="G47" s="2">
        <v>1672</v>
      </c>
      <c r="H47" s="2">
        <v>362</v>
      </c>
      <c r="I47" s="2">
        <v>314</v>
      </c>
      <c r="J47" s="2">
        <v>447</v>
      </c>
      <c r="K47" s="2">
        <v>283</v>
      </c>
      <c r="L47" s="2">
        <v>252</v>
      </c>
      <c r="M47" s="2">
        <v>161</v>
      </c>
      <c r="N47" s="2">
        <v>112</v>
      </c>
      <c r="P47" s="2">
        <v>80</v>
      </c>
      <c r="Q47" s="4">
        <v>858</v>
      </c>
      <c r="R47" s="4">
        <v>496</v>
      </c>
      <c r="S47" s="4">
        <v>175</v>
      </c>
      <c r="T47" s="4">
        <v>412</v>
      </c>
      <c r="U47" s="4">
        <v>361</v>
      </c>
      <c r="V47" s="4">
        <v>66</v>
      </c>
      <c r="W47" s="4">
        <v>114</v>
      </c>
    </row>
    <row r="48" spans="1:25" x14ac:dyDescent="0.2">
      <c r="A48" s="2">
        <v>44</v>
      </c>
      <c r="B48" s="2" t="s">
        <v>1283</v>
      </c>
      <c r="C48" s="19">
        <f>DATE(87,7,25)</f>
        <v>31983</v>
      </c>
      <c r="D48" s="2">
        <v>1100</v>
      </c>
      <c r="E48" s="2">
        <v>543</v>
      </c>
      <c r="F48" s="2">
        <v>118</v>
      </c>
      <c r="G48" s="2">
        <v>1673</v>
      </c>
      <c r="H48" s="2">
        <v>362</v>
      </c>
      <c r="I48" s="2">
        <v>310</v>
      </c>
      <c r="J48" s="2">
        <v>444</v>
      </c>
      <c r="K48" s="2">
        <v>265</v>
      </c>
      <c r="L48" s="2">
        <v>43</v>
      </c>
      <c r="M48" s="2">
        <v>144</v>
      </c>
      <c r="N48" s="2">
        <v>112</v>
      </c>
      <c r="P48" s="2">
        <v>107</v>
      </c>
      <c r="Q48" s="4">
        <v>853</v>
      </c>
      <c r="R48" s="4">
        <v>581</v>
      </c>
      <c r="S48" s="4">
        <v>272</v>
      </c>
      <c r="T48" s="4">
        <v>358</v>
      </c>
      <c r="U48" s="4">
        <v>429</v>
      </c>
      <c r="V48" s="4">
        <v>86</v>
      </c>
      <c r="W48" s="4">
        <v>171</v>
      </c>
    </row>
    <row r="49" spans="1:23" x14ac:dyDescent="0.2">
      <c r="A49" s="2">
        <v>45</v>
      </c>
      <c r="B49" s="2" t="s">
        <v>1313</v>
      </c>
      <c r="C49" s="19">
        <f>DATE(87,7,25)</f>
        <v>31983</v>
      </c>
      <c r="D49" s="2">
        <v>1900</v>
      </c>
      <c r="E49" s="2">
        <v>538</v>
      </c>
      <c r="F49" s="2">
        <v>108</v>
      </c>
      <c r="G49" s="2">
        <v>1680</v>
      </c>
      <c r="H49" s="2">
        <v>361</v>
      </c>
      <c r="I49" s="2">
        <v>312</v>
      </c>
      <c r="J49" s="2">
        <v>424</v>
      </c>
      <c r="K49" s="2">
        <v>283</v>
      </c>
      <c r="L49" s="2">
        <v>330</v>
      </c>
      <c r="M49" s="2">
        <v>179</v>
      </c>
      <c r="N49" s="2">
        <v>111</v>
      </c>
      <c r="P49" s="2">
        <v>97</v>
      </c>
      <c r="Q49" s="4">
        <v>946</v>
      </c>
      <c r="R49" s="4">
        <v>937</v>
      </c>
      <c r="S49" s="4">
        <v>259</v>
      </c>
      <c r="T49" s="4">
        <v>655</v>
      </c>
      <c r="U49" s="4">
        <v>464</v>
      </c>
      <c r="V49" s="4">
        <v>110</v>
      </c>
      <c r="W49" s="4">
        <v>227</v>
      </c>
    </row>
    <row r="50" spans="1:23" x14ac:dyDescent="0.2">
      <c r="A50" s="2">
        <v>46</v>
      </c>
      <c r="B50" s="2" t="s">
        <v>1314</v>
      </c>
      <c r="C50" s="19">
        <f>DATE(87,7,26)</f>
        <v>31984</v>
      </c>
      <c r="D50" s="8" t="s">
        <v>1039</v>
      </c>
      <c r="E50" s="2">
        <v>530</v>
      </c>
      <c r="F50" s="2">
        <v>111</v>
      </c>
      <c r="G50" s="2">
        <v>1679</v>
      </c>
      <c r="H50" s="2">
        <v>365</v>
      </c>
      <c r="I50" s="2">
        <v>309</v>
      </c>
      <c r="J50" s="2">
        <v>453</v>
      </c>
      <c r="K50" s="2">
        <v>265</v>
      </c>
      <c r="L50" s="2">
        <v>45</v>
      </c>
      <c r="M50" s="2">
        <v>151</v>
      </c>
      <c r="N50" s="2">
        <v>108</v>
      </c>
      <c r="P50" s="2">
        <v>97</v>
      </c>
      <c r="Q50" s="4">
        <v>923</v>
      </c>
      <c r="R50" s="4">
        <v>552</v>
      </c>
      <c r="S50" s="4">
        <v>280</v>
      </c>
      <c r="T50" s="4">
        <v>597</v>
      </c>
      <c r="U50" s="4">
        <v>292</v>
      </c>
      <c r="V50" s="4">
        <v>89</v>
      </c>
      <c r="W50" s="4">
        <v>183</v>
      </c>
    </row>
    <row r="51" spans="1:23" x14ac:dyDescent="0.2">
      <c r="A51" s="2">
        <v>47</v>
      </c>
      <c r="B51" s="2" t="s">
        <v>1315</v>
      </c>
      <c r="C51" s="19">
        <f>DATE(87,7,26)</f>
        <v>31984</v>
      </c>
      <c r="D51" s="2">
        <v>1100</v>
      </c>
      <c r="E51" s="2">
        <v>565</v>
      </c>
      <c r="F51" s="2">
        <v>122</v>
      </c>
      <c r="G51" s="2">
        <v>1680</v>
      </c>
      <c r="H51" s="2">
        <v>365</v>
      </c>
      <c r="I51" s="2">
        <v>309</v>
      </c>
      <c r="J51" s="2">
        <v>457</v>
      </c>
      <c r="K51" s="2">
        <v>290</v>
      </c>
      <c r="L51" s="2">
        <v>325</v>
      </c>
      <c r="M51" s="2">
        <v>175</v>
      </c>
      <c r="N51" s="2">
        <v>111</v>
      </c>
      <c r="P51" s="2">
        <v>111</v>
      </c>
      <c r="Q51" s="4">
        <v>966</v>
      </c>
      <c r="R51" s="4">
        <v>1020</v>
      </c>
      <c r="S51" s="4">
        <v>219</v>
      </c>
      <c r="T51" s="4">
        <v>354</v>
      </c>
      <c r="U51" s="4">
        <v>504</v>
      </c>
      <c r="V51" s="4">
        <v>73</v>
      </c>
      <c r="W51" s="4">
        <v>128</v>
      </c>
    </row>
    <row r="52" spans="1:23" x14ac:dyDescent="0.2">
      <c r="A52" s="2">
        <v>48</v>
      </c>
      <c r="B52" s="2" t="s">
        <v>1316</v>
      </c>
      <c r="C52" s="19">
        <f>DATE(87,7,26)</f>
        <v>31984</v>
      </c>
      <c r="D52" s="2">
        <v>1900</v>
      </c>
      <c r="E52" s="2">
        <v>531</v>
      </c>
      <c r="F52" s="2">
        <v>100</v>
      </c>
      <c r="G52" s="2">
        <v>1680</v>
      </c>
      <c r="H52" s="2">
        <v>363</v>
      </c>
      <c r="I52" s="2">
        <v>310</v>
      </c>
      <c r="J52" s="2">
        <v>455</v>
      </c>
      <c r="K52" s="2">
        <v>292</v>
      </c>
      <c r="L52" s="2">
        <v>44</v>
      </c>
      <c r="M52" s="2">
        <v>156</v>
      </c>
      <c r="N52" s="2">
        <v>108</v>
      </c>
      <c r="P52" s="2">
        <v>84</v>
      </c>
      <c r="Q52" s="4">
        <v>918</v>
      </c>
      <c r="R52" s="4">
        <v>910</v>
      </c>
      <c r="S52" s="4">
        <v>233</v>
      </c>
      <c r="T52" s="4">
        <v>508</v>
      </c>
      <c r="U52" s="4">
        <v>471</v>
      </c>
      <c r="V52" s="4">
        <v>88</v>
      </c>
      <c r="W52" s="4">
        <v>174</v>
      </c>
    </row>
    <row r="53" spans="1:23" x14ac:dyDescent="0.2">
      <c r="A53" s="2">
        <v>49</v>
      </c>
      <c r="B53" s="2" t="s">
        <v>1317</v>
      </c>
      <c r="C53" s="19">
        <f>DATE(87,7,27)</f>
        <v>31985</v>
      </c>
      <c r="D53" s="8" t="s">
        <v>1039</v>
      </c>
      <c r="E53" s="2">
        <v>534</v>
      </c>
      <c r="F53" s="2">
        <v>99</v>
      </c>
      <c r="G53" s="2">
        <v>1683</v>
      </c>
      <c r="H53" s="2">
        <v>367</v>
      </c>
      <c r="I53" s="2">
        <v>309</v>
      </c>
      <c r="J53" s="2">
        <v>463</v>
      </c>
      <c r="K53" s="2">
        <v>290</v>
      </c>
      <c r="L53" s="2">
        <v>325</v>
      </c>
      <c r="M53" s="2">
        <v>178</v>
      </c>
      <c r="N53" s="2">
        <v>110</v>
      </c>
      <c r="P53" s="2">
        <v>89</v>
      </c>
      <c r="Q53" s="4">
        <v>1570</v>
      </c>
      <c r="R53" s="4">
        <v>1560</v>
      </c>
      <c r="S53" s="4">
        <v>517</v>
      </c>
      <c r="T53" s="4">
        <v>925</v>
      </c>
      <c r="U53" s="4">
        <v>814</v>
      </c>
      <c r="V53" s="4">
        <v>193</v>
      </c>
      <c r="W53" s="4">
        <v>430</v>
      </c>
    </row>
    <row r="54" spans="1:23" x14ac:dyDescent="0.2">
      <c r="A54" s="2">
        <v>50</v>
      </c>
      <c r="B54" s="2" t="s">
        <v>1318</v>
      </c>
      <c r="C54" s="19">
        <f>DATE(87,7,27)</f>
        <v>31985</v>
      </c>
      <c r="D54" s="2">
        <v>1100</v>
      </c>
      <c r="E54" s="2">
        <v>539</v>
      </c>
      <c r="F54" s="2">
        <v>95</v>
      </c>
      <c r="G54" s="2">
        <v>1678</v>
      </c>
      <c r="H54" s="2">
        <v>365</v>
      </c>
      <c r="I54" s="2">
        <v>311</v>
      </c>
      <c r="J54" s="2">
        <v>449</v>
      </c>
      <c r="K54" s="2">
        <v>254</v>
      </c>
      <c r="L54" s="2">
        <v>44</v>
      </c>
      <c r="M54" s="2">
        <v>146</v>
      </c>
      <c r="N54" s="2">
        <v>108</v>
      </c>
      <c r="O54" s="2">
        <v>16</v>
      </c>
      <c r="P54" s="2">
        <v>92</v>
      </c>
      <c r="Q54" s="4">
        <v>752</v>
      </c>
      <c r="R54" s="4">
        <v>1250</v>
      </c>
      <c r="S54" s="4">
        <v>232</v>
      </c>
      <c r="T54" s="4">
        <v>338</v>
      </c>
      <c r="U54" s="4">
        <v>602</v>
      </c>
      <c r="V54" s="4">
        <v>87</v>
      </c>
      <c r="W54" s="4">
        <v>173</v>
      </c>
    </row>
    <row r="55" spans="1:23" x14ac:dyDescent="0.2">
      <c r="A55" s="2">
        <v>51</v>
      </c>
      <c r="B55" s="2" t="s">
        <v>1319</v>
      </c>
      <c r="C55" s="19">
        <f>DATE(87,7,27)</f>
        <v>31985</v>
      </c>
      <c r="D55" s="2">
        <v>1900</v>
      </c>
      <c r="E55" s="2">
        <v>533</v>
      </c>
      <c r="F55" s="2">
        <v>91</v>
      </c>
      <c r="G55" s="2">
        <v>1680</v>
      </c>
      <c r="H55" s="2">
        <v>364</v>
      </c>
      <c r="I55" s="2">
        <v>307</v>
      </c>
      <c r="J55" s="2">
        <v>468</v>
      </c>
      <c r="K55" s="2">
        <v>306</v>
      </c>
      <c r="L55" s="2">
        <v>319</v>
      </c>
      <c r="M55" s="2">
        <v>181</v>
      </c>
      <c r="N55" s="2">
        <v>108</v>
      </c>
      <c r="P55" s="2">
        <v>88</v>
      </c>
      <c r="Q55" s="4">
        <v>1080</v>
      </c>
      <c r="R55" s="4">
        <v>599</v>
      </c>
      <c r="S55" s="4">
        <v>331</v>
      </c>
      <c r="T55" s="4">
        <v>829</v>
      </c>
      <c r="U55" s="4">
        <v>433</v>
      </c>
      <c r="V55" s="4">
        <v>133</v>
      </c>
      <c r="W55" s="4">
        <v>314</v>
      </c>
    </row>
    <row r="56" spans="1:23" x14ac:dyDescent="0.2">
      <c r="A56" s="2">
        <v>52</v>
      </c>
      <c r="B56" s="2" t="s">
        <v>1320</v>
      </c>
      <c r="C56" s="19">
        <f>DATE(87,7,28)</f>
        <v>31986</v>
      </c>
      <c r="D56" s="8" t="s">
        <v>1039</v>
      </c>
      <c r="E56" s="2">
        <v>506</v>
      </c>
      <c r="F56" s="2">
        <v>86</v>
      </c>
      <c r="G56" s="2">
        <v>1678</v>
      </c>
      <c r="H56" s="2">
        <v>367</v>
      </c>
      <c r="I56" s="2">
        <v>309</v>
      </c>
      <c r="J56" s="2">
        <v>452</v>
      </c>
      <c r="K56" s="2">
        <v>268</v>
      </c>
      <c r="L56" s="2">
        <v>46</v>
      </c>
      <c r="M56" s="2">
        <v>148</v>
      </c>
      <c r="N56" s="2">
        <v>112</v>
      </c>
      <c r="O56" s="2">
        <v>17</v>
      </c>
      <c r="P56" s="2">
        <v>86</v>
      </c>
      <c r="Q56" s="4">
        <v>779</v>
      </c>
      <c r="R56" s="4">
        <v>859</v>
      </c>
      <c r="S56" s="4">
        <v>288</v>
      </c>
      <c r="T56" s="4">
        <v>667</v>
      </c>
      <c r="U56" s="4">
        <v>375</v>
      </c>
      <c r="V56" s="4">
        <v>80</v>
      </c>
      <c r="W56" s="4">
        <v>149</v>
      </c>
    </row>
    <row r="57" spans="1:23" x14ac:dyDescent="0.2">
      <c r="A57" s="2">
        <v>53</v>
      </c>
      <c r="B57" s="2" t="s">
        <v>1321</v>
      </c>
      <c r="C57" s="19">
        <f>DATE(87,7,28)</f>
        <v>31986</v>
      </c>
      <c r="D57" s="2">
        <v>1100</v>
      </c>
      <c r="E57" s="2">
        <v>508</v>
      </c>
      <c r="F57" s="2">
        <v>92</v>
      </c>
      <c r="G57" s="2">
        <v>1676</v>
      </c>
      <c r="H57" s="2">
        <v>364</v>
      </c>
      <c r="I57" s="2">
        <v>309</v>
      </c>
      <c r="J57" s="2">
        <v>462</v>
      </c>
      <c r="K57" s="2">
        <v>290</v>
      </c>
      <c r="L57" s="2">
        <v>299</v>
      </c>
      <c r="M57" s="2">
        <v>181</v>
      </c>
      <c r="N57" s="2">
        <v>112</v>
      </c>
      <c r="P57" s="2">
        <v>89</v>
      </c>
      <c r="Q57" s="4">
        <v>934</v>
      </c>
      <c r="R57" s="4">
        <v>593</v>
      </c>
      <c r="S57" s="4">
        <v>355</v>
      </c>
      <c r="T57" s="4">
        <v>559</v>
      </c>
      <c r="U57" s="4">
        <v>364</v>
      </c>
      <c r="V57" s="4">
        <v>79</v>
      </c>
      <c r="W57" s="4">
        <v>160</v>
      </c>
    </row>
    <row r="58" spans="1:23" x14ac:dyDescent="0.2">
      <c r="A58" s="2">
        <v>54</v>
      </c>
      <c r="B58" s="2" t="s">
        <v>1322</v>
      </c>
      <c r="C58" s="19">
        <f>DATE(87,7,28)</f>
        <v>31986</v>
      </c>
      <c r="D58" s="2">
        <v>1900</v>
      </c>
      <c r="E58" s="2">
        <v>507</v>
      </c>
      <c r="F58" s="2">
        <v>82</v>
      </c>
      <c r="G58" s="2">
        <v>1682</v>
      </c>
      <c r="H58" s="2">
        <v>363</v>
      </c>
      <c r="I58" s="2">
        <v>307</v>
      </c>
      <c r="J58" s="2">
        <v>455</v>
      </c>
      <c r="K58" s="2">
        <v>338</v>
      </c>
      <c r="L58" s="2">
        <v>58</v>
      </c>
      <c r="M58" s="2">
        <v>150</v>
      </c>
      <c r="N58" s="2">
        <v>110</v>
      </c>
      <c r="O58" s="2">
        <v>47</v>
      </c>
      <c r="P58" s="2">
        <v>81</v>
      </c>
      <c r="Q58" s="4">
        <v>1020</v>
      </c>
      <c r="R58" s="4">
        <v>677</v>
      </c>
      <c r="S58" s="4">
        <v>278</v>
      </c>
      <c r="T58" s="4">
        <v>710</v>
      </c>
      <c r="U58" s="4">
        <v>437</v>
      </c>
      <c r="V58" s="4">
        <v>90</v>
      </c>
      <c r="W58" s="4">
        <v>171</v>
      </c>
    </row>
    <row r="59" spans="1:23" x14ac:dyDescent="0.2">
      <c r="A59" s="2">
        <v>55</v>
      </c>
      <c r="B59" s="2" t="s">
        <v>1323</v>
      </c>
      <c r="C59" s="19">
        <f>DATE(87,7,29)</f>
        <v>31987</v>
      </c>
      <c r="D59" s="8" t="s">
        <v>1039</v>
      </c>
      <c r="E59" s="2">
        <v>481</v>
      </c>
      <c r="F59" s="2">
        <v>84</v>
      </c>
      <c r="G59" s="2">
        <v>1679</v>
      </c>
      <c r="H59" s="2">
        <v>368</v>
      </c>
      <c r="I59" s="2">
        <v>309</v>
      </c>
      <c r="J59" s="2">
        <v>454</v>
      </c>
      <c r="K59" s="2">
        <v>284</v>
      </c>
      <c r="L59" s="2">
        <v>380</v>
      </c>
      <c r="M59" s="2">
        <v>191</v>
      </c>
      <c r="N59" s="2">
        <v>110</v>
      </c>
      <c r="P59" s="2">
        <v>82</v>
      </c>
      <c r="Q59" s="4">
        <v>863</v>
      </c>
      <c r="R59" s="4">
        <v>834</v>
      </c>
      <c r="S59" s="4">
        <v>231</v>
      </c>
      <c r="T59" s="4">
        <v>494</v>
      </c>
      <c r="U59" s="4">
        <v>455</v>
      </c>
      <c r="V59" s="4">
        <v>68</v>
      </c>
      <c r="W59" s="4">
        <v>136</v>
      </c>
    </row>
    <row r="60" spans="1:23" x14ac:dyDescent="0.2">
      <c r="A60" s="2">
        <v>56</v>
      </c>
      <c r="B60" s="2" t="s">
        <v>1324</v>
      </c>
      <c r="C60" s="19">
        <f>DATE(87,7,29)</f>
        <v>31987</v>
      </c>
      <c r="D60" s="2">
        <v>1100</v>
      </c>
      <c r="E60" s="2">
        <v>568</v>
      </c>
      <c r="F60" s="2">
        <v>106</v>
      </c>
      <c r="G60" s="2">
        <v>1671</v>
      </c>
      <c r="H60" s="2">
        <v>367</v>
      </c>
      <c r="I60" s="2">
        <v>311</v>
      </c>
      <c r="J60" s="2">
        <v>454</v>
      </c>
      <c r="K60" s="2">
        <v>324</v>
      </c>
      <c r="L60" s="2">
        <v>44</v>
      </c>
      <c r="M60" s="2">
        <v>161</v>
      </c>
      <c r="N60" s="2">
        <v>111</v>
      </c>
      <c r="P60" s="2">
        <v>108</v>
      </c>
      <c r="Q60" s="4">
        <v>3420</v>
      </c>
      <c r="R60" s="4">
        <v>1280</v>
      </c>
      <c r="S60" s="4">
        <v>282</v>
      </c>
      <c r="T60" s="4">
        <v>1120</v>
      </c>
      <c r="U60" s="4">
        <v>785</v>
      </c>
      <c r="V60" s="4">
        <v>132</v>
      </c>
      <c r="W60" s="4">
        <v>324</v>
      </c>
    </row>
    <row r="61" spans="1:23" x14ac:dyDescent="0.2">
      <c r="A61" s="2">
        <v>57</v>
      </c>
      <c r="B61" s="2" t="s">
        <v>1325</v>
      </c>
      <c r="C61" s="19">
        <f>DATE(87,7,29)</f>
        <v>31987</v>
      </c>
      <c r="D61" s="2">
        <v>1900</v>
      </c>
      <c r="E61" s="2">
        <v>588</v>
      </c>
      <c r="F61" s="2">
        <v>92</v>
      </c>
      <c r="G61" s="2">
        <v>1669</v>
      </c>
      <c r="H61" s="2">
        <v>363</v>
      </c>
      <c r="I61" s="2">
        <v>312</v>
      </c>
      <c r="J61" s="2">
        <v>457</v>
      </c>
      <c r="K61" s="2">
        <v>363</v>
      </c>
      <c r="L61" s="2">
        <v>534</v>
      </c>
      <c r="M61" s="2">
        <v>212</v>
      </c>
      <c r="N61" s="2">
        <v>107</v>
      </c>
      <c r="O61" s="2">
        <v>14</v>
      </c>
      <c r="P61" s="2">
        <v>90</v>
      </c>
      <c r="Q61" s="4">
        <v>867</v>
      </c>
      <c r="R61" s="4">
        <v>769</v>
      </c>
      <c r="S61" s="4">
        <v>299</v>
      </c>
      <c r="T61" s="4">
        <v>311</v>
      </c>
      <c r="U61" s="4">
        <v>608</v>
      </c>
      <c r="V61" s="4">
        <v>60</v>
      </c>
      <c r="W61" s="4">
        <v>122</v>
      </c>
    </row>
    <row r="62" spans="1:23" x14ac:dyDescent="0.2">
      <c r="A62" s="2">
        <v>58</v>
      </c>
      <c r="B62" s="2" t="s">
        <v>464</v>
      </c>
      <c r="C62" s="19">
        <f>DATE(87,7,30)</f>
        <v>31988</v>
      </c>
      <c r="D62" s="8" t="s">
        <v>1039</v>
      </c>
      <c r="E62" s="2">
        <v>553</v>
      </c>
      <c r="F62" s="2">
        <v>71</v>
      </c>
      <c r="G62" s="2">
        <v>1670</v>
      </c>
      <c r="H62" s="2">
        <v>363</v>
      </c>
      <c r="I62" s="2">
        <v>310</v>
      </c>
      <c r="J62" s="2">
        <v>461</v>
      </c>
      <c r="K62" s="2">
        <v>399</v>
      </c>
      <c r="L62" s="2">
        <v>49</v>
      </c>
      <c r="M62" s="2">
        <v>168</v>
      </c>
      <c r="N62" s="2">
        <v>112</v>
      </c>
      <c r="P62" s="2">
        <v>76</v>
      </c>
      <c r="Q62" s="4">
        <v>924</v>
      </c>
      <c r="R62" s="4">
        <v>388</v>
      </c>
      <c r="S62" s="4">
        <v>216</v>
      </c>
      <c r="T62" s="4">
        <v>336</v>
      </c>
      <c r="U62" s="4">
        <v>370</v>
      </c>
      <c r="V62" s="4">
        <v>66</v>
      </c>
      <c r="W62" s="4">
        <v>127</v>
      </c>
    </row>
    <row r="63" spans="1:23" x14ac:dyDescent="0.2">
      <c r="A63" s="2">
        <v>59</v>
      </c>
      <c r="B63" s="2" t="s">
        <v>1326</v>
      </c>
      <c r="C63" s="19">
        <f>DATE(87,7,30)</f>
        <v>31988</v>
      </c>
      <c r="D63" s="2">
        <v>1100</v>
      </c>
      <c r="E63" s="2">
        <v>521</v>
      </c>
      <c r="F63" s="2">
        <v>85</v>
      </c>
      <c r="G63" s="2">
        <v>1668</v>
      </c>
      <c r="H63" s="2">
        <v>363</v>
      </c>
      <c r="I63" s="2">
        <v>311</v>
      </c>
      <c r="J63" s="2">
        <v>513</v>
      </c>
      <c r="K63" s="2">
        <v>437</v>
      </c>
      <c r="L63" s="2">
        <v>384</v>
      </c>
      <c r="M63" s="2">
        <v>211</v>
      </c>
      <c r="N63" s="2">
        <v>111</v>
      </c>
      <c r="O63" s="2">
        <v>8</v>
      </c>
      <c r="P63" s="2">
        <v>82</v>
      </c>
      <c r="Q63" s="4">
        <v>693</v>
      </c>
      <c r="R63" s="4">
        <v>557</v>
      </c>
      <c r="S63" s="4">
        <v>255</v>
      </c>
      <c r="T63" s="4">
        <v>226</v>
      </c>
      <c r="U63" s="4">
        <v>382</v>
      </c>
      <c r="V63" s="4">
        <v>47</v>
      </c>
      <c r="W63" s="4">
        <v>92</v>
      </c>
    </row>
    <row r="64" spans="1:23" x14ac:dyDescent="0.2">
      <c r="A64" s="2">
        <v>60</v>
      </c>
      <c r="B64" s="2" t="s">
        <v>1327</v>
      </c>
      <c r="C64" s="19">
        <f>DATE(87,7,30)</f>
        <v>31988</v>
      </c>
      <c r="D64" s="2">
        <v>1900</v>
      </c>
      <c r="E64" s="2">
        <v>525</v>
      </c>
      <c r="F64" s="2">
        <v>86</v>
      </c>
      <c r="G64" s="2">
        <v>1669</v>
      </c>
      <c r="H64" s="2">
        <v>362</v>
      </c>
      <c r="I64" s="2">
        <v>309</v>
      </c>
      <c r="J64" s="2">
        <v>490</v>
      </c>
      <c r="K64" s="2">
        <v>344</v>
      </c>
      <c r="L64" s="2">
        <v>47</v>
      </c>
      <c r="M64" s="2">
        <v>159</v>
      </c>
      <c r="N64" s="2">
        <v>110</v>
      </c>
      <c r="P64" s="2">
        <v>82</v>
      </c>
      <c r="Q64" s="4">
        <v>730</v>
      </c>
      <c r="R64" s="4">
        <v>614</v>
      </c>
      <c r="S64" s="4">
        <v>267</v>
      </c>
      <c r="T64" s="4">
        <v>672</v>
      </c>
      <c r="U64" s="4">
        <v>533</v>
      </c>
      <c r="V64" s="4">
        <v>87</v>
      </c>
      <c r="W64" s="4">
        <v>162</v>
      </c>
    </row>
    <row r="65" spans="1:23" x14ac:dyDescent="0.2">
      <c r="A65" s="2">
        <v>61</v>
      </c>
      <c r="B65" s="2" t="s">
        <v>1328</v>
      </c>
      <c r="C65" s="19">
        <f>DATE(87,7,31)</f>
        <v>31989</v>
      </c>
      <c r="D65" s="2">
        <v>1100</v>
      </c>
      <c r="E65" s="2">
        <v>523</v>
      </c>
      <c r="F65" s="2">
        <v>99</v>
      </c>
      <c r="G65" s="2">
        <v>1665</v>
      </c>
      <c r="H65" s="2">
        <v>366</v>
      </c>
      <c r="I65" s="2">
        <v>310</v>
      </c>
      <c r="J65" s="2">
        <v>453</v>
      </c>
      <c r="K65" s="2">
        <v>317</v>
      </c>
      <c r="L65" s="2">
        <v>49</v>
      </c>
      <c r="M65" s="2">
        <v>157</v>
      </c>
      <c r="N65" s="2">
        <v>108</v>
      </c>
      <c r="P65" s="2">
        <v>103</v>
      </c>
      <c r="Q65" s="4">
        <v>666</v>
      </c>
      <c r="R65" s="4">
        <v>829</v>
      </c>
      <c r="S65" s="4">
        <v>220</v>
      </c>
      <c r="T65" s="4">
        <v>216</v>
      </c>
      <c r="U65" s="4">
        <v>381</v>
      </c>
      <c r="V65" s="4">
        <v>65</v>
      </c>
      <c r="W65" s="4">
        <v>113</v>
      </c>
    </row>
    <row r="66" spans="1:23" x14ac:dyDescent="0.2">
      <c r="A66" s="2">
        <v>62</v>
      </c>
      <c r="B66" s="2" t="s">
        <v>1329</v>
      </c>
      <c r="C66" s="19">
        <f>DATE(87,7,31)</f>
        <v>31989</v>
      </c>
      <c r="D66" s="2">
        <v>1900</v>
      </c>
      <c r="F66" s="2">
        <v>136</v>
      </c>
      <c r="G66" s="2">
        <v>1665</v>
      </c>
      <c r="H66" s="2">
        <v>363</v>
      </c>
      <c r="I66" s="2">
        <v>309</v>
      </c>
      <c r="J66" s="2">
        <v>515</v>
      </c>
      <c r="K66" s="2">
        <v>946</v>
      </c>
      <c r="L66" s="2">
        <v>350</v>
      </c>
      <c r="M66" s="2">
        <v>258</v>
      </c>
      <c r="N66" s="2">
        <v>110</v>
      </c>
      <c r="Q66" s="4">
        <v>735</v>
      </c>
      <c r="R66" s="4">
        <v>950</v>
      </c>
      <c r="S66" s="4">
        <v>675</v>
      </c>
      <c r="T66" s="4">
        <v>787</v>
      </c>
      <c r="U66" s="4">
        <v>446</v>
      </c>
      <c r="V66" s="4">
        <v>186</v>
      </c>
      <c r="W66" s="4">
        <v>465</v>
      </c>
    </row>
    <row r="67" spans="1:23" x14ac:dyDescent="0.2">
      <c r="A67" s="2">
        <v>63</v>
      </c>
      <c r="B67" s="2" t="s">
        <v>1330</v>
      </c>
      <c r="C67" s="19">
        <f>DATE(87,8,1)</f>
        <v>31990</v>
      </c>
      <c r="D67" s="8" t="s">
        <v>1039</v>
      </c>
      <c r="E67" s="2">
        <v>477</v>
      </c>
      <c r="F67" s="2">
        <v>124</v>
      </c>
      <c r="G67" s="2">
        <v>1670</v>
      </c>
      <c r="H67" s="2">
        <v>366</v>
      </c>
      <c r="I67" s="2">
        <v>309</v>
      </c>
      <c r="J67" s="2">
        <v>471</v>
      </c>
      <c r="K67" s="2">
        <v>332</v>
      </c>
      <c r="L67" s="2">
        <v>48</v>
      </c>
      <c r="M67" s="2">
        <v>159</v>
      </c>
      <c r="N67" s="2">
        <v>112</v>
      </c>
      <c r="P67" s="2">
        <v>115</v>
      </c>
      <c r="Q67" s="4">
        <v>769</v>
      </c>
      <c r="R67" s="4">
        <v>691</v>
      </c>
      <c r="S67" s="4">
        <v>478</v>
      </c>
      <c r="T67" s="4">
        <v>1340</v>
      </c>
      <c r="U67" s="4">
        <v>368</v>
      </c>
      <c r="V67" s="4">
        <v>177</v>
      </c>
      <c r="W67" s="4">
        <v>415</v>
      </c>
    </row>
    <row r="68" spans="1:23" x14ac:dyDescent="0.2">
      <c r="A68" s="2">
        <v>64</v>
      </c>
      <c r="B68" s="2" t="s">
        <v>1331</v>
      </c>
      <c r="C68" s="19">
        <f>DATE(87,8,1)</f>
        <v>31990</v>
      </c>
      <c r="D68" s="2">
        <v>1100</v>
      </c>
      <c r="F68" s="2">
        <v>110</v>
      </c>
      <c r="G68" s="2">
        <v>1676</v>
      </c>
      <c r="H68" s="2">
        <v>366</v>
      </c>
      <c r="I68" s="2">
        <v>310</v>
      </c>
      <c r="J68" s="2">
        <v>462</v>
      </c>
      <c r="K68" s="2">
        <v>316</v>
      </c>
      <c r="L68" s="2">
        <v>361</v>
      </c>
      <c r="M68" s="2">
        <v>191</v>
      </c>
      <c r="N68" s="2">
        <v>113</v>
      </c>
      <c r="Q68" s="4">
        <v>811</v>
      </c>
      <c r="R68" s="4">
        <v>607</v>
      </c>
      <c r="S68" s="4">
        <v>352</v>
      </c>
      <c r="T68" s="4">
        <v>251</v>
      </c>
      <c r="U68" s="4">
        <v>405</v>
      </c>
      <c r="V68" s="4">
        <v>54</v>
      </c>
      <c r="W68" s="4">
        <v>125</v>
      </c>
    </row>
    <row r="69" spans="1:23" x14ac:dyDescent="0.2">
      <c r="A69" s="2">
        <v>65</v>
      </c>
      <c r="B69" s="2" t="s">
        <v>1332</v>
      </c>
      <c r="C69" s="19">
        <f>DATE(87,8,21)</f>
        <v>32010</v>
      </c>
      <c r="D69" s="2">
        <v>1900</v>
      </c>
      <c r="E69" s="2">
        <v>524</v>
      </c>
      <c r="F69" s="2">
        <v>111</v>
      </c>
      <c r="G69" s="2">
        <v>1673</v>
      </c>
      <c r="H69" s="2">
        <v>361</v>
      </c>
      <c r="I69" s="2">
        <v>311</v>
      </c>
      <c r="J69" s="2">
        <v>492</v>
      </c>
      <c r="K69" s="2">
        <v>998</v>
      </c>
      <c r="L69" s="2">
        <v>1661</v>
      </c>
      <c r="M69" s="2">
        <v>435</v>
      </c>
      <c r="N69" s="2">
        <v>112</v>
      </c>
      <c r="P69" s="2">
        <v>103</v>
      </c>
      <c r="Q69" s="4">
        <v>833</v>
      </c>
      <c r="R69" s="4">
        <v>1770</v>
      </c>
      <c r="S69" s="4">
        <v>640</v>
      </c>
      <c r="T69" s="4">
        <v>565</v>
      </c>
      <c r="U69" s="4">
        <v>1880</v>
      </c>
      <c r="V69" s="4">
        <v>91</v>
      </c>
      <c r="W69" s="4">
        <v>199</v>
      </c>
    </row>
    <row r="70" spans="1:23" x14ac:dyDescent="0.2">
      <c r="A70" s="2">
        <v>66</v>
      </c>
      <c r="B70" s="2" t="s">
        <v>1333</v>
      </c>
      <c r="C70" s="19">
        <f>DATE(87,8,22)</f>
        <v>32011</v>
      </c>
      <c r="D70" s="2">
        <v>1100</v>
      </c>
      <c r="E70" s="2">
        <v>533</v>
      </c>
      <c r="F70" s="2">
        <v>111</v>
      </c>
      <c r="G70" s="2">
        <v>1676</v>
      </c>
      <c r="H70" s="2">
        <v>359</v>
      </c>
      <c r="I70" s="2">
        <v>312</v>
      </c>
      <c r="J70" s="2">
        <v>459</v>
      </c>
      <c r="K70" s="2">
        <v>376</v>
      </c>
      <c r="L70" s="2">
        <v>64</v>
      </c>
      <c r="M70" s="2">
        <v>174</v>
      </c>
      <c r="N70" s="2">
        <v>114</v>
      </c>
      <c r="P70" s="2">
        <v>104</v>
      </c>
      <c r="Q70" s="4">
        <v>697</v>
      </c>
      <c r="R70" s="4">
        <v>734</v>
      </c>
      <c r="S70" s="4">
        <v>279</v>
      </c>
      <c r="T70" s="4">
        <v>260</v>
      </c>
      <c r="U70" s="4">
        <v>1520</v>
      </c>
      <c r="V70" s="4">
        <v>79</v>
      </c>
      <c r="W70" s="4">
        <v>188</v>
      </c>
    </row>
    <row r="71" spans="1:23" x14ac:dyDescent="0.2">
      <c r="A71" s="2">
        <v>67</v>
      </c>
      <c r="B71" s="2" t="s">
        <v>1334</v>
      </c>
      <c r="C71" s="19">
        <f>DATE(87,8,24)</f>
        <v>32013</v>
      </c>
      <c r="D71" s="2">
        <v>1900</v>
      </c>
      <c r="E71" s="2">
        <v>519</v>
      </c>
      <c r="F71" s="2">
        <v>91</v>
      </c>
      <c r="G71" s="2">
        <v>1682</v>
      </c>
      <c r="H71" s="2">
        <v>360</v>
      </c>
      <c r="I71" s="2">
        <v>312</v>
      </c>
      <c r="J71" s="2">
        <v>495</v>
      </c>
      <c r="K71" s="2">
        <v>387</v>
      </c>
      <c r="L71" s="2">
        <v>1018</v>
      </c>
      <c r="M71" s="2">
        <v>353</v>
      </c>
      <c r="N71" s="2">
        <v>110</v>
      </c>
      <c r="O71" s="2">
        <v>16</v>
      </c>
      <c r="P71" s="2">
        <v>79</v>
      </c>
      <c r="Q71" s="4">
        <v>639</v>
      </c>
      <c r="R71" s="4">
        <v>507</v>
      </c>
      <c r="S71" s="4">
        <v>1330</v>
      </c>
      <c r="T71" s="4">
        <v>627</v>
      </c>
      <c r="U71" s="4">
        <v>1300</v>
      </c>
      <c r="V71" s="4">
        <v>49</v>
      </c>
      <c r="W71" s="4">
        <v>101</v>
      </c>
    </row>
    <row r="72" spans="1:23" x14ac:dyDescent="0.2">
      <c r="A72" s="2">
        <v>68</v>
      </c>
      <c r="B72" s="2" t="s">
        <v>1335</v>
      </c>
      <c r="C72" s="19">
        <f>DATE(87,8,25)</f>
        <v>32014</v>
      </c>
      <c r="D72" s="2">
        <v>1100</v>
      </c>
      <c r="E72" s="2">
        <v>517</v>
      </c>
      <c r="F72" s="2">
        <v>88</v>
      </c>
      <c r="G72" s="2">
        <v>1682</v>
      </c>
      <c r="H72" s="2">
        <v>358</v>
      </c>
      <c r="I72" s="2">
        <v>313</v>
      </c>
      <c r="J72" s="2">
        <v>449</v>
      </c>
      <c r="K72" s="2">
        <v>312</v>
      </c>
      <c r="L72" s="2">
        <v>49</v>
      </c>
      <c r="M72" s="2">
        <v>151</v>
      </c>
      <c r="N72" s="2">
        <v>149</v>
      </c>
      <c r="P72" s="2">
        <v>78</v>
      </c>
      <c r="Q72" s="4">
        <v>531</v>
      </c>
      <c r="R72" s="4">
        <v>1100</v>
      </c>
      <c r="S72" s="4">
        <v>258</v>
      </c>
      <c r="T72" s="4">
        <v>248</v>
      </c>
      <c r="U72" s="4">
        <v>1150</v>
      </c>
      <c r="V72" s="4">
        <v>44</v>
      </c>
      <c r="W72" s="4">
        <v>95</v>
      </c>
    </row>
    <row r="73" spans="1:23" x14ac:dyDescent="0.2">
      <c r="A73" s="2">
        <v>69</v>
      </c>
      <c r="B73" s="2" t="s">
        <v>1325</v>
      </c>
      <c r="C73" s="19">
        <f>DATE(87,8,27)</f>
        <v>32016</v>
      </c>
      <c r="D73" s="2">
        <v>1900</v>
      </c>
      <c r="E73" s="2">
        <v>525</v>
      </c>
      <c r="F73" s="2">
        <v>103</v>
      </c>
      <c r="G73" s="2">
        <v>1693</v>
      </c>
      <c r="H73" s="2">
        <v>360</v>
      </c>
      <c r="I73" s="2">
        <v>310</v>
      </c>
      <c r="J73" s="2">
        <v>484</v>
      </c>
      <c r="K73" s="2">
        <v>348</v>
      </c>
      <c r="L73" s="2">
        <v>812</v>
      </c>
      <c r="M73" s="2">
        <v>278</v>
      </c>
      <c r="N73" s="2">
        <v>115</v>
      </c>
      <c r="O73" s="2">
        <v>20</v>
      </c>
      <c r="P73" s="2">
        <v>96</v>
      </c>
      <c r="Q73" s="4">
        <v>807</v>
      </c>
      <c r="R73" s="4">
        <v>455</v>
      </c>
      <c r="S73" s="4">
        <v>1250</v>
      </c>
      <c r="T73" s="4">
        <v>759</v>
      </c>
      <c r="U73" s="4">
        <v>1030</v>
      </c>
      <c r="V73" s="4">
        <v>74</v>
      </c>
      <c r="W73" s="4">
        <v>179</v>
      </c>
    </row>
    <row r="74" spans="1:23" x14ac:dyDescent="0.2">
      <c r="A74" s="2">
        <v>70</v>
      </c>
      <c r="B74" s="2" t="s">
        <v>1326</v>
      </c>
      <c r="C74" s="19">
        <f>DATE(87,8,28)</f>
        <v>32017</v>
      </c>
      <c r="D74" s="2">
        <v>1100</v>
      </c>
      <c r="E74" s="2">
        <v>510</v>
      </c>
      <c r="F74" s="2">
        <v>103</v>
      </c>
      <c r="G74" s="2">
        <v>1698</v>
      </c>
      <c r="H74" s="2">
        <v>357</v>
      </c>
      <c r="I74" s="2">
        <v>313</v>
      </c>
      <c r="J74" s="2">
        <v>466</v>
      </c>
      <c r="K74" s="2">
        <v>296</v>
      </c>
      <c r="L74" s="2">
        <v>51</v>
      </c>
      <c r="M74" s="2">
        <v>164</v>
      </c>
      <c r="N74" s="2">
        <v>114</v>
      </c>
      <c r="O74" s="2">
        <v>15</v>
      </c>
      <c r="P74" s="2">
        <v>95</v>
      </c>
      <c r="Q74" s="4">
        <v>598</v>
      </c>
      <c r="R74" s="4">
        <v>225</v>
      </c>
      <c r="S74" s="4">
        <v>521</v>
      </c>
      <c r="T74" s="4">
        <v>184</v>
      </c>
      <c r="U74" s="4">
        <v>482</v>
      </c>
      <c r="V74" s="4">
        <v>52</v>
      </c>
      <c r="W74" s="4">
        <v>131</v>
      </c>
    </row>
    <row r="75" spans="1:23" x14ac:dyDescent="0.2">
      <c r="A75" s="2">
        <v>71</v>
      </c>
      <c r="B75" s="2" t="s">
        <v>1328</v>
      </c>
      <c r="C75" s="19">
        <f>DATE(87,8,30)</f>
        <v>32019</v>
      </c>
      <c r="D75" s="2">
        <v>1900</v>
      </c>
      <c r="E75" s="2">
        <v>484</v>
      </c>
      <c r="F75" s="2">
        <v>112</v>
      </c>
      <c r="G75" s="2">
        <v>1716</v>
      </c>
      <c r="H75" s="2">
        <v>359</v>
      </c>
      <c r="I75" s="2">
        <v>310</v>
      </c>
      <c r="J75" s="2">
        <v>492</v>
      </c>
      <c r="K75" s="2">
        <v>318</v>
      </c>
      <c r="L75" s="2">
        <v>614</v>
      </c>
      <c r="M75" s="2">
        <v>235</v>
      </c>
      <c r="N75" s="2">
        <v>112</v>
      </c>
      <c r="O75" s="2">
        <v>19</v>
      </c>
      <c r="P75" s="2">
        <v>109</v>
      </c>
      <c r="Q75" s="4">
        <v>1800</v>
      </c>
      <c r="R75" s="4">
        <v>474</v>
      </c>
      <c r="S75" s="4">
        <v>967</v>
      </c>
      <c r="T75" s="4">
        <v>1220</v>
      </c>
      <c r="U75" s="4">
        <v>852</v>
      </c>
      <c r="V75" s="4">
        <v>206</v>
      </c>
      <c r="W75" s="4">
        <v>422</v>
      </c>
    </row>
    <row r="76" spans="1:23" x14ac:dyDescent="0.2">
      <c r="A76" s="2">
        <v>72</v>
      </c>
      <c r="B76" s="2" t="s">
        <v>1336</v>
      </c>
      <c r="C76" s="19">
        <f>DATE(87,8,31)</f>
        <v>32020</v>
      </c>
      <c r="D76" s="2">
        <v>1100</v>
      </c>
      <c r="E76" s="2">
        <v>517</v>
      </c>
      <c r="F76" s="2">
        <v>112</v>
      </c>
      <c r="G76" s="2">
        <v>1716</v>
      </c>
      <c r="H76" s="2">
        <v>356</v>
      </c>
      <c r="I76" s="2">
        <v>312</v>
      </c>
      <c r="J76" s="2">
        <v>464</v>
      </c>
      <c r="K76" s="2">
        <v>288</v>
      </c>
      <c r="L76" s="2">
        <v>48</v>
      </c>
      <c r="M76" s="2">
        <v>160</v>
      </c>
      <c r="N76" s="2">
        <v>116</v>
      </c>
      <c r="O76" s="2">
        <v>18</v>
      </c>
      <c r="P76" s="2">
        <v>109</v>
      </c>
      <c r="Q76" s="4">
        <v>1430</v>
      </c>
      <c r="R76" s="4">
        <v>482</v>
      </c>
      <c r="S76" s="4">
        <v>308</v>
      </c>
      <c r="T76" s="4">
        <v>590</v>
      </c>
      <c r="U76" s="4">
        <v>511</v>
      </c>
      <c r="V76" s="4">
        <v>117</v>
      </c>
      <c r="W76" s="4">
        <v>204</v>
      </c>
    </row>
    <row r="77" spans="1:23" x14ac:dyDescent="0.2">
      <c r="A77" s="2">
        <v>73</v>
      </c>
      <c r="B77" s="2" t="s">
        <v>1337</v>
      </c>
      <c r="C77" s="19">
        <f>DATE(87,9,2)</f>
        <v>32022</v>
      </c>
      <c r="D77" s="2">
        <v>1900</v>
      </c>
      <c r="E77" s="2">
        <v>500</v>
      </c>
      <c r="F77" s="2">
        <v>92</v>
      </c>
      <c r="G77" s="2">
        <v>1703</v>
      </c>
      <c r="H77" s="2">
        <v>358</v>
      </c>
      <c r="I77" s="2">
        <v>313</v>
      </c>
      <c r="J77" s="2">
        <v>497</v>
      </c>
      <c r="K77" s="2">
        <v>324</v>
      </c>
      <c r="L77" s="2">
        <v>616</v>
      </c>
      <c r="M77" s="2">
        <v>227</v>
      </c>
      <c r="N77" s="2">
        <v>116</v>
      </c>
      <c r="P77" s="2">
        <v>93</v>
      </c>
      <c r="Q77" s="4">
        <v>1140</v>
      </c>
      <c r="R77" s="4">
        <v>718</v>
      </c>
      <c r="S77" s="4">
        <v>1360</v>
      </c>
      <c r="T77" s="4">
        <v>797</v>
      </c>
      <c r="U77" s="4">
        <v>931</v>
      </c>
      <c r="V77" s="4">
        <v>108</v>
      </c>
      <c r="W77" s="4">
        <v>244</v>
      </c>
    </row>
    <row r="78" spans="1:23" x14ac:dyDescent="0.2">
      <c r="A78" s="2">
        <v>74</v>
      </c>
      <c r="B78" s="19" t="s">
        <v>1329</v>
      </c>
      <c r="C78" s="19">
        <f>DATE(87,9,3)</f>
        <v>32023</v>
      </c>
      <c r="D78" s="2">
        <v>1100</v>
      </c>
      <c r="E78" s="2">
        <v>510</v>
      </c>
      <c r="F78" s="2">
        <v>102</v>
      </c>
      <c r="G78" s="2">
        <v>1706</v>
      </c>
      <c r="H78" s="2">
        <v>358</v>
      </c>
      <c r="I78" s="2">
        <v>313</v>
      </c>
      <c r="J78" s="2">
        <v>463</v>
      </c>
      <c r="K78" s="2">
        <v>276</v>
      </c>
      <c r="L78" s="2">
        <v>48</v>
      </c>
      <c r="M78" s="2">
        <v>168</v>
      </c>
      <c r="N78" s="2">
        <v>116</v>
      </c>
      <c r="O78" s="2">
        <v>12</v>
      </c>
      <c r="P78" s="2">
        <v>98</v>
      </c>
      <c r="Q78" s="2">
        <v>1220</v>
      </c>
      <c r="R78" s="2">
        <v>318</v>
      </c>
      <c r="S78" s="2">
        <v>387</v>
      </c>
      <c r="T78" s="2">
        <v>510</v>
      </c>
      <c r="U78" s="2">
        <v>442</v>
      </c>
      <c r="V78" s="2">
        <v>81</v>
      </c>
      <c r="W78" s="2">
        <v>167</v>
      </c>
    </row>
    <row r="79" spans="1:23" x14ac:dyDescent="0.2">
      <c r="A79" s="2">
        <v>75</v>
      </c>
      <c r="B79" s="2" t="s">
        <v>1327</v>
      </c>
      <c r="C79" s="19">
        <f>DATE(87,9,5)</f>
        <v>32025</v>
      </c>
      <c r="D79" s="2">
        <v>1900</v>
      </c>
      <c r="E79" s="2">
        <v>558</v>
      </c>
      <c r="F79" s="2">
        <v>224</v>
      </c>
      <c r="G79" s="2">
        <v>1694</v>
      </c>
      <c r="H79" s="2">
        <v>361</v>
      </c>
      <c r="I79" s="2">
        <v>312</v>
      </c>
      <c r="J79" s="2">
        <v>574</v>
      </c>
      <c r="K79" s="2">
        <v>470</v>
      </c>
      <c r="M79" s="2">
        <v>222</v>
      </c>
      <c r="N79" s="2">
        <v>116</v>
      </c>
      <c r="P79" s="2">
        <v>195</v>
      </c>
      <c r="Q79" s="2">
        <v>1650</v>
      </c>
      <c r="R79" s="2">
        <v>786</v>
      </c>
      <c r="S79" s="2">
        <v>1130</v>
      </c>
      <c r="T79" s="2">
        <v>963</v>
      </c>
      <c r="U79" s="2">
        <v>737</v>
      </c>
      <c r="V79" s="2">
        <v>94</v>
      </c>
      <c r="W79" s="2">
        <v>211</v>
      </c>
    </row>
    <row r="80" spans="1:23" x14ac:dyDescent="0.2">
      <c r="A80" s="2">
        <v>76</v>
      </c>
      <c r="B80" s="2" t="s">
        <v>1324</v>
      </c>
      <c r="C80" s="19">
        <f>DATE(87,9,6)</f>
        <v>32026</v>
      </c>
      <c r="D80" s="2">
        <v>1100</v>
      </c>
      <c r="E80" s="2">
        <v>557</v>
      </c>
      <c r="F80" s="2">
        <v>135</v>
      </c>
      <c r="G80" s="2">
        <v>1697</v>
      </c>
      <c r="H80" s="2">
        <v>357</v>
      </c>
      <c r="I80" s="2">
        <v>313</v>
      </c>
      <c r="J80" s="2">
        <v>478</v>
      </c>
      <c r="K80" s="2">
        <v>295</v>
      </c>
      <c r="L80" s="2">
        <v>51</v>
      </c>
      <c r="M80" s="2">
        <v>188</v>
      </c>
      <c r="N80" s="2">
        <v>115</v>
      </c>
      <c r="P80" s="2">
        <v>126</v>
      </c>
      <c r="Q80" s="2">
        <v>1070</v>
      </c>
      <c r="R80" s="2">
        <v>274</v>
      </c>
      <c r="S80" s="2">
        <v>404</v>
      </c>
      <c r="T80" s="2">
        <v>448</v>
      </c>
      <c r="U80" s="2">
        <v>442</v>
      </c>
      <c r="V80" s="2">
        <v>77</v>
      </c>
      <c r="W80" s="2">
        <v>164</v>
      </c>
    </row>
    <row r="81" spans="1:23" x14ac:dyDescent="0.2">
      <c r="A81" s="2">
        <v>77</v>
      </c>
      <c r="B81" s="2" t="s">
        <v>1338</v>
      </c>
      <c r="C81" s="19">
        <f>DATE(87,9,8)</f>
        <v>32028</v>
      </c>
      <c r="D81" s="2">
        <v>1900</v>
      </c>
      <c r="E81" s="2">
        <v>562</v>
      </c>
      <c r="F81" s="2">
        <v>103</v>
      </c>
      <c r="G81" s="2">
        <v>1693</v>
      </c>
      <c r="H81" s="2">
        <v>360</v>
      </c>
      <c r="I81" s="2">
        <v>312</v>
      </c>
      <c r="J81" s="2">
        <v>485</v>
      </c>
      <c r="K81" s="2">
        <v>338</v>
      </c>
      <c r="L81" s="2">
        <v>355</v>
      </c>
      <c r="M81" s="2">
        <v>191</v>
      </c>
      <c r="N81" s="2">
        <v>113</v>
      </c>
      <c r="O81" s="2">
        <v>17</v>
      </c>
      <c r="P81" s="2">
        <v>102</v>
      </c>
      <c r="Q81" s="2">
        <v>788</v>
      </c>
      <c r="R81" s="2">
        <v>832</v>
      </c>
      <c r="S81" s="2">
        <v>1050</v>
      </c>
      <c r="T81" s="2">
        <v>953</v>
      </c>
      <c r="U81" s="2">
        <v>729</v>
      </c>
      <c r="V81" s="2">
        <v>74</v>
      </c>
      <c r="W81" s="2">
        <v>223</v>
      </c>
    </row>
    <row r="82" spans="1:23" x14ac:dyDescent="0.2">
      <c r="A82" s="2">
        <v>78</v>
      </c>
      <c r="B82" s="2" t="s">
        <v>1339</v>
      </c>
      <c r="C82" s="19">
        <f>DATE(87,9,9)</f>
        <v>32029</v>
      </c>
      <c r="D82" s="2">
        <v>1100</v>
      </c>
      <c r="E82" s="2">
        <v>575</v>
      </c>
      <c r="F82" s="2">
        <v>107</v>
      </c>
      <c r="G82" s="2">
        <v>1693</v>
      </c>
      <c r="H82" s="2">
        <v>358</v>
      </c>
      <c r="I82" s="2">
        <v>313</v>
      </c>
      <c r="J82" s="2">
        <v>478</v>
      </c>
      <c r="K82" s="2">
        <v>408</v>
      </c>
      <c r="L82" s="2">
        <v>51</v>
      </c>
      <c r="M82" s="2">
        <v>176</v>
      </c>
      <c r="N82" s="2">
        <v>116</v>
      </c>
      <c r="P82" s="2">
        <v>112</v>
      </c>
      <c r="Q82" s="2">
        <v>723</v>
      </c>
      <c r="R82" s="2">
        <v>557</v>
      </c>
      <c r="S82" s="2">
        <v>327</v>
      </c>
      <c r="T82" s="2">
        <v>281</v>
      </c>
      <c r="U82" s="2">
        <v>443</v>
      </c>
      <c r="V82" s="2">
        <v>70</v>
      </c>
      <c r="W82" s="2">
        <v>166</v>
      </c>
    </row>
    <row r="83" spans="1:23" x14ac:dyDescent="0.2">
      <c r="A83" s="2">
        <v>79</v>
      </c>
      <c r="B83" s="2" t="s">
        <v>1340</v>
      </c>
      <c r="C83" s="19">
        <f>DATE(87,9,11)</f>
        <v>32031</v>
      </c>
      <c r="D83" s="2">
        <v>1900</v>
      </c>
      <c r="E83" s="2">
        <v>547</v>
      </c>
      <c r="F83" s="2">
        <v>124</v>
      </c>
      <c r="G83" s="2">
        <v>1682</v>
      </c>
      <c r="H83" s="2">
        <v>361</v>
      </c>
      <c r="I83" s="2">
        <v>309</v>
      </c>
      <c r="J83" s="2">
        <v>490</v>
      </c>
      <c r="K83" s="2">
        <v>337</v>
      </c>
      <c r="L83" s="2">
        <v>327</v>
      </c>
      <c r="M83" s="2">
        <v>214</v>
      </c>
      <c r="N83" s="2">
        <v>119</v>
      </c>
      <c r="P83" s="2">
        <v>129</v>
      </c>
      <c r="Q83" s="2">
        <v>797</v>
      </c>
      <c r="R83" s="2">
        <v>775</v>
      </c>
      <c r="S83" s="2">
        <v>1120</v>
      </c>
      <c r="T83" s="2">
        <v>674</v>
      </c>
      <c r="U83" s="2">
        <v>781</v>
      </c>
      <c r="V83" s="2">
        <v>110</v>
      </c>
      <c r="W83" s="2">
        <v>260</v>
      </c>
    </row>
    <row r="84" spans="1:23" x14ac:dyDescent="0.2">
      <c r="A84" s="2">
        <v>80</v>
      </c>
      <c r="B84" s="2" t="s">
        <v>1341</v>
      </c>
      <c r="C84" s="19">
        <f>DATE(87,9,12)</f>
        <v>32032</v>
      </c>
      <c r="D84" s="2">
        <v>1100</v>
      </c>
      <c r="E84" s="2">
        <v>576</v>
      </c>
      <c r="F84" s="2">
        <v>126</v>
      </c>
      <c r="G84" s="2">
        <v>1700</v>
      </c>
      <c r="H84" s="2">
        <v>360</v>
      </c>
      <c r="I84" s="2">
        <v>313</v>
      </c>
      <c r="J84" s="2">
        <v>566</v>
      </c>
      <c r="K84" s="2">
        <v>2042</v>
      </c>
      <c r="L84" s="2">
        <v>87</v>
      </c>
      <c r="M84" s="2">
        <v>469</v>
      </c>
      <c r="N84" s="2">
        <v>109</v>
      </c>
      <c r="O84" s="2">
        <v>21</v>
      </c>
      <c r="P84" s="2">
        <v>127</v>
      </c>
      <c r="Q84" s="2">
        <v>1580</v>
      </c>
      <c r="R84" s="2">
        <v>1970</v>
      </c>
      <c r="S84" s="2">
        <v>1480</v>
      </c>
      <c r="T84" s="2">
        <v>1150</v>
      </c>
      <c r="U84" s="2">
        <v>638</v>
      </c>
      <c r="V84" s="2">
        <v>604</v>
      </c>
      <c r="W84" s="2">
        <v>1280</v>
      </c>
    </row>
    <row r="86" spans="1:23" x14ac:dyDescent="0.2">
      <c r="E86" s="8" t="s">
        <v>117</v>
      </c>
      <c r="F86" s="8" t="s">
        <v>118</v>
      </c>
      <c r="G86" s="8" t="s">
        <v>123</v>
      </c>
      <c r="H86" s="8" t="s">
        <v>134</v>
      </c>
      <c r="I86" s="8" t="s">
        <v>138</v>
      </c>
      <c r="J86" s="8" t="s">
        <v>136</v>
      </c>
      <c r="K86" s="8" t="s">
        <v>130</v>
      </c>
      <c r="L86" s="8" t="s">
        <v>133</v>
      </c>
      <c r="M86" s="8" t="s">
        <v>121</v>
      </c>
      <c r="N86" s="8" t="s">
        <v>112</v>
      </c>
      <c r="O86" s="8" t="s">
        <v>127</v>
      </c>
      <c r="P86" s="8" t="s">
        <v>118</v>
      </c>
      <c r="Q86" s="8" t="s">
        <v>126</v>
      </c>
      <c r="R86" s="8" t="s">
        <v>122</v>
      </c>
      <c r="S86" s="8" t="s">
        <v>113</v>
      </c>
      <c r="T86" s="8" t="s">
        <v>131</v>
      </c>
      <c r="U86" s="8" t="s">
        <v>129</v>
      </c>
      <c r="V86" s="8" t="s">
        <v>149</v>
      </c>
      <c r="W86" s="8" t="s">
        <v>151</v>
      </c>
    </row>
    <row r="87" spans="1:23" x14ac:dyDescent="0.2">
      <c r="E87" s="8" t="s">
        <v>266</v>
      </c>
      <c r="F87" s="8" t="s">
        <v>266</v>
      </c>
      <c r="G87" s="8" t="s">
        <v>266</v>
      </c>
      <c r="H87" s="8" t="s">
        <v>371</v>
      </c>
      <c r="I87" s="8" t="s">
        <v>266</v>
      </c>
      <c r="J87" s="8" t="s">
        <v>144</v>
      </c>
      <c r="K87" s="8" t="s">
        <v>144</v>
      </c>
      <c r="L87" s="8" t="s">
        <v>144</v>
      </c>
      <c r="M87" s="8" t="s">
        <v>144</v>
      </c>
      <c r="N87" s="8" t="s">
        <v>144</v>
      </c>
      <c r="O87" s="8" t="s">
        <v>144</v>
      </c>
      <c r="P87" s="8" t="s">
        <v>266</v>
      </c>
      <c r="Q87" s="8" t="s">
        <v>144</v>
      </c>
      <c r="R87" s="8" t="s">
        <v>144</v>
      </c>
      <c r="S87" s="8" t="s">
        <v>144</v>
      </c>
      <c r="T87" s="8" t="s">
        <v>144</v>
      </c>
      <c r="U87" s="8" t="s">
        <v>144</v>
      </c>
      <c r="V87" s="8" t="s">
        <v>144</v>
      </c>
      <c r="W87" s="8" t="s">
        <v>144</v>
      </c>
    </row>
    <row r="89" spans="1:23" x14ac:dyDescent="0.2">
      <c r="B89" s="7" t="s">
        <v>529</v>
      </c>
      <c r="C89" s="7">
        <f>AVERAGE(C64:C79)</f>
        <v>32008.5</v>
      </c>
      <c r="D89" s="4">
        <f t="shared" ref="D89:W89" si="0">AVERAGE(D6:D84)</f>
        <v>1484.344827586207</v>
      </c>
      <c r="E89" s="4">
        <f t="shared" si="0"/>
        <v>537.22077922077926</v>
      </c>
      <c r="F89" s="4">
        <f t="shared" si="0"/>
        <v>108.01265822784811</v>
      </c>
      <c r="G89" s="4">
        <f t="shared" si="0"/>
        <v>1683.2025316455697</v>
      </c>
      <c r="H89" s="4">
        <f t="shared" si="0"/>
        <v>361.65822784810126</v>
      </c>
      <c r="I89" s="4">
        <f t="shared" si="0"/>
        <v>311.03797468354429</v>
      </c>
      <c r="J89" s="4">
        <f t="shared" si="0"/>
        <v>485.69230769230768</v>
      </c>
      <c r="K89" s="4">
        <f t="shared" si="0"/>
        <v>499.88607594936707</v>
      </c>
      <c r="L89" s="4">
        <f t="shared" si="0"/>
        <v>1766.6538461538462</v>
      </c>
      <c r="M89" s="4">
        <f t="shared" si="0"/>
        <v>219.29113924050634</v>
      </c>
      <c r="N89" s="4">
        <f t="shared" si="0"/>
        <v>114.10126582278481</v>
      </c>
      <c r="O89" s="4">
        <f t="shared" si="0"/>
        <v>31.482758620689655</v>
      </c>
      <c r="P89" s="4">
        <f t="shared" si="0"/>
        <v>102.64935064935065</v>
      </c>
      <c r="Q89" s="4">
        <f t="shared" si="0"/>
        <v>886.55696202531647</v>
      </c>
      <c r="R89" s="4">
        <f t="shared" si="0"/>
        <v>811.56962025316454</v>
      </c>
      <c r="S89" s="4">
        <f t="shared" si="0"/>
        <v>403.30379746835445</v>
      </c>
      <c r="T89" s="4">
        <f t="shared" si="0"/>
        <v>541.44303797468353</v>
      </c>
      <c r="U89" s="4">
        <f t="shared" si="0"/>
        <v>559.60759493670889</v>
      </c>
      <c r="V89" s="4">
        <f t="shared" si="0"/>
        <v>96.050632911392398</v>
      </c>
      <c r="W89" s="4">
        <f t="shared" si="0"/>
        <v>220.29113924050634</v>
      </c>
    </row>
    <row r="90" spans="1:23" x14ac:dyDescent="0.2">
      <c r="B90" s="2" t="s">
        <v>1078</v>
      </c>
      <c r="D90" s="4">
        <f t="shared" ref="D90:W90" si="1">STDEV(D6:D84)</f>
        <v>406.71419991361648</v>
      </c>
      <c r="E90" s="4">
        <f t="shared" si="1"/>
        <v>29.07640722784647</v>
      </c>
      <c r="F90" s="4">
        <f t="shared" si="1"/>
        <v>39.612382702332532</v>
      </c>
      <c r="G90" s="4">
        <f t="shared" si="1"/>
        <v>23.187850348081234</v>
      </c>
      <c r="H90" s="4">
        <f t="shared" si="1"/>
        <v>5.7643601640828992</v>
      </c>
      <c r="I90" s="4">
        <f t="shared" si="1"/>
        <v>2.0028379734938153</v>
      </c>
      <c r="J90" s="4">
        <f t="shared" si="1"/>
        <v>108.55034234481636</v>
      </c>
      <c r="K90" s="4">
        <f t="shared" si="1"/>
        <v>651.60500044007256</v>
      </c>
      <c r="L90" s="4">
        <f t="shared" si="1"/>
        <v>5201.3710900380602</v>
      </c>
      <c r="M90" s="4">
        <f t="shared" si="1"/>
        <v>176.30721671012253</v>
      </c>
      <c r="N90" s="4">
        <f t="shared" si="1"/>
        <v>10.522984534121267</v>
      </c>
      <c r="O90" s="4">
        <f t="shared" si="1"/>
        <v>70.27325273004719</v>
      </c>
      <c r="P90" s="4">
        <f t="shared" si="1"/>
        <v>37.353843680814023</v>
      </c>
      <c r="Q90" s="4">
        <f t="shared" si="1"/>
        <v>419.68977391534565</v>
      </c>
      <c r="R90" s="4">
        <f t="shared" si="1"/>
        <v>472.72135456867034</v>
      </c>
      <c r="S90" s="4">
        <f t="shared" si="1"/>
        <v>310.84967734979438</v>
      </c>
      <c r="T90" s="4">
        <f t="shared" si="1"/>
        <v>435.04461153015285</v>
      </c>
      <c r="U90" s="4">
        <f t="shared" si="1"/>
        <v>389.75509791641446</v>
      </c>
      <c r="V90" s="4">
        <f t="shared" si="1"/>
        <v>121.49843290475906</v>
      </c>
      <c r="W90" s="4">
        <f t="shared" si="1"/>
        <v>295.87736336402889</v>
      </c>
    </row>
    <row r="91" spans="1:23" x14ac:dyDescent="0.2">
      <c r="B91" s="2" t="s">
        <v>365</v>
      </c>
      <c r="D91" s="4">
        <f t="shared" ref="D91:W91" si="2">COUNTA(D6:D84)</f>
        <v>78</v>
      </c>
      <c r="E91" s="4">
        <f t="shared" si="2"/>
        <v>77</v>
      </c>
      <c r="F91" s="4">
        <f t="shared" si="2"/>
        <v>79</v>
      </c>
      <c r="G91" s="4">
        <f t="shared" si="2"/>
        <v>79</v>
      </c>
      <c r="H91" s="4">
        <f t="shared" si="2"/>
        <v>79</v>
      </c>
      <c r="I91" s="4">
        <f t="shared" si="2"/>
        <v>79</v>
      </c>
      <c r="J91" s="4">
        <f t="shared" si="2"/>
        <v>78</v>
      </c>
      <c r="K91" s="4">
        <f t="shared" si="2"/>
        <v>79</v>
      </c>
      <c r="L91" s="4">
        <f t="shared" si="2"/>
        <v>78</v>
      </c>
      <c r="M91" s="4">
        <f t="shared" si="2"/>
        <v>79</v>
      </c>
      <c r="N91" s="4">
        <f t="shared" si="2"/>
        <v>79</v>
      </c>
      <c r="O91" s="4">
        <f t="shared" si="2"/>
        <v>29</v>
      </c>
      <c r="P91" s="4">
        <f t="shared" si="2"/>
        <v>77</v>
      </c>
      <c r="Q91" s="4">
        <f t="shared" si="2"/>
        <v>79</v>
      </c>
      <c r="R91" s="4">
        <f t="shared" si="2"/>
        <v>79</v>
      </c>
      <c r="S91" s="4">
        <f t="shared" si="2"/>
        <v>79</v>
      </c>
      <c r="T91" s="4">
        <f t="shared" si="2"/>
        <v>79</v>
      </c>
      <c r="U91" s="4">
        <f t="shared" si="2"/>
        <v>79</v>
      </c>
      <c r="V91" s="4">
        <f t="shared" si="2"/>
        <v>79</v>
      </c>
      <c r="W91" s="4">
        <f t="shared" si="2"/>
        <v>79</v>
      </c>
    </row>
  </sheetData>
  <pageMargins left="0.5" right="0.5" top="0.75" bottom="0.75" header="0.5" footer="0.5"/>
  <pageSetup orientation="portrait" horizontalDpi="0" verticalDpi="0" copies="0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8"/>
  <sheetViews>
    <sheetView showOutlineSymbols="0" defaultGridColor="0" colorId="9" workbookViewId="0">
      <selection activeCell="E2" sqref="E2"/>
    </sheetView>
  </sheetViews>
  <sheetFormatPr defaultColWidth="8.6640625" defaultRowHeight="15" x14ac:dyDescent="0.2"/>
  <cols>
    <col min="1" max="16384" width="8.6640625" style="2"/>
  </cols>
  <sheetData>
    <row r="1" spans="1:22" ht="18" x14ac:dyDescent="0.25">
      <c r="A1" s="18" t="s">
        <v>66</v>
      </c>
      <c r="V1" s="2" t="s">
        <v>1</v>
      </c>
    </row>
    <row r="2" spans="1:22" x14ac:dyDescent="0.2">
      <c r="V2" s="2" t="s">
        <v>1</v>
      </c>
    </row>
    <row r="3" spans="1:22" x14ac:dyDescent="0.2">
      <c r="A3" s="15" t="s">
        <v>253</v>
      </c>
      <c r="B3" s="15" t="s">
        <v>286</v>
      </c>
      <c r="C3" s="15" t="s">
        <v>287</v>
      </c>
      <c r="D3" s="2" t="s">
        <v>203</v>
      </c>
      <c r="E3" s="8" t="s">
        <v>116</v>
      </c>
      <c r="F3" s="8" t="s">
        <v>117</v>
      </c>
      <c r="G3" s="8" t="s">
        <v>118</v>
      </c>
      <c r="H3" s="8" t="s">
        <v>118</v>
      </c>
      <c r="I3" s="8" t="s">
        <v>123</v>
      </c>
      <c r="J3" s="8" t="s">
        <v>134</v>
      </c>
      <c r="K3" s="8" t="s">
        <v>138</v>
      </c>
      <c r="L3" s="8" t="s">
        <v>136</v>
      </c>
      <c r="M3" s="8" t="s">
        <v>130</v>
      </c>
      <c r="N3" s="8" t="s">
        <v>133</v>
      </c>
      <c r="O3" s="8" t="s">
        <v>133</v>
      </c>
      <c r="P3" s="8" t="s">
        <v>127</v>
      </c>
      <c r="Q3" s="8" t="s">
        <v>121</v>
      </c>
      <c r="R3" s="8" t="s">
        <v>112</v>
      </c>
      <c r="S3" s="8" t="s">
        <v>148</v>
      </c>
      <c r="T3" s="8" t="s">
        <v>115</v>
      </c>
      <c r="V3" s="2" t="s">
        <v>1</v>
      </c>
    </row>
    <row r="4" spans="1:22" x14ac:dyDescent="0.2">
      <c r="E4" s="8" t="s">
        <v>635</v>
      </c>
      <c r="F4" s="8" t="s">
        <v>144</v>
      </c>
      <c r="G4" s="8" t="s">
        <v>266</v>
      </c>
      <c r="H4" s="8" t="s">
        <v>266</v>
      </c>
      <c r="I4" s="8" t="s">
        <v>266</v>
      </c>
      <c r="J4" s="8" t="s">
        <v>371</v>
      </c>
      <c r="K4" s="8" t="s">
        <v>266</v>
      </c>
      <c r="L4" s="8" t="s">
        <v>144</v>
      </c>
      <c r="M4" s="8" t="s">
        <v>144</v>
      </c>
      <c r="N4" s="8" t="s">
        <v>144</v>
      </c>
      <c r="O4" s="8" t="s">
        <v>144</v>
      </c>
      <c r="P4" s="8" t="s">
        <v>144</v>
      </c>
      <c r="Q4" s="8" t="s">
        <v>144</v>
      </c>
      <c r="R4" s="8" t="s">
        <v>144</v>
      </c>
      <c r="S4" s="8" t="s">
        <v>144</v>
      </c>
      <c r="T4" s="8" t="s">
        <v>144</v>
      </c>
      <c r="V4" s="2" t="s">
        <v>1</v>
      </c>
    </row>
    <row r="5" spans="1:22" x14ac:dyDescent="0.2">
      <c r="V5" s="2" t="s">
        <v>1</v>
      </c>
    </row>
    <row r="6" spans="1:22" x14ac:dyDescent="0.2">
      <c r="A6" s="7">
        <v>31419</v>
      </c>
      <c r="B6" s="15" t="s">
        <v>1342</v>
      </c>
      <c r="C6" s="2">
        <v>30</v>
      </c>
      <c r="D6" s="2" t="s">
        <v>1343</v>
      </c>
      <c r="E6" s="17">
        <v>2.4500000000000002</v>
      </c>
      <c r="F6" s="17">
        <v>542</v>
      </c>
      <c r="G6" s="17">
        <v>107</v>
      </c>
      <c r="H6" s="17">
        <v>109.5</v>
      </c>
      <c r="I6" s="17">
        <v>1660.5</v>
      </c>
      <c r="J6" s="17">
        <v>343.5</v>
      </c>
      <c r="K6" s="17">
        <v>336</v>
      </c>
      <c r="L6" s="17">
        <v>411</v>
      </c>
      <c r="M6" s="17">
        <v>240</v>
      </c>
      <c r="N6" s="17">
        <v>33</v>
      </c>
      <c r="O6" s="17">
        <v>34</v>
      </c>
      <c r="P6" s="17">
        <v>14</v>
      </c>
      <c r="Q6" s="17">
        <v>192</v>
      </c>
      <c r="R6" s="17">
        <v>157</v>
      </c>
      <c r="S6" s="17">
        <v>92.5</v>
      </c>
      <c r="T6" s="17">
        <v>840</v>
      </c>
      <c r="V6" s="2" t="s">
        <v>1</v>
      </c>
    </row>
    <row r="7" spans="1:22" x14ac:dyDescent="0.2">
      <c r="A7" s="7">
        <v>31419</v>
      </c>
      <c r="B7" s="15" t="s">
        <v>1344</v>
      </c>
      <c r="C7" s="2">
        <v>29.5</v>
      </c>
      <c r="D7" s="2" t="s">
        <v>1345</v>
      </c>
      <c r="E7" s="17">
        <v>10.85</v>
      </c>
      <c r="F7" s="17">
        <v>461</v>
      </c>
      <c r="G7" s="17">
        <v>94.5</v>
      </c>
      <c r="H7" s="17">
        <v>93.5</v>
      </c>
      <c r="I7" s="17">
        <v>1668.5</v>
      </c>
      <c r="J7" s="17">
        <v>361</v>
      </c>
      <c r="K7" s="17">
        <v>339.5</v>
      </c>
      <c r="L7" s="17">
        <v>409</v>
      </c>
      <c r="M7" s="17">
        <v>232</v>
      </c>
      <c r="N7" s="17">
        <v>32.5</v>
      </c>
      <c r="O7" s="17">
        <v>36</v>
      </c>
      <c r="P7" s="17">
        <v>16</v>
      </c>
      <c r="Q7" s="17">
        <v>189</v>
      </c>
      <c r="R7" s="17">
        <v>157.5</v>
      </c>
      <c r="S7" s="17">
        <v>92.5</v>
      </c>
      <c r="T7" s="17">
        <v>703.5</v>
      </c>
      <c r="V7" s="2" t="s">
        <v>1</v>
      </c>
    </row>
    <row r="8" spans="1:22" x14ac:dyDescent="0.2">
      <c r="A8" s="7">
        <v>31426</v>
      </c>
      <c r="D8" s="2" t="s">
        <v>1345</v>
      </c>
      <c r="E8" s="17">
        <v>2.7</v>
      </c>
      <c r="F8" s="17">
        <v>503</v>
      </c>
      <c r="G8" s="17">
        <v>140.19999999999999</v>
      </c>
      <c r="H8" s="17">
        <v>141.69999999999999</v>
      </c>
      <c r="I8" s="17">
        <v>1698.2</v>
      </c>
      <c r="J8" s="17">
        <v>337.3</v>
      </c>
      <c r="K8" s="17">
        <v>337.3</v>
      </c>
      <c r="L8" s="17">
        <v>421.2</v>
      </c>
      <c r="M8" s="17">
        <v>242.5</v>
      </c>
      <c r="O8" s="17">
        <v>38.200000000000003</v>
      </c>
      <c r="P8" s="17">
        <v>20</v>
      </c>
      <c r="Q8" s="17">
        <v>188</v>
      </c>
      <c r="R8" s="17">
        <v>160.80000000000001</v>
      </c>
      <c r="T8" s="17">
        <v>713</v>
      </c>
      <c r="V8" s="2" t="s">
        <v>1</v>
      </c>
    </row>
    <row r="9" spans="1:22" x14ac:dyDescent="0.2">
      <c r="A9" s="7">
        <v>31426</v>
      </c>
      <c r="B9" s="15" t="s">
        <v>1346</v>
      </c>
      <c r="C9" s="2">
        <v>29</v>
      </c>
      <c r="D9" s="2" t="s">
        <v>1343</v>
      </c>
      <c r="E9" s="17">
        <v>4.75</v>
      </c>
      <c r="F9" s="17">
        <v>503.5</v>
      </c>
      <c r="G9" s="17">
        <v>112.5</v>
      </c>
      <c r="H9" s="17">
        <v>113.5</v>
      </c>
      <c r="I9" s="17">
        <v>1671.5</v>
      </c>
      <c r="J9" s="17">
        <v>349</v>
      </c>
      <c r="K9" s="17">
        <v>337</v>
      </c>
      <c r="L9" s="17">
        <v>407.5</v>
      </c>
      <c r="M9" s="17">
        <v>236.5</v>
      </c>
      <c r="N9" s="17">
        <v>36.5</v>
      </c>
      <c r="O9" s="17">
        <v>14.7</v>
      </c>
      <c r="P9" s="17">
        <v>16</v>
      </c>
      <c r="Q9" s="17">
        <v>180.5</v>
      </c>
      <c r="R9" s="17">
        <v>165.5</v>
      </c>
      <c r="S9" s="17">
        <v>84.4</v>
      </c>
      <c r="T9" s="17">
        <v>738</v>
      </c>
      <c r="V9" s="2" t="s">
        <v>1</v>
      </c>
    </row>
    <row r="10" spans="1:22" x14ac:dyDescent="0.2">
      <c r="A10" s="7">
        <v>31426</v>
      </c>
      <c r="D10" s="2" t="s">
        <v>1343</v>
      </c>
      <c r="E10" s="17">
        <v>1.9</v>
      </c>
      <c r="F10" s="17">
        <v>508</v>
      </c>
      <c r="G10" s="17">
        <v>135.69999999999999</v>
      </c>
      <c r="H10" s="17">
        <v>138.19999999999999</v>
      </c>
      <c r="I10" s="17">
        <v>1692.9</v>
      </c>
      <c r="J10" s="17">
        <v>348.3</v>
      </c>
      <c r="K10" s="17">
        <v>338.6</v>
      </c>
      <c r="L10" s="17">
        <v>432.2</v>
      </c>
      <c r="M10" s="17">
        <v>240.4</v>
      </c>
      <c r="O10" s="17">
        <v>34.4</v>
      </c>
      <c r="P10" s="17">
        <v>23.2</v>
      </c>
      <c r="Q10" s="17">
        <v>180.2</v>
      </c>
      <c r="R10" s="17">
        <v>160.80000000000001</v>
      </c>
      <c r="T10" s="17">
        <v>747.5</v>
      </c>
      <c r="V10" s="2" t="s">
        <v>1</v>
      </c>
    </row>
    <row r="11" spans="1:22" x14ac:dyDescent="0.2">
      <c r="A11" s="7">
        <v>31426</v>
      </c>
      <c r="B11" s="15" t="s">
        <v>1347</v>
      </c>
      <c r="C11" s="2">
        <v>29</v>
      </c>
      <c r="D11" s="2" t="s">
        <v>1345</v>
      </c>
      <c r="E11" s="17">
        <v>7.6</v>
      </c>
      <c r="F11" s="17">
        <v>545</v>
      </c>
      <c r="G11" s="17">
        <v>108</v>
      </c>
      <c r="H11" s="17">
        <v>110.5</v>
      </c>
      <c r="I11" s="17">
        <v>1673</v>
      </c>
      <c r="J11" s="17">
        <v>369.5</v>
      </c>
      <c r="K11" s="17">
        <v>338.5</v>
      </c>
      <c r="L11" s="17">
        <v>410</v>
      </c>
      <c r="M11" s="17">
        <v>240</v>
      </c>
      <c r="N11" s="17">
        <v>38</v>
      </c>
      <c r="O11" s="17">
        <v>32.9</v>
      </c>
      <c r="P11" s="17">
        <v>17</v>
      </c>
      <c r="Q11" s="17">
        <v>186</v>
      </c>
      <c r="R11" s="17">
        <v>169</v>
      </c>
      <c r="S11" s="17">
        <v>95.3</v>
      </c>
      <c r="T11" s="17">
        <v>710</v>
      </c>
      <c r="V11" s="2" t="s">
        <v>1</v>
      </c>
    </row>
    <row r="12" spans="1:22" x14ac:dyDescent="0.2">
      <c r="V12" s="2" t="s">
        <v>1</v>
      </c>
    </row>
    <row r="13" spans="1:22" x14ac:dyDescent="0.2">
      <c r="V13" s="2" t="s">
        <v>1</v>
      </c>
    </row>
    <row r="14" spans="1:22" x14ac:dyDescent="0.2">
      <c r="E14" s="8" t="s">
        <v>116</v>
      </c>
      <c r="F14" s="8" t="s">
        <v>117</v>
      </c>
      <c r="G14" s="8" t="s">
        <v>118</v>
      </c>
      <c r="H14" s="8" t="s">
        <v>118</v>
      </c>
      <c r="I14" s="8" t="s">
        <v>123</v>
      </c>
      <c r="J14" s="8" t="s">
        <v>134</v>
      </c>
      <c r="K14" s="8" t="s">
        <v>138</v>
      </c>
      <c r="L14" s="8" t="s">
        <v>136</v>
      </c>
      <c r="M14" s="8" t="s">
        <v>130</v>
      </c>
      <c r="N14" s="8" t="s">
        <v>133</v>
      </c>
      <c r="O14" s="8" t="s">
        <v>133</v>
      </c>
      <c r="P14" s="8" t="s">
        <v>127</v>
      </c>
      <c r="Q14" s="8" t="s">
        <v>121</v>
      </c>
      <c r="R14" s="8" t="s">
        <v>112</v>
      </c>
      <c r="S14" s="8" t="s">
        <v>148</v>
      </c>
      <c r="T14" s="8" t="s">
        <v>115</v>
      </c>
      <c r="V14" s="2" t="s">
        <v>1</v>
      </c>
    </row>
    <row r="15" spans="1:22" x14ac:dyDescent="0.2">
      <c r="E15" s="8" t="s">
        <v>635</v>
      </c>
      <c r="F15" s="8" t="s">
        <v>144</v>
      </c>
      <c r="G15" s="8" t="s">
        <v>266</v>
      </c>
      <c r="H15" s="8" t="s">
        <v>266</v>
      </c>
      <c r="I15" s="8" t="s">
        <v>266</v>
      </c>
      <c r="J15" s="8" t="s">
        <v>371</v>
      </c>
      <c r="K15" s="8" t="s">
        <v>266</v>
      </c>
      <c r="L15" s="8" t="s">
        <v>144</v>
      </c>
      <c r="M15" s="8" t="s">
        <v>144</v>
      </c>
      <c r="N15" s="8" t="s">
        <v>144</v>
      </c>
      <c r="O15" s="8" t="s">
        <v>144</v>
      </c>
      <c r="P15" s="8" t="s">
        <v>144</v>
      </c>
      <c r="Q15" s="8" t="s">
        <v>144</v>
      </c>
      <c r="R15" s="8" t="s">
        <v>144</v>
      </c>
      <c r="S15" s="8" t="s">
        <v>144</v>
      </c>
      <c r="T15" s="8" t="s">
        <v>144</v>
      </c>
      <c r="V15" s="2" t="s">
        <v>1</v>
      </c>
    </row>
    <row r="16" spans="1:22" x14ac:dyDescent="0.2">
      <c r="V16" s="2" t="s">
        <v>1</v>
      </c>
    </row>
    <row r="17" spans="1:22" x14ac:dyDescent="0.2">
      <c r="A17" s="2" t="s">
        <v>529</v>
      </c>
      <c r="B17" s="7">
        <f>AVERAGE(A6:A11)</f>
        <v>31423.666666666668</v>
      </c>
      <c r="E17" s="4">
        <f t="shared" ref="E17:T17" si="0">AVERAGE(E6:E11)</f>
        <v>5.041666666666667</v>
      </c>
      <c r="F17" s="4">
        <f t="shared" si="0"/>
        <v>510.41666666666669</v>
      </c>
      <c r="G17" s="4">
        <f t="shared" si="0"/>
        <v>116.31666666666666</v>
      </c>
      <c r="H17" s="4">
        <f t="shared" si="0"/>
        <v>117.81666666666666</v>
      </c>
      <c r="I17" s="4">
        <f t="shared" si="0"/>
        <v>1677.4333333333334</v>
      </c>
      <c r="J17" s="4">
        <f t="shared" si="0"/>
        <v>351.43333333333334</v>
      </c>
      <c r="K17" s="4">
        <f t="shared" si="0"/>
        <v>337.81666666666666</v>
      </c>
      <c r="L17" s="4">
        <f t="shared" si="0"/>
        <v>415.15000000000003</v>
      </c>
      <c r="M17" s="4">
        <f t="shared" si="0"/>
        <v>238.56666666666669</v>
      </c>
      <c r="N17" s="4">
        <f t="shared" si="0"/>
        <v>35</v>
      </c>
      <c r="O17" s="4">
        <f t="shared" si="0"/>
        <v>31.700000000000003</v>
      </c>
      <c r="P17" s="4">
        <f t="shared" si="0"/>
        <v>17.7</v>
      </c>
      <c r="Q17" s="4">
        <f t="shared" si="0"/>
        <v>185.95000000000002</v>
      </c>
      <c r="R17" s="4">
        <f t="shared" si="0"/>
        <v>161.76666666666665</v>
      </c>
      <c r="S17" s="4">
        <f t="shared" si="0"/>
        <v>91.174999999999997</v>
      </c>
      <c r="T17" s="4">
        <f t="shared" si="0"/>
        <v>742</v>
      </c>
      <c r="V17" s="2" t="s">
        <v>1</v>
      </c>
    </row>
    <row r="18" spans="1:22" x14ac:dyDescent="0.2">
      <c r="A18" s="2" t="s">
        <v>1078</v>
      </c>
      <c r="E18" s="4">
        <f t="shared" ref="E18:T18" si="1">STDEV(E6:E11)</f>
        <v>3.5337539057872531</v>
      </c>
      <c r="F18" s="4">
        <f t="shared" si="1"/>
        <v>30.803273635551573</v>
      </c>
      <c r="G18" s="4">
        <f t="shared" si="1"/>
        <v>17.847287375583669</v>
      </c>
      <c r="H18" s="4">
        <f t="shared" si="1"/>
        <v>18.539300598098816</v>
      </c>
      <c r="I18" s="4">
        <f t="shared" si="1"/>
        <v>14.77750542773264</v>
      </c>
      <c r="J18" s="4">
        <f t="shared" si="1"/>
        <v>11.801299363488184</v>
      </c>
      <c r="K18" s="4">
        <f t="shared" si="1"/>
        <v>1.27658398339736</v>
      </c>
      <c r="L18" s="4">
        <f t="shared" si="1"/>
        <v>9.6684538577789105</v>
      </c>
      <c r="M18" s="4">
        <f t="shared" si="1"/>
        <v>3.7505555144093878</v>
      </c>
      <c r="N18" s="4">
        <f t="shared" si="1"/>
        <v>2.6770630673681683</v>
      </c>
      <c r="O18" s="4">
        <f t="shared" si="1"/>
        <v>8.5294782958865483</v>
      </c>
      <c r="P18" s="4">
        <f t="shared" si="1"/>
        <v>3.3316662497915361</v>
      </c>
      <c r="Q18" s="4">
        <f t="shared" si="1"/>
        <v>4.7513156072818425</v>
      </c>
      <c r="R18" s="4">
        <f t="shared" si="1"/>
        <v>4.6701891467762477</v>
      </c>
      <c r="S18" s="4">
        <f t="shared" si="1"/>
        <v>4.7055817918722829</v>
      </c>
      <c r="T18" s="4">
        <f t="shared" si="1"/>
        <v>50.985291996810219</v>
      </c>
      <c r="V18" s="2" t="s">
        <v>1</v>
      </c>
    </row>
    <row r="19" spans="1:22" x14ac:dyDescent="0.2">
      <c r="A19" s="2" t="s">
        <v>365</v>
      </c>
      <c r="E19" s="4">
        <f t="shared" ref="E19:T19" si="2">COUNTA(E6:E11)</f>
        <v>6</v>
      </c>
      <c r="F19" s="4">
        <f t="shared" si="2"/>
        <v>6</v>
      </c>
      <c r="G19" s="4">
        <f t="shared" si="2"/>
        <v>6</v>
      </c>
      <c r="H19" s="4">
        <f t="shared" si="2"/>
        <v>6</v>
      </c>
      <c r="I19" s="4">
        <f t="shared" si="2"/>
        <v>6</v>
      </c>
      <c r="J19" s="4">
        <f t="shared" si="2"/>
        <v>6</v>
      </c>
      <c r="K19" s="4">
        <f t="shared" si="2"/>
        <v>6</v>
      </c>
      <c r="L19" s="4">
        <f t="shared" si="2"/>
        <v>6</v>
      </c>
      <c r="M19" s="4">
        <f t="shared" si="2"/>
        <v>6</v>
      </c>
      <c r="N19" s="4">
        <f t="shared" si="2"/>
        <v>4</v>
      </c>
      <c r="O19" s="4">
        <f t="shared" si="2"/>
        <v>6</v>
      </c>
      <c r="P19" s="4">
        <f t="shared" si="2"/>
        <v>6</v>
      </c>
      <c r="Q19" s="4">
        <f t="shared" si="2"/>
        <v>6</v>
      </c>
      <c r="R19" s="4">
        <f t="shared" si="2"/>
        <v>6</v>
      </c>
      <c r="S19" s="4">
        <f t="shared" si="2"/>
        <v>4</v>
      </c>
      <c r="T19" s="4">
        <f t="shared" si="2"/>
        <v>6</v>
      </c>
      <c r="V19" s="2" t="s">
        <v>1</v>
      </c>
    </row>
    <row r="20" spans="1:22" x14ac:dyDescent="0.2">
      <c r="V20" s="2" t="s">
        <v>1</v>
      </c>
    </row>
    <row r="21" spans="1:22" x14ac:dyDescent="0.2">
      <c r="V21" s="2" t="s">
        <v>1</v>
      </c>
    </row>
    <row r="22" spans="1:22" x14ac:dyDescent="0.2">
      <c r="V22" s="2" t="s">
        <v>1</v>
      </c>
    </row>
    <row r="23" spans="1:22" x14ac:dyDescent="0.2">
      <c r="V23" s="2" t="s">
        <v>1</v>
      </c>
    </row>
    <row r="24" spans="1:22" x14ac:dyDescent="0.2">
      <c r="V24" s="2" t="s">
        <v>1</v>
      </c>
    </row>
    <row r="25" spans="1:22" x14ac:dyDescent="0.2">
      <c r="V25" s="2" t="s">
        <v>1</v>
      </c>
    </row>
    <row r="26" spans="1:22" x14ac:dyDescent="0.2">
      <c r="V26" s="2" t="s">
        <v>1</v>
      </c>
    </row>
    <row r="27" spans="1:22" x14ac:dyDescent="0.2">
      <c r="V27" s="2" t="s">
        <v>1</v>
      </c>
    </row>
    <row r="28" spans="1:22" x14ac:dyDescent="0.2">
      <c r="V28" s="2" t="s">
        <v>1</v>
      </c>
    </row>
    <row r="29" spans="1:22" x14ac:dyDescent="0.2">
      <c r="V29" s="2" t="s">
        <v>1</v>
      </c>
    </row>
    <row r="30" spans="1:22" x14ac:dyDescent="0.2">
      <c r="V30" s="2" t="s">
        <v>1</v>
      </c>
    </row>
    <row r="31" spans="1:22" x14ac:dyDescent="0.2">
      <c r="V31" s="2" t="s">
        <v>1</v>
      </c>
    </row>
    <row r="32" spans="1:22" x14ac:dyDescent="0.2">
      <c r="V32" s="2" t="s">
        <v>1</v>
      </c>
    </row>
    <row r="33" spans="22:22" x14ac:dyDescent="0.2">
      <c r="V33" s="2" t="s">
        <v>1</v>
      </c>
    </row>
    <row r="34" spans="22:22" x14ac:dyDescent="0.2">
      <c r="V34" s="2" t="s">
        <v>1</v>
      </c>
    </row>
    <row r="35" spans="22:22" x14ac:dyDescent="0.2">
      <c r="V35" s="2" t="s">
        <v>1</v>
      </c>
    </row>
    <row r="36" spans="22:22" x14ac:dyDescent="0.2">
      <c r="V36" s="2" t="s">
        <v>1</v>
      </c>
    </row>
    <row r="37" spans="22:22" x14ac:dyDescent="0.2">
      <c r="V37" s="2" t="s">
        <v>1</v>
      </c>
    </row>
    <row r="38" spans="22:22" x14ac:dyDescent="0.2">
      <c r="V38" s="2" t="s">
        <v>1</v>
      </c>
    </row>
    <row r="39" spans="22:22" x14ac:dyDescent="0.2">
      <c r="V39" s="2" t="s">
        <v>1</v>
      </c>
    </row>
    <row r="40" spans="22:22" x14ac:dyDescent="0.2">
      <c r="V40" s="2" t="s">
        <v>1</v>
      </c>
    </row>
    <row r="41" spans="22:22" x14ac:dyDescent="0.2">
      <c r="V41" s="2" t="s">
        <v>1</v>
      </c>
    </row>
    <row r="42" spans="22:22" x14ac:dyDescent="0.2">
      <c r="V42" s="2" t="s">
        <v>1</v>
      </c>
    </row>
    <row r="43" spans="22:22" x14ac:dyDescent="0.2">
      <c r="V43" s="2" t="s">
        <v>1</v>
      </c>
    </row>
    <row r="44" spans="22:22" x14ac:dyDescent="0.2">
      <c r="V44" s="2" t="s">
        <v>1</v>
      </c>
    </row>
    <row r="45" spans="22:22" x14ac:dyDescent="0.2">
      <c r="V45" s="2" t="s">
        <v>1</v>
      </c>
    </row>
    <row r="46" spans="22:22" x14ac:dyDescent="0.2">
      <c r="V46" s="2" t="s">
        <v>1</v>
      </c>
    </row>
    <row r="47" spans="22:22" x14ac:dyDescent="0.2">
      <c r="V47" s="2" t="s">
        <v>1</v>
      </c>
    </row>
    <row r="48" spans="22:22" x14ac:dyDescent="0.2">
      <c r="V48" s="2" t="s">
        <v>1</v>
      </c>
    </row>
  </sheetData>
  <pageMargins left="0.5" right="0.5" top="0.75" bottom="0.75" header="0.5" footer="0.5"/>
  <pageSetup orientation="portrait" horizontalDpi="0" verticalDpi="0" copies="0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8"/>
  <sheetViews>
    <sheetView showOutlineSymbols="0" defaultGridColor="0" colorId="9" workbookViewId="0">
      <selection activeCell="A3" sqref="A3"/>
    </sheetView>
  </sheetViews>
  <sheetFormatPr defaultColWidth="8.6640625" defaultRowHeight="15" x14ac:dyDescent="0.2"/>
  <cols>
    <col min="1" max="16384" width="8.6640625" style="2"/>
  </cols>
  <sheetData>
    <row r="1" spans="1:13" ht="15.75" x14ac:dyDescent="0.25">
      <c r="A1" s="6" t="s">
        <v>1348</v>
      </c>
      <c r="M1" s="2" t="s">
        <v>1</v>
      </c>
    </row>
    <row r="2" spans="1:13" x14ac:dyDescent="0.2">
      <c r="A2" s="2" t="s">
        <v>605</v>
      </c>
      <c r="M2" s="2" t="s">
        <v>1</v>
      </c>
    </row>
    <row r="3" spans="1:13" x14ac:dyDescent="0.2">
      <c r="A3" s="2" t="s">
        <v>1349</v>
      </c>
      <c r="M3" s="2" t="s">
        <v>1</v>
      </c>
    </row>
    <row r="4" spans="1:13" x14ac:dyDescent="0.2">
      <c r="M4" s="2" t="s">
        <v>1</v>
      </c>
    </row>
    <row r="5" spans="1:13" x14ac:dyDescent="0.2">
      <c r="M5" s="2" t="s">
        <v>1</v>
      </c>
    </row>
    <row r="6" spans="1:13" x14ac:dyDescent="0.2">
      <c r="A6" s="2" t="s">
        <v>253</v>
      </c>
      <c r="C6" s="8" t="s">
        <v>123</v>
      </c>
      <c r="D6" s="15" t="s">
        <v>138</v>
      </c>
      <c r="E6" s="15" t="s">
        <v>117</v>
      </c>
      <c r="F6" s="8" t="s">
        <v>136</v>
      </c>
      <c r="G6" s="8" t="s">
        <v>130</v>
      </c>
      <c r="H6" s="8" t="s">
        <v>133</v>
      </c>
      <c r="I6" s="8" t="s">
        <v>127</v>
      </c>
      <c r="J6" s="8" t="s">
        <v>121</v>
      </c>
      <c r="K6" s="8" t="s">
        <v>112</v>
      </c>
      <c r="M6" s="2" t="s">
        <v>1</v>
      </c>
    </row>
    <row r="7" spans="1:13" x14ac:dyDescent="0.2">
      <c r="C7" s="8" t="s">
        <v>266</v>
      </c>
      <c r="D7" s="8" t="s">
        <v>266</v>
      </c>
      <c r="E7" s="8" t="s">
        <v>266</v>
      </c>
      <c r="F7" s="8" t="s">
        <v>144</v>
      </c>
      <c r="G7" s="8" t="s">
        <v>144</v>
      </c>
      <c r="H7" s="8" t="s">
        <v>144</v>
      </c>
      <c r="I7" s="8" t="s">
        <v>144</v>
      </c>
      <c r="J7" s="8" t="s">
        <v>144</v>
      </c>
      <c r="K7" s="8" t="s">
        <v>144</v>
      </c>
      <c r="M7" s="2" t="s">
        <v>1</v>
      </c>
    </row>
    <row r="8" spans="1:13" x14ac:dyDescent="0.2">
      <c r="M8" s="2" t="s">
        <v>1</v>
      </c>
    </row>
    <row r="9" spans="1:13" x14ac:dyDescent="0.2">
      <c r="A9" s="7">
        <v>34925</v>
      </c>
      <c r="B9" s="22">
        <v>0.3125</v>
      </c>
      <c r="C9" s="2">
        <v>2081</v>
      </c>
      <c r="D9" s="2">
        <v>349</v>
      </c>
      <c r="E9" s="4">
        <v>942</v>
      </c>
      <c r="F9" s="2">
        <v>576</v>
      </c>
      <c r="G9" s="2">
        <v>293</v>
      </c>
      <c r="H9" s="2">
        <v>63</v>
      </c>
      <c r="I9" s="2">
        <v>27</v>
      </c>
      <c r="J9" s="2">
        <v>149</v>
      </c>
      <c r="K9" s="2">
        <v>110</v>
      </c>
      <c r="M9" s="2" t="s">
        <v>1</v>
      </c>
    </row>
    <row r="10" spans="1:13" x14ac:dyDescent="0.2">
      <c r="A10" s="7">
        <v>34928</v>
      </c>
      <c r="B10" s="22">
        <v>0.66666666666666663</v>
      </c>
      <c r="C10" s="2">
        <v>2007</v>
      </c>
      <c r="D10" s="2">
        <v>340</v>
      </c>
      <c r="E10" s="4">
        <v>996</v>
      </c>
      <c r="F10" s="2">
        <v>629</v>
      </c>
      <c r="G10" s="2">
        <v>341</v>
      </c>
      <c r="H10" s="2">
        <v>67</v>
      </c>
      <c r="I10" s="2">
        <v>20</v>
      </c>
      <c r="J10" s="2">
        <v>246</v>
      </c>
      <c r="K10" s="2">
        <v>140</v>
      </c>
      <c r="M10" s="2" t="s">
        <v>1</v>
      </c>
    </row>
    <row r="11" spans="1:13" x14ac:dyDescent="0.2">
      <c r="A11" s="7">
        <v>34932</v>
      </c>
      <c r="B11" s="22">
        <v>0.25694444444444442</v>
      </c>
      <c r="C11" s="2">
        <v>3211</v>
      </c>
      <c r="D11" s="2">
        <v>358</v>
      </c>
      <c r="E11" s="4">
        <v>780</v>
      </c>
      <c r="F11" s="2">
        <v>646</v>
      </c>
      <c r="G11" s="2">
        <v>299</v>
      </c>
      <c r="H11" s="2">
        <v>68</v>
      </c>
      <c r="I11" s="2">
        <v>40</v>
      </c>
      <c r="J11" s="2">
        <v>347</v>
      </c>
      <c r="K11" s="2">
        <v>115</v>
      </c>
      <c r="M11" s="2" t="s">
        <v>1</v>
      </c>
    </row>
    <row r="12" spans="1:13" x14ac:dyDescent="0.2">
      <c r="A12" s="7">
        <v>34935</v>
      </c>
      <c r="B12" s="22">
        <v>0.66666666666666663</v>
      </c>
      <c r="C12" s="2">
        <v>2499</v>
      </c>
      <c r="D12" s="2">
        <v>342</v>
      </c>
      <c r="E12" s="4">
        <v>639</v>
      </c>
      <c r="F12" s="2">
        <v>573</v>
      </c>
      <c r="G12" s="2">
        <v>283</v>
      </c>
      <c r="H12" s="2">
        <v>62</v>
      </c>
      <c r="I12" s="2">
        <v>19</v>
      </c>
      <c r="J12" s="2">
        <v>266</v>
      </c>
      <c r="K12" s="2">
        <v>112</v>
      </c>
      <c r="M12" s="2" t="s">
        <v>1</v>
      </c>
    </row>
    <row r="13" spans="1:13" x14ac:dyDescent="0.2">
      <c r="A13" s="7">
        <v>34939</v>
      </c>
      <c r="B13" s="22">
        <v>0.25694444444444442</v>
      </c>
      <c r="C13" s="2">
        <v>1826</v>
      </c>
      <c r="D13" s="2">
        <v>341</v>
      </c>
      <c r="E13" s="4">
        <v>570</v>
      </c>
      <c r="F13" s="2">
        <v>554</v>
      </c>
      <c r="G13" s="2">
        <v>288</v>
      </c>
      <c r="H13" s="2">
        <v>61</v>
      </c>
      <c r="J13" s="2">
        <v>118</v>
      </c>
      <c r="K13" s="2">
        <v>106</v>
      </c>
      <c r="M13" s="2" t="s">
        <v>1</v>
      </c>
    </row>
    <row r="14" spans="1:13" x14ac:dyDescent="0.2">
      <c r="A14" s="7">
        <v>34942</v>
      </c>
      <c r="B14" s="22">
        <v>0.68402777777777779</v>
      </c>
      <c r="C14" s="2">
        <v>1928</v>
      </c>
      <c r="D14" s="2">
        <v>374</v>
      </c>
      <c r="F14" s="2">
        <v>563</v>
      </c>
      <c r="G14" s="2">
        <v>284</v>
      </c>
      <c r="H14" s="2">
        <v>1711</v>
      </c>
      <c r="I14" s="2">
        <v>94</v>
      </c>
      <c r="J14" s="2">
        <v>159</v>
      </c>
      <c r="K14" s="2">
        <v>109</v>
      </c>
      <c r="M14" s="2" t="s">
        <v>1</v>
      </c>
    </row>
    <row r="15" spans="1:13" x14ac:dyDescent="0.2">
      <c r="A15" s="7">
        <v>34946</v>
      </c>
      <c r="B15" s="22">
        <v>0.27083333333333331</v>
      </c>
      <c r="C15" s="2">
        <v>3075</v>
      </c>
      <c r="D15" s="2">
        <v>381</v>
      </c>
      <c r="F15" s="2">
        <v>711</v>
      </c>
      <c r="G15" s="2">
        <v>422</v>
      </c>
      <c r="H15" s="2">
        <v>69</v>
      </c>
      <c r="I15" s="2">
        <v>187</v>
      </c>
      <c r="J15" s="2">
        <v>161</v>
      </c>
      <c r="K15" s="2">
        <v>2124</v>
      </c>
      <c r="M15" s="2" t="s">
        <v>1</v>
      </c>
    </row>
    <row r="16" spans="1:13" x14ac:dyDescent="0.2">
      <c r="A16" s="7">
        <v>34949</v>
      </c>
      <c r="B16" s="22">
        <v>0.68402777777777779</v>
      </c>
      <c r="C16" s="2">
        <v>1956</v>
      </c>
      <c r="D16" s="2">
        <v>343</v>
      </c>
      <c r="F16" s="2">
        <v>583</v>
      </c>
      <c r="G16" s="2">
        <v>312</v>
      </c>
      <c r="H16" s="2">
        <v>72</v>
      </c>
      <c r="J16" s="2">
        <v>158</v>
      </c>
      <c r="K16" s="2">
        <v>116</v>
      </c>
      <c r="M16" s="2" t="s">
        <v>1</v>
      </c>
    </row>
    <row r="17" spans="1:13" x14ac:dyDescent="0.2">
      <c r="A17" s="7">
        <v>34953</v>
      </c>
      <c r="B17" s="22">
        <v>0.27569444444444446</v>
      </c>
      <c r="C17" s="2">
        <v>2823</v>
      </c>
      <c r="D17" s="2">
        <v>361</v>
      </c>
      <c r="F17" s="2">
        <v>585</v>
      </c>
      <c r="G17" s="2">
        <v>291</v>
      </c>
      <c r="H17" s="2">
        <v>82</v>
      </c>
      <c r="I17" s="2">
        <v>25</v>
      </c>
      <c r="J17" s="2">
        <v>133</v>
      </c>
      <c r="K17" s="2">
        <v>110</v>
      </c>
      <c r="M17" s="2" t="s">
        <v>1</v>
      </c>
    </row>
    <row r="18" spans="1:13" x14ac:dyDescent="0.2">
      <c r="A18" s="7">
        <v>34956</v>
      </c>
      <c r="B18" s="22">
        <v>0.68402777777777779</v>
      </c>
      <c r="C18" s="2">
        <v>2094</v>
      </c>
      <c r="D18" s="2">
        <v>350</v>
      </c>
      <c r="F18" s="2">
        <v>579</v>
      </c>
      <c r="G18" s="2">
        <v>296</v>
      </c>
      <c r="H18" s="2">
        <v>72</v>
      </c>
      <c r="I18" s="2">
        <v>59</v>
      </c>
      <c r="J18" s="2">
        <v>126</v>
      </c>
      <c r="K18" s="2">
        <v>111</v>
      </c>
      <c r="M18" s="2" t="s">
        <v>1</v>
      </c>
    </row>
    <row r="19" spans="1:13" x14ac:dyDescent="0.2">
      <c r="A19" s="7">
        <v>34960</v>
      </c>
      <c r="B19" s="22">
        <v>0.26874999999999999</v>
      </c>
      <c r="C19" s="2">
        <v>2008</v>
      </c>
      <c r="D19" s="2">
        <v>354</v>
      </c>
      <c r="F19" s="2">
        <v>571</v>
      </c>
      <c r="G19" s="2">
        <v>294</v>
      </c>
      <c r="H19" s="2">
        <v>64</v>
      </c>
      <c r="I19" s="2">
        <v>33</v>
      </c>
      <c r="J19" s="2">
        <v>123</v>
      </c>
      <c r="K19" s="2">
        <v>111</v>
      </c>
      <c r="M19" s="2" t="s">
        <v>1</v>
      </c>
    </row>
    <row r="20" spans="1:13" x14ac:dyDescent="0.2">
      <c r="A20" s="7">
        <v>34963</v>
      </c>
      <c r="B20" s="22">
        <v>0.68402777777777779</v>
      </c>
      <c r="C20" s="2">
        <v>1934</v>
      </c>
      <c r="D20" s="2">
        <v>348</v>
      </c>
      <c r="F20" s="2">
        <v>592</v>
      </c>
      <c r="G20" s="2">
        <v>300</v>
      </c>
      <c r="H20" s="2">
        <v>69</v>
      </c>
      <c r="I20" s="2">
        <v>114</v>
      </c>
      <c r="J20" s="2">
        <v>131</v>
      </c>
      <c r="K20" s="2">
        <v>112</v>
      </c>
      <c r="M20" s="2" t="s">
        <v>1</v>
      </c>
    </row>
    <row r="21" spans="1:13" x14ac:dyDescent="0.2">
      <c r="A21" s="7">
        <v>34967</v>
      </c>
      <c r="B21" s="22">
        <v>0.27430555555555558</v>
      </c>
      <c r="C21" s="2">
        <v>2282</v>
      </c>
      <c r="D21" s="2">
        <v>401</v>
      </c>
      <c r="F21" s="2">
        <v>618</v>
      </c>
      <c r="G21" s="2">
        <v>313</v>
      </c>
      <c r="H21" s="2">
        <v>82</v>
      </c>
      <c r="I21" s="2">
        <v>60</v>
      </c>
      <c r="J21" s="2">
        <v>347</v>
      </c>
      <c r="K21" s="2">
        <v>117</v>
      </c>
      <c r="M21" s="2" t="s">
        <v>1</v>
      </c>
    </row>
    <row r="22" spans="1:13" x14ac:dyDescent="0.2">
      <c r="A22" s="7">
        <v>34970</v>
      </c>
      <c r="B22" s="22">
        <v>0.68402777777777779</v>
      </c>
      <c r="C22" s="2">
        <v>1993</v>
      </c>
      <c r="D22" s="2">
        <v>353</v>
      </c>
      <c r="F22" s="2">
        <v>602</v>
      </c>
      <c r="G22" s="2">
        <v>305</v>
      </c>
      <c r="H22" s="2">
        <v>69</v>
      </c>
      <c r="J22" s="2">
        <v>227</v>
      </c>
      <c r="K22" s="2">
        <v>113</v>
      </c>
      <c r="M22" s="2" t="s">
        <v>1</v>
      </c>
    </row>
    <row r="23" spans="1:13" x14ac:dyDescent="0.2">
      <c r="A23" s="7">
        <v>34974</v>
      </c>
      <c r="B23" s="22">
        <v>0.27430555555555558</v>
      </c>
      <c r="C23" s="2">
        <v>1849</v>
      </c>
      <c r="D23" s="2">
        <v>345</v>
      </c>
      <c r="F23" s="2">
        <v>567</v>
      </c>
      <c r="G23" s="2">
        <v>297</v>
      </c>
      <c r="H23" s="2">
        <v>70</v>
      </c>
      <c r="I23" s="2">
        <v>30</v>
      </c>
      <c r="J23" s="2">
        <v>158</v>
      </c>
      <c r="K23" s="2">
        <v>108</v>
      </c>
      <c r="M23" s="2" t="s">
        <v>1</v>
      </c>
    </row>
    <row r="24" spans="1:13" x14ac:dyDescent="0.2">
      <c r="A24" s="7">
        <v>34977</v>
      </c>
      <c r="B24" s="22">
        <v>0.68402777777777779</v>
      </c>
      <c r="C24" s="2">
        <v>2015</v>
      </c>
      <c r="D24" s="2">
        <v>352</v>
      </c>
      <c r="F24" s="2">
        <v>579</v>
      </c>
      <c r="G24" s="2">
        <v>294</v>
      </c>
      <c r="H24" s="2">
        <v>64</v>
      </c>
      <c r="I24" s="2">
        <v>24</v>
      </c>
      <c r="J24" s="2">
        <v>133</v>
      </c>
      <c r="K24" s="2">
        <v>111</v>
      </c>
      <c r="M24" s="2" t="s">
        <v>1</v>
      </c>
    </row>
    <row r="25" spans="1:13" x14ac:dyDescent="0.2">
      <c r="A25" s="7">
        <v>34981</v>
      </c>
      <c r="B25" s="22">
        <v>0.27083333333333331</v>
      </c>
      <c r="C25" s="2">
        <v>2209</v>
      </c>
      <c r="D25" s="2">
        <v>349</v>
      </c>
      <c r="F25" s="2">
        <v>568</v>
      </c>
      <c r="G25" s="2">
        <v>292</v>
      </c>
      <c r="H25" s="2">
        <v>63</v>
      </c>
      <c r="I25" s="2">
        <v>27</v>
      </c>
      <c r="J25" s="2">
        <v>122</v>
      </c>
      <c r="K25" s="2">
        <v>111</v>
      </c>
      <c r="M25" s="2" t="s">
        <v>1</v>
      </c>
    </row>
    <row r="26" spans="1:13" x14ac:dyDescent="0.2">
      <c r="A26" s="7">
        <v>34984</v>
      </c>
      <c r="B26" s="22">
        <v>0.67708333333333337</v>
      </c>
      <c r="C26" s="2">
        <v>2130</v>
      </c>
      <c r="D26" s="2">
        <v>354</v>
      </c>
      <c r="F26" s="2">
        <v>646</v>
      </c>
      <c r="G26" s="2">
        <v>337</v>
      </c>
      <c r="H26" s="2">
        <v>71</v>
      </c>
      <c r="I26" s="2">
        <v>56</v>
      </c>
      <c r="J26" s="2">
        <v>348</v>
      </c>
      <c r="K26" s="2">
        <v>215</v>
      </c>
      <c r="M26" s="2" t="s">
        <v>1</v>
      </c>
    </row>
    <row r="27" spans="1:13" x14ac:dyDescent="0.2">
      <c r="A27" s="7">
        <v>34988</v>
      </c>
      <c r="B27" s="22">
        <v>0.27430555555555558</v>
      </c>
      <c r="C27" s="2">
        <v>2420</v>
      </c>
      <c r="D27" s="2">
        <v>351</v>
      </c>
      <c r="F27" s="2">
        <v>620</v>
      </c>
      <c r="G27" s="2">
        <v>302</v>
      </c>
      <c r="H27" s="2">
        <v>63</v>
      </c>
      <c r="I27" s="2">
        <v>33</v>
      </c>
      <c r="J27" s="2">
        <v>143</v>
      </c>
      <c r="K27" s="2">
        <v>107</v>
      </c>
      <c r="M27" s="2" t="s">
        <v>1</v>
      </c>
    </row>
    <row r="28" spans="1:13" x14ac:dyDescent="0.2">
      <c r="A28" s="7">
        <v>34991</v>
      </c>
      <c r="B28" s="22">
        <v>0.66666666666666663</v>
      </c>
      <c r="C28" s="2">
        <v>2576</v>
      </c>
      <c r="D28" s="2">
        <v>349</v>
      </c>
      <c r="F28" s="2">
        <v>883</v>
      </c>
      <c r="G28" s="2">
        <v>546</v>
      </c>
      <c r="H28" s="2">
        <v>116</v>
      </c>
      <c r="I28" s="2">
        <v>148</v>
      </c>
      <c r="J28" s="2">
        <v>548</v>
      </c>
      <c r="K28" s="2">
        <v>278</v>
      </c>
      <c r="M28" s="2" t="s">
        <v>1</v>
      </c>
    </row>
    <row r="29" spans="1:13" x14ac:dyDescent="0.2">
      <c r="A29" s="7">
        <v>34995</v>
      </c>
      <c r="B29" s="22">
        <v>0.27777777777777779</v>
      </c>
      <c r="C29" s="2">
        <v>2693</v>
      </c>
      <c r="D29" s="2">
        <v>364</v>
      </c>
      <c r="F29" s="2">
        <v>670</v>
      </c>
      <c r="G29" s="2">
        <v>327</v>
      </c>
      <c r="H29" s="2">
        <v>82</v>
      </c>
      <c r="I29" s="2">
        <v>100</v>
      </c>
      <c r="J29" s="2">
        <v>351</v>
      </c>
      <c r="K29" s="2">
        <v>137</v>
      </c>
      <c r="M29" s="2" t="s">
        <v>1</v>
      </c>
    </row>
    <row r="30" spans="1:13" x14ac:dyDescent="0.2">
      <c r="A30" s="7">
        <v>34998</v>
      </c>
      <c r="B30" s="22">
        <v>0.68055555555555558</v>
      </c>
      <c r="C30" s="2">
        <v>1934</v>
      </c>
      <c r="D30" s="2">
        <v>345</v>
      </c>
      <c r="M30" s="2" t="s">
        <v>1</v>
      </c>
    </row>
    <row r="31" spans="1:13" x14ac:dyDescent="0.2">
      <c r="A31" s="7">
        <v>35000</v>
      </c>
      <c r="B31" s="22">
        <v>0.67361111111111116</v>
      </c>
      <c r="C31" s="2">
        <v>2113</v>
      </c>
      <c r="D31" s="2">
        <v>348</v>
      </c>
      <c r="M31" s="2" t="s">
        <v>1</v>
      </c>
    </row>
    <row r="32" spans="1:13" x14ac:dyDescent="0.2">
      <c r="A32" s="7">
        <v>35002</v>
      </c>
      <c r="B32" s="22">
        <v>0.27083333333333331</v>
      </c>
      <c r="C32" s="2">
        <v>3099</v>
      </c>
      <c r="D32" s="2">
        <v>360</v>
      </c>
      <c r="M32" s="2" t="s">
        <v>1</v>
      </c>
    </row>
    <row r="33" spans="1:13" x14ac:dyDescent="0.2">
      <c r="A33" s="7">
        <v>35005</v>
      </c>
      <c r="B33" s="22">
        <v>0.66666666666666663</v>
      </c>
      <c r="C33" s="2">
        <v>1942</v>
      </c>
      <c r="D33" s="2">
        <v>345</v>
      </c>
      <c r="M33" s="2" t="s">
        <v>1</v>
      </c>
    </row>
    <row r="34" spans="1:13" x14ac:dyDescent="0.2">
      <c r="A34" s="7">
        <v>35007</v>
      </c>
      <c r="B34" s="22">
        <v>0.27777777777777779</v>
      </c>
      <c r="C34" s="2">
        <v>1916</v>
      </c>
      <c r="D34" s="2">
        <v>353</v>
      </c>
      <c r="M34" s="2" t="s">
        <v>1</v>
      </c>
    </row>
    <row r="35" spans="1:13" x14ac:dyDescent="0.2">
      <c r="A35" s="7">
        <v>35009</v>
      </c>
      <c r="B35" s="22">
        <v>0.27777777777777779</v>
      </c>
      <c r="C35" s="2">
        <v>2024</v>
      </c>
      <c r="D35" s="2">
        <v>350</v>
      </c>
      <c r="M35" s="2" t="s">
        <v>1</v>
      </c>
    </row>
    <row r="36" spans="1:13" x14ac:dyDescent="0.2">
      <c r="A36" s="7">
        <v>35012</v>
      </c>
      <c r="B36" s="22">
        <v>0.66666666666666663</v>
      </c>
      <c r="C36" s="2">
        <v>1988</v>
      </c>
      <c r="D36" s="2">
        <v>343</v>
      </c>
      <c r="M36" s="2" t="s">
        <v>1</v>
      </c>
    </row>
    <row r="37" spans="1:13" x14ac:dyDescent="0.2">
      <c r="A37" s="7">
        <v>35014</v>
      </c>
      <c r="B37" s="22">
        <v>0.66666666666666663</v>
      </c>
      <c r="C37" s="2">
        <v>1941</v>
      </c>
      <c r="D37" s="2">
        <v>340</v>
      </c>
      <c r="M37" s="2" t="s">
        <v>1</v>
      </c>
    </row>
    <row r="38" spans="1:13" x14ac:dyDescent="0.2">
      <c r="A38" s="7">
        <v>35016</v>
      </c>
      <c r="B38" s="22">
        <v>0.27083333333333331</v>
      </c>
      <c r="C38" s="2">
        <v>2406</v>
      </c>
      <c r="D38" s="2">
        <v>356</v>
      </c>
      <c r="M38" s="2" t="s">
        <v>1</v>
      </c>
    </row>
    <row r="39" spans="1:13" x14ac:dyDescent="0.2">
      <c r="M39" s="2" t="s">
        <v>1</v>
      </c>
    </row>
    <row r="40" spans="1:13" x14ac:dyDescent="0.2">
      <c r="M40" s="2" t="s">
        <v>1</v>
      </c>
    </row>
    <row r="41" spans="1:13" x14ac:dyDescent="0.2">
      <c r="C41" s="8" t="s">
        <v>123</v>
      </c>
      <c r="D41" s="15" t="s">
        <v>138</v>
      </c>
      <c r="E41" s="15" t="s">
        <v>117</v>
      </c>
      <c r="F41" s="8" t="s">
        <v>136</v>
      </c>
      <c r="G41" s="8" t="s">
        <v>130</v>
      </c>
      <c r="H41" s="8" t="s">
        <v>133</v>
      </c>
      <c r="I41" s="8" t="s">
        <v>127</v>
      </c>
      <c r="J41" s="8" t="s">
        <v>121</v>
      </c>
      <c r="K41" s="8" t="s">
        <v>112</v>
      </c>
      <c r="M41" s="2" t="s">
        <v>1</v>
      </c>
    </row>
    <row r="42" spans="1:13" x14ac:dyDescent="0.2">
      <c r="C42" s="8" t="s">
        <v>266</v>
      </c>
      <c r="D42" s="8" t="s">
        <v>266</v>
      </c>
      <c r="E42" s="8" t="s">
        <v>266</v>
      </c>
      <c r="F42" s="8" t="s">
        <v>144</v>
      </c>
      <c r="G42" s="8" t="s">
        <v>144</v>
      </c>
      <c r="H42" s="8" t="s">
        <v>144</v>
      </c>
      <c r="I42" s="8" t="s">
        <v>144</v>
      </c>
      <c r="J42" s="8" t="s">
        <v>144</v>
      </c>
      <c r="K42" s="8" t="s">
        <v>144</v>
      </c>
      <c r="M42" s="2" t="s">
        <v>1</v>
      </c>
    </row>
    <row r="43" spans="1:13" x14ac:dyDescent="0.2">
      <c r="M43" s="2" t="s">
        <v>1</v>
      </c>
    </row>
    <row r="44" spans="1:13" x14ac:dyDescent="0.2">
      <c r="A44" s="7">
        <f>AVERAGE(A9:A38)</f>
        <v>34973.933333333334</v>
      </c>
      <c r="C44" s="4">
        <f t="shared" ref="C44:K44" si="0">AVERAGE(C9:C38)</f>
        <v>2232.4</v>
      </c>
      <c r="D44" s="4">
        <f t="shared" si="0"/>
        <v>353.3</v>
      </c>
      <c r="E44" s="4">
        <f t="shared" si="0"/>
        <v>785.4</v>
      </c>
      <c r="F44" s="4">
        <f t="shared" si="0"/>
        <v>615</v>
      </c>
      <c r="G44" s="4">
        <f t="shared" si="0"/>
        <v>319.8095238095238</v>
      </c>
      <c r="H44" s="4">
        <f t="shared" si="0"/>
        <v>149.52380952380952</v>
      </c>
      <c r="I44" s="4">
        <f t="shared" si="0"/>
        <v>60.888888888888886</v>
      </c>
      <c r="J44" s="4">
        <f t="shared" si="0"/>
        <v>214</v>
      </c>
      <c r="K44" s="4">
        <f t="shared" si="0"/>
        <v>222.52380952380952</v>
      </c>
      <c r="M44" s="2" t="s">
        <v>1</v>
      </c>
    </row>
    <row r="45" spans="1:13" x14ac:dyDescent="0.2">
      <c r="C45" s="4">
        <f t="shared" ref="C45:K45" si="1">STDEV(C9:C38)</f>
        <v>395.72862523146563</v>
      </c>
      <c r="D45" s="4">
        <f t="shared" si="1"/>
        <v>13.014978108795027</v>
      </c>
      <c r="E45" s="4">
        <f t="shared" si="1"/>
        <v>184.88861511731881</v>
      </c>
      <c r="F45" s="4">
        <f t="shared" si="1"/>
        <v>73.345074817604484</v>
      </c>
      <c r="G45" s="4">
        <f t="shared" si="1"/>
        <v>60.108750650482612</v>
      </c>
      <c r="H45" s="4">
        <f t="shared" si="1"/>
        <v>357.98137089066785</v>
      </c>
      <c r="I45" s="4">
        <f t="shared" si="1"/>
        <v>48.680094843651737</v>
      </c>
      <c r="J45" s="4">
        <f t="shared" si="1"/>
        <v>114.59581144178001</v>
      </c>
      <c r="K45" s="4">
        <f t="shared" si="1"/>
        <v>437.68374644800542</v>
      </c>
      <c r="M45" s="2" t="s">
        <v>1</v>
      </c>
    </row>
    <row r="46" spans="1:13" x14ac:dyDescent="0.2">
      <c r="C46" s="4">
        <f t="shared" ref="C46:K46" si="2">COUNTA(C9:C38)</f>
        <v>30</v>
      </c>
      <c r="D46" s="4">
        <f t="shared" si="2"/>
        <v>30</v>
      </c>
      <c r="E46" s="4">
        <f t="shared" si="2"/>
        <v>5</v>
      </c>
      <c r="F46" s="4">
        <f t="shared" si="2"/>
        <v>21</v>
      </c>
      <c r="G46" s="4">
        <f t="shared" si="2"/>
        <v>21</v>
      </c>
      <c r="H46" s="4">
        <f t="shared" si="2"/>
        <v>21</v>
      </c>
      <c r="I46" s="4">
        <f t="shared" si="2"/>
        <v>18</v>
      </c>
      <c r="J46" s="4">
        <f t="shared" si="2"/>
        <v>21</v>
      </c>
      <c r="K46" s="4">
        <f t="shared" si="2"/>
        <v>21</v>
      </c>
      <c r="M46" s="2" t="s">
        <v>1</v>
      </c>
    </row>
    <row r="47" spans="1:13" x14ac:dyDescent="0.2">
      <c r="M47" s="2" t="s">
        <v>1</v>
      </c>
    </row>
    <row r="48" spans="1:13" x14ac:dyDescent="0.2">
      <c r="M48" s="2" t="s">
        <v>1</v>
      </c>
    </row>
  </sheetData>
  <pageMargins left="0.5" right="0.5" top="0.75" bottom="0.75" header="0.5" footer="0.5"/>
  <pageSetup orientation="portrait" horizontalDpi="0" verticalDpi="0" copies="0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5"/>
  <sheetViews>
    <sheetView showOutlineSymbols="0" defaultGridColor="0" colorId="9" workbookViewId="0"/>
  </sheetViews>
  <sheetFormatPr defaultColWidth="8.6640625" defaultRowHeight="15" x14ac:dyDescent="0.2"/>
  <cols>
    <col min="1" max="16384" width="8.6640625" style="2"/>
  </cols>
  <sheetData>
    <row r="1" spans="1:12" ht="15.75" x14ac:dyDescent="0.25">
      <c r="A1" s="6" t="s">
        <v>1350</v>
      </c>
      <c r="L1" s="2" t="s">
        <v>1</v>
      </c>
    </row>
    <row r="2" spans="1:12" x14ac:dyDescent="0.2">
      <c r="F2" s="8" t="s">
        <v>265</v>
      </c>
      <c r="L2" s="2" t="s">
        <v>1</v>
      </c>
    </row>
    <row r="3" spans="1:12" x14ac:dyDescent="0.2">
      <c r="A3" s="15" t="s">
        <v>253</v>
      </c>
      <c r="B3" s="15" t="s">
        <v>203</v>
      </c>
      <c r="C3" s="8" t="s">
        <v>138</v>
      </c>
      <c r="D3" s="8" t="s">
        <v>136</v>
      </c>
      <c r="E3" s="8" t="s">
        <v>130</v>
      </c>
      <c r="F3" s="8" t="s">
        <v>263</v>
      </c>
      <c r="G3" s="8" t="s">
        <v>133</v>
      </c>
      <c r="H3" s="8" t="s">
        <v>121</v>
      </c>
      <c r="I3" s="8" t="s">
        <v>112</v>
      </c>
      <c r="J3" s="8" t="s">
        <v>142</v>
      </c>
      <c r="L3" s="2" t="s">
        <v>1</v>
      </c>
    </row>
    <row r="4" spans="1:12" x14ac:dyDescent="0.2">
      <c r="C4" s="8" t="s">
        <v>266</v>
      </c>
      <c r="D4" s="8" t="s">
        <v>144</v>
      </c>
      <c r="E4" s="8" t="s">
        <v>144</v>
      </c>
      <c r="F4" s="8" t="s">
        <v>144</v>
      </c>
      <c r="G4" s="8" t="s">
        <v>144</v>
      </c>
      <c r="H4" s="8" t="s">
        <v>144</v>
      </c>
      <c r="I4" s="8" t="s">
        <v>144</v>
      </c>
      <c r="J4" s="8" t="s">
        <v>144</v>
      </c>
      <c r="L4" s="2" t="s">
        <v>1</v>
      </c>
    </row>
    <row r="5" spans="1:12" x14ac:dyDescent="0.2">
      <c r="A5" s="19"/>
      <c r="L5" s="2" t="s">
        <v>1</v>
      </c>
    </row>
    <row r="6" spans="1:12" x14ac:dyDescent="0.2">
      <c r="A6" s="7">
        <v>30127</v>
      </c>
      <c r="B6" s="2" t="s">
        <v>1351</v>
      </c>
      <c r="C6" s="4">
        <v>332.7</v>
      </c>
      <c r="D6" s="4">
        <v>338.2</v>
      </c>
      <c r="E6" s="4">
        <v>196.3</v>
      </c>
      <c r="F6" s="4">
        <v>0.09</v>
      </c>
      <c r="G6" s="4">
        <v>23.14</v>
      </c>
      <c r="H6" s="4">
        <v>20.260000000000002</v>
      </c>
      <c r="I6" s="4">
        <v>148.30000000000001</v>
      </c>
      <c r="J6" s="4">
        <v>152.19999999999999</v>
      </c>
      <c r="L6" s="2" t="s">
        <v>1</v>
      </c>
    </row>
    <row r="7" spans="1:12" x14ac:dyDescent="0.2">
      <c r="A7" s="7">
        <v>30127</v>
      </c>
      <c r="B7" s="2" t="s">
        <v>1352</v>
      </c>
      <c r="C7" s="4">
        <v>328.9</v>
      </c>
      <c r="D7" s="4">
        <v>342.5</v>
      </c>
      <c r="E7" s="4">
        <v>198.3</v>
      </c>
      <c r="F7" s="4">
        <v>0.46</v>
      </c>
      <c r="G7" s="4">
        <v>24.04</v>
      </c>
      <c r="H7" s="4">
        <v>28.97</v>
      </c>
      <c r="I7" s="4">
        <v>148.6</v>
      </c>
      <c r="J7" s="4">
        <v>150.9</v>
      </c>
      <c r="L7" s="2" t="s">
        <v>1</v>
      </c>
    </row>
    <row r="8" spans="1:12" x14ac:dyDescent="0.2">
      <c r="A8" s="7">
        <v>30126</v>
      </c>
      <c r="B8" s="2" t="s">
        <v>187</v>
      </c>
      <c r="C8" s="4">
        <v>334.5</v>
      </c>
      <c r="D8" s="4">
        <v>339.6</v>
      </c>
      <c r="E8" s="4">
        <v>190.7</v>
      </c>
      <c r="F8" s="4">
        <v>0.25</v>
      </c>
      <c r="G8" s="4">
        <v>20.78</v>
      </c>
      <c r="H8" s="4">
        <v>15.65</v>
      </c>
      <c r="I8" s="4">
        <v>134.1</v>
      </c>
      <c r="J8" s="4">
        <v>149.4</v>
      </c>
      <c r="L8" s="2" t="s">
        <v>1</v>
      </c>
    </row>
    <row r="9" spans="1:12" x14ac:dyDescent="0.2">
      <c r="A9" s="7">
        <v>30126</v>
      </c>
      <c r="B9" s="2" t="s">
        <v>187</v>
      </c>
      <c r="C9" s="4">
        <v>331.1</v>
      </c>
      <c r="D9" s="4">
        <v>337.1</v>
      </c>
      <c r="E9" s="4">
        <v>188.1</v>
      </c>
      <c r="F9" s="4">
        <v>0.19</v>
      </c>
      <c r="G9" s="4">
        <v>20.72</v>
      </c>
      <c r="H9" s="4">
        <v>21.65</v>
      </c>
      <c r="I9" s="4">
        <v>139.4</v>
      </c>
      <c r="J9" s="4">
        <v>150.1</v>
      </c>
      <c r="L9" s="2" t="s">
        <v>1</v>
      </c>
    </row>
    <row r="10" spans="1:12" x14ac:dyDescent="0.2">
      <c r="A10" s="7">
        <v>30127</v>
      </c>
      <c r="B10" s="2" t="s">
        <v>1353</v>
      </c>
      <c r="C10" s="4">
        <v>337.4</v>
      </c>
      <c r="D10" s="4">
        <v>345.1</v>
      </c>
      <c r="E10" s="4">
        <v>198.4</v>
      </c>
      <c r="F10" s="4">
        <v>1.73</v>
      </c>
      <c r="G10" s="4">
        <v>26.02</v>
      </c>
      <c r="H10" s="4">
        <v>34.24</v>
      </c>
      <c r="I10" s="4">
        <v>155.30000000000001</v>
      </c>
      <c r="J10" s="4">
        <v>151.1</v>
      </c>
      <c r="L10" s="2" t="s">
        <v>1</v>
      </c>
    </row>
    <row r="11" spans="1:12" x14ac:dyDescent="0.2">
      <c r="A11" s="7">
        <v>30126</v>
      </c>
      <c r="B11" s="2" t="s">
        <v>1354</v>
      </c>
      <c r="C11" s="4">
        <v>330</v>
      </c>
      <c r="D11" s="4">
        <v>348.4</v>
      </c>
      <c r="E11" s="4">
        <v>194.3</v>
      </c>
      <c r="F11" s="4">
        <v>2.4700000000000002</v>
      </c>
      <c r="G11" s="4">
        <v>26.93</v>
      </c>
      <c r="H11" s="4">
        <v>29.91</v>
      </c>
      <c r="I11" s="4">
        <v>152.69999999999999</v>
      </c>
      <c r="J11" s="4">
        <v>152.80000000000001</v>
      </c>
      <c r="L11" s="2" t="s">
        <v>1</v>
      </c>
    </row>
    <row r="12" spans="1:12" x14ac:dyDescent="0.2">
      <c r="A12" s="7">
        <v>30126</v>
      </c>
      <c r="C12" s="4">
        <v>332.6</v>
      </c>
      <c r="D12" s="4">
        <v>347.3</v>
      </c>
      <c r="E12" s="4">
        <v>196.4</v>
      </c>
      <c r="F12" s="4">
        <v>1.42</v>
      </c>
      <c r="G12" s="4">
        <v>24.44</v>
      </c>
      <c r="H12" s="4">
        <v>26.98</v>
      </c>
      <c r="I12" s="4">
        <v>158.80000000000001</v>
      </c>
      <c r="J12" s="4">
        <v>148.19999999999999</v>
      </c>
      <c r="L12" s="2" t="s">
        <v>1</v>
      </c>
    </row>
    <row r="13" spans="1:12" x14ac:dyDescent="0.2">
      <c r="A13" s="7">
        <v>30126</v>
      </c>
      <c r="C13" s="4">
        <v>333.9</v>
      </c>
      <c r="D13" s="4">
        <v>345.3</v>
      </c>
      <c r="E13" s="4">
        <v>197.3</v>
      </c>
      <c r="F13" s="4">
        <v>5.26</v>
      </c>
      <c r="G13" s="4">
        <v>26.16</v>
      </c>
      <c r="H13" s="4">
        <v>48.39</v>
      </c>
      <c r="I13" s="4">
        <v>151.80000000000001</v>
      </c>
      <c r="J13" s="4">
        <v>143.5</v>
      </c>
      <c r="L13" s="2" t="s">
        <v>1</v>
      </c>
    </row>
    <row r="14" spans="1:12" x14ac:dyDescent="0.2">
      <c r="A14" s="7">
        <v>30127</v>
      </c>
      <c r="B14" s="2" t="s">
        <v>1355</v>
      </c>
      <c r="C14" s="4">
        <v>334.7</v>
      </c>
      <c r="D14" s="4">
        <v>346.1</v>
      </c>
      <c r="E14" s="4">
        <v>197.3</v>
      </c>
      <c r="F14" s="4">
        <v>0.49</v>
      </c>
      <c r="G14" s="4">
        <v>24.01</v>
      </c>
      <c r="H14" s="4">
        <v>27.1</v>
      </c>
      <c r="I14" s="4">
        <v>147.9</v>
      </c>
      <c r="J14" s="4">
        <v>148.1</v>
      </c>
      <c r="L14" s="2" t="s">
        <v>1</v>
      </c>
    </row>
    <row r="15" spans="1:12" x14ac:dyDescent="0.2">
      <c r="A15" s="7">
        <v>30127</v>
      </c>
      <c r="B15" s="2" t="s">
        <v>1356</v>
      </c>
      <c r="C15" s="4">
        <v>338.9</v>
      </c>
      <c r="D15" s="4">
        <v>341.1</v>
      </c>
      <c r="E15" s="4">
        <v>195.9</v>
      </c>
      <c r="F15" s="4">
        <v>0.2</v>
      </c>
      <c r="G15" s="4">
        <v>21.43</v>
      </c>
      <c r="H15" s="4">
        <v>18.77</v>
      </c>
      <c r="I15" s="4">
        <v>132.30000000000001</v>
      </c>
      <c r="J15" s="4">
        <v>143.5</v>
      </c>
      <c r="L15" s="2" t="s">
        <v>1</v>
      </c>
    </row>
    <row r="16" spans="1:12" x14ac:dyDescent="0.2">
      <c r="A16" s="7">
        <v>30128</v>
      </c>
      <c r="B16" s="2" t="s">
        <v>1357</v>
      </c>
      <c r="C16" s="4">
        <v>335</v>
      </c>
      <c r="D16" s="4">
        <v>340.3</v>
      </c>
      <c r="E16" s="4">
        <v>196.8</v>
      </c>
      <c r="F16" s="4"/>
      <c r="G16" s="4">
        <v>22.11</v>
      </c>
      <c r="H16" s="4">
        <v>17.559999999999999</v>
      </c>
      <c r="I16" s="4">
        <v>135.9</v>
      </c>
      <c r="J16" s="4">
        <v>153.6</v>
      </c>
      <c r="L16" s="2" t="s">
        <v>1</v>
      </c>
    </row>
    <row r="17" spans="1:12" x14ac:dyDescent="0.2">
      <c r="A17" s="7">
        <v>30128</v>
      </c>
      <c r="B17" s="2" t="s">
        <v>1358</v>
      </c>
      <c r="C17" s="4">
        <v>341.8</v>
      </c>
      <c r="D17" s="4">
        <v>337.7</v>
      </c>
      <c r="E17" s="4">
        <v>200.7</v>
      </c>
      <c r="F17" s="4">
        <v>0.83</v>
      </c>
      <c r="G17" s="4">
        <v>24.42</v>
      </c>
      <c r="H17" s="4">
        <v>18.579999999999998</v>
      </c>
      <c r="I17" s="4">
        <v>159.80000000000001</v>
      </c>
      <c r="J17" s="4">
        <v>163</v>
      </c>
      <c r="L17" s="2" t="s">
        <v>1</v>
      </c>
    </row>
    <row r="18" spans="1:12" x14ac:dyDescent="0.2">
      <c r="A18" s="7">
        <v>30128</v>
      </c>
      <c r="B18" s="2" t="s">
        <v>1359</v>
      </c>
      <c r="C18" s="4">
        <v>335.5</v>
      </c>
      <c r="D18" s="4">
        <v>347.3</v>
      </c>
      <c r="E18" s="4">
        <v>193</v>
      </c>
      <c r="F18" s="4">
        <v>0.74</v>
      </c>
      <c r="G18" s="4">
        <v>23.74</v>
      </c>
      <c r="H18" s="4">
        <v>20.64</v>
      </c>
      <c r="I18" s="4">
        <v>148.1</v>
      </c>
      <c r="J18" s="4">
        <v>153.5</v>
      </c>
      <c r="L18" s="2" t="s">
        <v>1</v>
      </c>
    </row>
    <row r="19" spans="1:12" x14ac:dyDescent="0.2">
      <c r="A19" s="7">
        <v>30128</v>
      </c>
      <c r="B19" s="2" t="s">
        <v>1360</v>
      </c>
      <c r="C19" s="4">
        <v>339.1</v>
      </c>
      <c r="D19" s="4">
        <v>348.8</v>
      </c>
      <c r="E19" s="4">
        <v>193.1</v>
      </c>
      <c r="F19" s="4">
        <v>1.6</v>
      </c>
      <c r="G19" s="4">
        <v>24.47</v>
      </c>
      <c r="H19" s="4">
        <v>22.36</v>
      </c>
      <c r="I19" s="4">
        <v>157.19999999999999</v>
      </c>
      <c r="J19" s="4">
        <v>161.1</v>
      </c>
      <c r="L19" s="2" t="s">
        <v>1</v>
      </c>
    </row>
    <row r="20" spans="1:12" x14ac:dyDescent="0.2">
      <c r="A20" s="7">
        <v>30128</v>
      </c>
      <c r="B20" s="2" t="s">
        <v>1361</v>
      </c>
      <c r="C20" s="4">
        <v>334</v>
      </c>
      <c r="D20" s="4">
        <v>343.4</v>
      </c>
      <c r="E20" s="4">
        <v>190.3</v>
      </c>
      <c r="F20" s="4">
        <v>0.08</v>
      </c>
      <c r="G20" s="4">
        <v>22.26</v>
      </c>
      <c r="H20" s="4">
        <v>18.68</v>
      </c>
      <c r="I20" s="4">
        <v>150.69999999999999</v>
      </c>
      <c r="J20" s="4">
        <v>160.9</v>
      </c>
      <c r="L20" s="2" t="s">
        <v>1</v>
      </c>
    </row>
    <row r="21" spans="1:12" x14ac:dyDescent="0.2">
      <c r="A21" s="7">
        <v>30128</v>
      </c>
      <c r="B21" s="2" t="s">
        <v>1362</v>
      </c>
      <c r="C21" s="4">
        <v>341.4</v>
      </c>
      <c r="D21" s="4">
        <v>347.8</v>
      </c>
      <c r="E21" s="4">
        <v>195.2</v>
      </c>
      <c r="F21" s="4">
        <v>0.04</v>
      </c>
      <c r="G21" s="4">
        <v>22.55</v>
      </c>
      <c r="H21" s="4">
        <v>23.05</v>
      </c>
      <c r="I21" s="4">
        <v>151.80000000000001</v>
      </c>
      <c r="J21" s="4">
        <v>156.1</v>
      </c>
      <c r="L21" s="2" t="s">
        <v>1</v>
      </c>
    </row>
    <row r="22" spans="1:12" x14ac:dyDescent="0.2">
      <c r="A22" s="7">
        <v>30128</v>
      </c>
      <c r="B22" s="2" t="s">
        <v>1363</v>
      </c>
      <c r="C22" s="4">
        <v>335.3</v>
      </c>
      <c r="D22" s="4">
        <v>347.1</v>
      </c>
      <c r="E22" s="4">
        <v>199.3</v>
      </c>
      <c r="F22" s="4">
        <v>0.75</v>
      </c>
      <c r="G22" s="4">
        <v>25.28</v>
      </c>
      <c r="H22" s="4">
        <v>33.22</v>
      </c>
      <c r="I22" s="4">
        <v>157.19999999999999</v>
      </c>
      <c r="J22" s="4">
        <v>160.9</v>
      </c>
      <c r="L22" s="2" t="s">
        <v>1</v>
      </c>
    </row>
    <row r="23" spans="1:12" x14ac:dyDescent="0.2">
      <c r="A23" s="7">
        <v>30128</v>
      </c>
      <c r="B23" s="2" t="s">
        <v>1364</v>
      </c>
      <c r="C23" s="4">
        <v>337.2</v>
      </c>
      <c r="D23" s="4">
        <v>348.8</v>
      </c>
      <c r="E23" s="4">
        <v>193.5</v>
      </c>
      <c r="F23" s="4">
        <v>0.92</v>
      </c>
      <c r="G23" s="4">
        <v>23.4</v>
      </c>
      <c r="H23" s="4">
        <v>26.31</v>
      </c>
      <c r="I23" s="4">
        <v>160.9</v>
      </c>
      <c r="J23" s="4">
        <v>159</v>
      </c>
      <c r="L23" s="2" t="s">
        <v>1</v>
      </c>
    </row>
    <row r="24" spans="1:12" x14ac:dyDescent="0.2">
      <c r="A24" s="7">
        <v>30128</v>
      </c>
      <c r="B24" s="2" t="s">
        <v>1365</v>
      </c>
      <c r="C24" s="4">
        <v>333.5</v>
      </c>
      <c r="D24" s="4">
        <v>347.3</v>
      </c>
      <c r="E24" s="4">
        <v>191.4</v>
      </c>
      <c r="F24" s="4">
        <v>2.39</v>
      </c>
      <c r="G24" s="4">
        <v>22.77</v>
      </c>
      <c r="H24" s="4">
        <v>30.4</v>
      </c>
      <c r="I24" s="4">
        <v>158.69999999999999</v>
      </c>
      <c r="J24" s="4">
        <v>157</v>
      </c>
      <c r="L24" s="2" t="s">
        <v>1</v>
      </c>
    </row>
    <row r="25" spans="1:12" x14ac:dyDescent="0.2">
      <c r="A25" s="7">
        <v>30128</v>
      </c>
      <c r="B25" s="2" t="s">
        <v>1357</v>
      </c>
      <c r="C25" s="4">
        <v>335.4</v>
      </c>
      <c r="D25" s="4">
        <v>345.4</v>
      </c>
      <c r="E25" s="4">
        <v>201.5</v>
      </c>
      <c r="F25" s="4">
        <v>0.12</v>
      </c>
      <c r="G25" s="4">
        <v>20.85</v>
      </c>
      <c r="H25" s="4">
        <v>27.24</v>
      </c>
      <c r="I25" s="4">
        <v>140.9</v>
      </c>
      <c r="J25" s="4">
        <v>153.19999999999999</v>
      </c>
      <c r="L25" s="2" t="s">
        <v>1</v>
      </c>
    </row>
    <row r="26" spans="1:12" x14ac:dyDescent="0.2">
      <c r="A26" s="7">
        <v>30127</v>
      </c>
      <c r="B26" s="2" t="s">
        <v>1366</v>
      </c>
      <c r="C26" s="4">
        <v>341.1</v>
      </c>
      <c r="D26" s="4">
        <v>357.5</v>
      </c>
      <c r="E26" s="4">
        <v>177.6</v>
      </c>
      <c r="F26" s="4">
        <v>0.18</v>
      </c>
      <c r="G26" s="4">
        <v>20.9</v>
      </c>
      <c r="H26" s="4">
        <v>19.2</v>
      </c>
      <c r="I26" s="4">
        <v>143.4</v>
      </c>
      <c r="J26" s="4">
        <v>151.1</v>
      </c>
      <c r="L26" s="2" t="s">
        <v>1</v>
      </c>
    </row>
    <row r="27" spans="1:12" x14ac:dyDescent="0.2">
      <c r="A27" s="7">
        <v>30128</v>
      </c>
      <c r="B27" s="2" t="s">
        <v>1367</v>
      </c>
      <c r="C27" s="4">
        <v>343.3</v>
      </c>
      <c r="D27" s="4">
        <v>361.4</v>
      </c>
      <c r="E27" s="4">
        <v>182.6</v>
      </c>
      <c r="F27" s="4">
        <v>0.62</v>
      </c>
      <c r="G27" s="4">
        <v>21.88</v>
      </c>
      <c r="H27" s="4">
        <v>59.78</v>
      </c>
      <c r="I27" s="4">
        <v>153.1</v>
      </c>
      <c r="J27" s="4">
        <v>154</v>
      </c>
      <c r="L27" s="2" t="s">
        <v>1</v>
      </c>
    </row>
    <row r="28" spans="1:12" x14ac:dyDescent="0.2">
      <c r="A28" s="7">
        <v>30128</v>
      </c>
      <c r="B28" s="2" t="s">
        <v>1368</v>
      </c>
      <c r="C28" s="4">
        <v>337.2</v>
      </c>
      <c r="D28" s="4">
        <v>354.9</v>
      </c>
      <c r="E28" s="4">
        <v>186</v>
      </c>
      <c r="F28" s="4">
        <v>1.07</v>
      </c>
      <c r="G28" s="4">
        <v>22.95</v>
      </c>
      <c r="H28" s="4">
        <v>23.68</v>
      </c>
      <c r="I28" s="4">
        <v>155.19999999999999</v>
      </c>
      <c r="J28" s="4">
        <v>156.30000000000001</v>
      </c>
      <c r="L28" s="2" t="s">
        <v>1</v>
      </c>
    </row>
    <row r="29" spans="1:12" x14ac:dyDescent="0.2">
      <c r="A29" s="7">
        <v>30127</v>
      </c>
      <c r="B29" s="2" t="s">
        <v>1369</v>
      </c>
      <c r="C29" s="4">
        <v>334.7</v>
      </c>
      <c r="D29" s="4">
        <v>355.6</v>
      </c>
      <c r="E29" s="4">
        <v>179.1</v>
      </c>
      <c r="F29" s="4">
        <v>0.82</v>
      </c>
      <c r="G29" s="4">
        <v>24.75</v>
      </c>
      <c r="H29" s="4">
        <v>24.6</v>
      </c>
      <c r="I29" s="4">
        <v>156.6</v>
      </c>
      <c r="J29" s="4">
        <v>156.1</v>
      </c>
      <c r="L29" s="2" t="s">
        <v>1</v>
      </c>
    </row>
    <row r="30" spans="1:12" x14ac:dyDescent="0.2">
      <c r="A30" s="7">
        <v>30126</v>
      </c>
      <c r="B30" s="2" t="s">
        <v>1370</v>
      </c>
      <c r="C30" s="4">
        <v>324.3</v>
      </c>
      <c r="D30" s="4">
        <v>328.9</v>
      </c>
      <c r="E30" s="4">
        <v>200.9</v>
      </c>
      <c r="F30" s="4">
        <v>0.81</v>
      </c>
      <c r="G30" s="4">
        <v>22.04</v>
      </c>
      <c r="H30" s="4">
        <v>30.01</v>
      </c>
      <c r="I30" s="4">
        <v>146</v>
      </c>
      <c r="J30" s="4">
        <v>148.69999999999999</v>
      </c>
      <c r="L30" s="2" t="s">
        <v>1</v>
      </c>
    </row>
    <row r="31" spans="1:12" x14ac:dyDescent="0.2">
      <c r="A31" s="7">
        <v>30128</v>
      </c>
      <c r="B31" s="2" t="s">
        <v>1371</v>
      </c>
      <c r="C31" s="4">
        <v>329.1</v>
      </c>
      <c r="D31" s="4">
        <v>339.7</v>
      </c>
      <c r="E31" s="4">
        <v>196.5</v>
      </c>
      <c r="F31" s="4">
        <v>1.38</v>
      </c>
      <c r="G31" s="4">
        <v>24.84</v>
      </c>
      <c r="H31" s="4">
        <v>28.95</v>
      </c>
      <c r="I31" s="4">
        <v>159.4</v>
      </c>
      <c r="J31" s="4">
        <v>152.19999999999999</v>
      </c>
      <c r="L31" s="2" t="s">
        <v>1</v>
      </c>
    </row>
    <row r="32" spans="1:12" x14ac:dyDescent="0.2">
      <c r="A32" s="7">
        <v>30128</v>
      </c>
      <c r="B32" s="2" t="s">
        <v>1372</v>
      </c>
      <c r="C32" s="4">
        <v>343.5</v>
      </c>
      <c r="D32" s="4">
        <v>359</v>
      </c>
      <c r="E32" s="4">
        <v>188.1</v>
      </c>
      <c r="F32" s="4">
        <v>1.34</v>
      </c>
      <c r="G32" s="4">
        <v>26.18</v>
      </c>
      <c r="H32" s="4">
        <v>30.49</v>
      </c>
      <c r="I32" s="4">
        <v>158.4</v>
      </c>
      <c r="J32" s="4">
        <v>155.4</v>
      </c>
      <c r="L32" s="2" t="s">
        <v>1</v>
      </c>
    </row>
    <row r="33" spans="1:12" x14ac:dyDescent="0.2">
      <c r="A33" s="7">
        <v>30127</v>
      </c>
      <c r="B33" s="2" t="s">
        <v>1373</v>
      </c>
      <c r="C33" s="4">
        <v>337.2</v>
      </c>
      <c r="D33" s="4">
        <v>355.1</v>
      </c>
      <c r="E33" s="4">
        <v>184.9</v>
      </c>
      <c r="F33" s="4">
        <v>15.26</v>
      </c>
      <c r="G33" s="4">
        <v>24.05</v>
      </c>
      <c r="H33" s="4">
        <v>30.98</v>
      </c>
      <c r="I33" s="4">
        <v>149</v>
      </c>
      <c r="J33" s="4">
        <v>152.80000000000001</v>
      </c>
      <c r="L33" s="2" t="s">
        <v>1</v>
      </c>
    </row>
    <row r="34" spans="1:12" x14ac:dyDescent="0.2">
      <c r="A34" s="7">
        <v>30127</v>
      </c>
      <c r="B34" s="2" t="s">
        <v>1374</v>
      </c>
      <c r="C34" s="4">
        <v>347.2</v>
      </c>
      <c r="D34" s="4">
        <v>353.8</v>
      </c>
      <c r="E34" s="4">
        <v>184.6</v>
      </c>
      <c r="F34" s="4">
        <v>2.13</v>
      </c>
      <c r="G34" s="4">
        <v>23.06</v>
      </c>
      <c r="H34" s="4">
        <v>31.19</v>
      </c>
      <c r="I34" s="4">
        <v>154.4</v>
      </c>
      <c r="J34" s="4">
        <v>153.19999999999999</v>
      </c>
      <c r="L34" s="2" t="s">
        <v>1</v>
      </c>
    </row>
    <row r="35" spans="1:12" x14ac:dyDescent="0.2">
      <c r="A35" s="7">
        <v>30128</v>
      </c>
      <c r="B35" s="2" t="s">
        <v>1375</v>
      </c>
      <c r="C35" s="4">
        <v>333.9</v>
      </c>
      <c r="D35" s="4">
        <v>346.8</v>
      </c>
      <c r="E35" s="4">
        <v>192.7</v>
      </c>
      <c r="F35" s="4">
        <v>3.62</v>
      </c>
      <c r="G35" s="4">
        <v>24.62</v>
      </c>
      <c r="H35" s="4">
        <v>24.62</v>
      </c>
      <c r="I35" s="4">
        <v>159.6</v>
      </c>
      <c r="J35" s="4">
        <v>155.1</v>
      </c>
      <c r="L35" s="2" t="s">
        <v>1</v>
      </c>
    </row>
    <row r="36" spans="1:12" x14ac:dyDescent="0.2">
      <c r="A36" s="7">
        <v>30128</v>
      </c>
      <c r="B36" s="2" t="s">
        <v>1376</v>
      </c>
      <c r="C36" s="4">
        <v>338.5</v>
      </c>
      <c r="D36" s="4">
        <v>353.1</v>
      </c>
      <c r="E36" s="4">
        <v>184.9</v>
      </c>
      <c r="F36" s="4">
        <v>2.21</v>
      </c>
      <c r="G36" s="4">
        <v>24.88</v>
      </c>
      <c r="H36" s="4">
        <v>26.12</v>
      </c>
      <c r="I36" s="4">
        <v>157.5</v>
      </c>
      <c r="J36" s="4">
        <v>157</v>
      </c>
      <c r="L36" s="2" t="s">
        <v>1</v>
      </c>
    </row>
    <row r="37" spans="1:12" x14ac:dyDescent="0.2">
      <c r="A37" s="7">
        <v>30128</v>
      </c>
      <c r="B37" s="2" t="s">
        <v>1377</v>
      </c>
      <c r="C37" s="4">
        <v>327.9</v>
      </c>
      <c r="D37" s="4">
        <v>336.4</v>
      </c>
      <c r="E37" s="4">
        <v>193.1</v>
      </c>
      <c r="F37" s="4">
        <v>3.69</v>
      </c>
      <c r="G37" s="4">
        <v>24.4</v>
      </c>
      <c r="H37" s="4">
        <v>29.19</v>
      </c>
      <c r="I37" s="4">
        <v>160.5</v>
      </c>
      <c r="J37" s="4">
        <v>153.30000000000001</v>
      </c>
      <c r="L37" s="2" t="s">
        <v>1</v>
      </c>
    </row>
    <row r="38" spans="1:12" x14ac:dyDescent="0.2">
      <c r="L38" s="2" t="s">
        <v>1</v>
      </c>
    </row>
    <row r="39" spans="1:12" x14ac:dyDescent="0.2">
      <c r="L39" s="2" t="s">
        <v>1</v>
      </c>
    </row>
    <row r="40" spans="1:12" x14ac:dyDescent="0.2">
      <c r="A40" s="7"/>
      <c r="C40" s="8" t="s">
        <v>138</v>
      </c>
      <c r="D40" s="8" t="s">
        <v>136</v>
      </c>
      <c r="E40" s="8" t="s">
        <v>130</v>
      </c>
      <c r="F40" s="8" t="s">
        <v>263</v>
      </c>
      <c r="G40" s="8" t="s">
        <v>133</v>
      </c>
      <c r="H40" s="8" t="s">
        <v>121</v>
      </c>
      <c r="I40" s="8" t="s">
        <v>112</v>
      </c>
      <c r="J40" s="8" t="s">
        <v>142</v>
      </c>
      <c r="L40" s="2" t="s">
        <v>1</v>
      </c>
    </row>
    <row r="41" spans="1:12" x14ac:dyDescent="0.2">
      <c r="C41" s="8" t="s">
        <v>266</v>
      </c>
      <c r="D41" s="8" t="s">
        <v>144</v>
      </c>
      <c r="E41" s="8" t="s">
        <v>144</v>
      </c>
      <c r="F41" s="8" t="s">
        <v>144</v>
      </c>
      <c r="G41" s="8" t="s">
        <v>144</v>
      </c>
      <c r="H41" s="8" t="s">
        <v>144</v>
      </c>
      <c r="I41" s="8" t="s">
        <v>144</v>
      </c>
      <c r="J41" s="8" t="s">
        <v>144</v>
      </c>
      <c r="L41" s="2" t="s">
        <v>1</v>
      </c>
    </row>
    <row r="42" spans="1:12" x14ac:dyDescent="0.2">
      <c r="L42" s="2" t="s">
        <v>1</v>
      </c>
    </row>
    <row r="43" spans="1:12" x14ac:dyDescent="0.2">
      <c r="A43" s="7">
        <f>AVERAGE(A6:A37)</f>
        <v>30127.34375</v>
      </c>
      <c r="C43" s="4">
        <f t="shared" ref="C43:J43" si="0">AVERAGE(C6:C37)</f>
        <v>335.65000000000003</v>
      </c>
      <c r="D43" s="4">
        <f t="shared" si="0"/>
        <v>346.46249999999998</v>
      </c>
      <c r="E43" s="4">
        <f t="shared" si="0"/>
        <v>192.46250000000001</v>
      </c>
      <c r="F43" s="4">
        <f t="shared" si="0"/>
        <v>1.7148387096774191</v>
      </c>
      <c r="G43" s="4">
        <f t="shared" si="0"/>
        <v>23.564687499999994</v>
      </c>
      <c r="H43" s="4">
        <f t="shared" si="0"/>
        <v>27.149062500000003</v>
      </c>
      <c r="I43" s="4">
        <f t="shared" si="0"/>
        <v>151.359375</v>
      </c>
      <c r="J43" s="4">
        <f t="shared" si="0"/>
        <v>153.54062500000001</v>
      </c>
      <c r="L43" s="2" t="s">
        <v>1</v>
      </c>
    </row>
    <row r="44" spans="1:12" x14ac:dyDescent="0.2">
      <c r="C44" s="4">
        <f t="shared" ref="C44:J44" si="1">STDEV(C6:C37)</f>
        <v>4.9520279325909788</v>
      </c>
      <c r="D44" s="4">
        <f t="shared" si="1"/>
        <v>7.361484334894917</v>
      </c>
      <c r="E44" s="4">
        <f t="shared" si="1"/>
        <v>6.3131583016692625</v>
      </c>
      <c r="F44" s="4">
        <f t="shared" si="1"/>
        <v>2.7973473994336637</v>
      </c>
      <c r="G44" s="4">
        <f t="shared" si="1"/>
        <v>1.7020708153551869</v>
      </c>
      <c r="H44" s="4">
        <f t="shared" si="1"/>
        <v>8.7466577430117276</v>
      </c>
      <c r="I44" s="4">
        <f t="shared" si="1"/>
        <v>8.0433045437724751</v>
      </c>
      <c r="J44" s="4">
        <f t="shared" si="1"/>
        <v>4.6542980050008458</v>
      </c>
      <c r="L44" s="2" t="s">
        <v>1</v>
      </c>
    </row>
    <row r="45" spans="1:12" x14ac:dyDescent="0.2">
      <c r="C45" s="4">
        <f t="shared" ref="C45:J45" si="2">COUNTA(C6:C37)</f>
        <v>32</v>
      </c>
      <c r="D45" s="4">
        <f t="shared" si="2"/>
        <v>32</v>
      </c>
      <c r="E45" s="4">
        <f t="shared" si="2"/>
        <v>32</v>
      </c>
      <c r="F45" s="4">
        <f t="shared" si="2"/>
        <v>31</v>
      </c>
      <c r="G45" s="4">
        <f t="shared" si="2"/>
        <v>32</v>
      </c>
      <c r="H45" s="4">
        <f t="shared" si="2"/>
        <v>32</v>
      </c>
      <c r="I45" s="4">
        <f t="shared" si="2"/>
        <v>32</v>
      </c>
      <c r="J45" s="4">
        <f t="shared" si="2"/>
        <v>32</v>
      </c>
      <c r="L45" s="2" t="s">
        <v>1</v>
      </c>
    </row>
  </sheetData>
  <pageMargins left="0.5" right="0.5" top="0.75" bottom="0.75" header="0.5" footer="0.5"/>
  <pageSetup orientation="portrait" horizontalDpi="0" verticalDpi="0" copies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81"/>
  <sheetViews>
    <sheetView showOutlineSymbols="0" defaultGridColor="0" colorId="9" workbookViewId="0">
      <selection activeCell="C6" sqref="C6"/>
    </sheetView>
  </sheetViews>
  <sheetFormatPr defaultColWidth="8.6640625" defaultRowHeight="15" x14ac:dyDescent="0.2"/>
  <cols>
    <col min="1" max="16384" width="8.6640625" style="2"/>
  </cols>
  <sheetData>
    <row r="1" spans="1:28" ht="15.75" x14ac:dyDescent="0.25">
      <c r="A1" s="6" t="s">
        <v>280</v>
      </c>
      <c r="AB1" s="2" t="s">
        <v>1</v>
      </c>
    </row>
    <row r="2" spans="1:28" ht="15.75" x14ac:dyDescent="0.25">
      <c r="A2" s="6" t="s">
        <v>281</v>
      </c>
      <c r="AB2" s="2" t="s">
        <v>1</v>
      </c>
    </row>
    <row r="3" spans="1:28" x14ac:dyDescent="0.2">
      <c r="A3" s="2" t="s">
        <v>282</v>
      </c>
      <c r="AB3" s="2" t="s">
        <v>1</v>
      </c>
    </row>
    <row r="4" spans="1:28" x14ac:dyDescent="0.2">
      <c r="AB4" s="2" t="s">
        <v>1</v>
      </c>
    </row>
    <row r="5" spans="1:28" x14ac:dyDescent="0.2">
      <c r="F5" s="8" t="s">
        <v>283</v>
      </c>
      <c r="AB5" s="2" t="s">
        <v>1</v>
      </c>
    </row>
    <row r="6" spans="1:28" x14ac:dyDescent="0.2">
      <c r="A6" s="2" t="s">
        <v>284</v>
      </c>
      <c r="B6" s="15" t="s">
        <v>285</v>
      </c>
      <c r="C6" s="15" t="s">
        <v>253</v>
      </c>
      <c r="D6" s="8" t="s">
        <v>286</v>
      </c>
      <c r="E6" s="8" t="s">
        <v>287</v>
      </c>
      <c r="F6" s="8" t="s">
        <v>288</v>
      </c>
      <c r="G6" s="8" t="s">
        <v>117</v>
      </c>
      <c r="H6" s="8" t="s">
        <v>118</v>
      </c>
      <c r="I6" s="8" t="s">
        <v>118</v>
      </c>
      <c r="J6" s="8" t="s">
        <v>123</v>
      </c>
      <c r="K6" s="8" t="s">
        <v>134</v>
      </c>
      <c r="L6" s="8" t="s">
        <v>138</v>
      </c>
      <c r="M6" s="8" t="s">
        <v>136</v>
      </c>
      <c r="N6" s="8" t="s">
        <v>130</v>
      </c>
      <c r="O6" s="8" t="s">
        <v>133</v>
      </c>
      <c r="P6" s="8" t="s">
        <v>127</v>
      </c>
      <c r="Q6" s="8" t="s">
        <v>121</v>
      </c>
      <c r="R6" s="8" t="s">
        <v>112</v>
      </c>
      <c r="S6" s="8" t="s">
        <v>140</v>
      </c>
      <c r="T6" s="8" t="s">
        <v>126</v>
      </c>
      <c r="U6" s="8" t="s">
        <v>122</v>
      </c>
      <c r="V6" s="8" t="s">
        <v>113</v>
      </c>
      <c r="W6" s="8" t="s">
        <v>131</v>
      </c>
      <c r="X6" s="8" t="s">
        <v>129</v>
      </c>
      <c r="Y6" s="8" t="s">
        <v>149</v>
      </c>
      <c r="Z6" s="8" t="s">
        <v>151</v>
      </c>
      <c r="AB6" s="2" t="s">
        <v>1</v>
      </c>
    </row>
    <row r="7" spans="1:28" x14ac:dyDescent="0.2">
      <c r="A7" s="2" t="s">
        <v>289</v>
      </c>
      <c r="B7" s="15" t="s">
        <v>290</v>
      </c>
      <c r="E7" s="15" t="s">
        <v>291</v>
      </c>
      <c r="F7" s="8" t="s">
        <v>292</v>
      </c>
      <c r="G7" s="8" t="s">
        <v>266</v>
      </c>
      <c r="H7" s="8" t="s">
        <v>266</v>
      </c>
      <c r="I7" s="8" t="s">
        <v>266</v>
      </c>
      <c r="J7" s="8" t="s">
        <v>266</v>
      </c>
      <c r="K7" s="8" t="s">
        <v>266</v>
      </c>
      <c r="L7" s="8" t="s">
        <v>266</v>
      </c>
      <c r="M7" s="8" t="s">
        <v>144</v>
      </c>
      <c r="N7" s="8" t="s">
        <v>144</v>
      </c>
      <c r="O7" s="8" t="s">
        <v>144</v>
      </c>
      <c r="P7" s="8" t="s">
        <v>144</v>
      </c>
      <c r="Q7" s="8" t="s">
        <v>144</v>
      </c>
      <c r="R7" s="8" t="s">
        <v>144</v>
      </c>
      <c r="S7" s="8" t="s">
        <v>144</v>
      </c>
      <c r="T7" s="8" t="s">
        <v>144</v>
      </c>
      <c r="U7" s="8" t="s">
        <v>144</v>
      </c>
      <c r="V7" s="8" t="s">
        <v>144</v>
      </c>
      <c r="W7" s="8" t="s">
        <v>144</v>
      </c>
      <c r="X7" s="8" t="s">
        <v>144</v>
      </c>
      <c r="Y7" s="8" t="s">
        <v>144</v>
      </c>
      <c r="Z7" s="8" t="s">
        <v>144</v>
      </c>
      <c r="AB7" s="2" t="s">
        <v>1</v>
      </c>
    </row>
    <row r="8" spans="1:28" x14ac:dyDescent="0.2">
      <c r="C8" s="19"/>
      <c r="AB8" s="2" t="s">
        <v>1</v>
      </c>
    </row>
    <row r="9" spans="1:28" x14ac:dyDescent="0.2">
      <c r="A9" s="2">
        <v>1</v>
      </c>
      <c r="B9" s="2" t="s">
        <v>293</v>
      </c>
      <c r="C9" s="19">
        <f>DATE(88,2,21)</f>
        <v>32194</v>
      </c>
      <c r="D9" s="2">
        <v>1628</v>
      </c>
      <c r="G9" s="2">
        <v>534</v>
      </c>
      <c r="H9" s="2">
        <v>168</v>
      </c>
      <c r="I9" s="2">
        <v>177</v>
      </c>
      <c r="J9" s="2">
        <v>1815</v>
      </c>
      <c r="K9" s="2">
        <v>385</v>
      </c>
      <c r="L9" s="2">
        <v>341.2</v>
      </c>
      <c r="M9" s="2">
        <v>518</v>
      </c>
      <c r="N9" s="2">
        <v>1997</v>
      </c>
      <c r="O9" s="2">
        <v>45</v>
      </c>
      <c r="P9" s="2">
        <v>30</v>
      </c>
      <c r="Q9" s="2">
        <v>225</v>
      </c>
      <c r="R9" s="2">
        <v>147</v>
      </c>
      <c r="S9" s="2">
        <v>368</v>
      </c>
      <c r="T9" s="2">
        <v>2480</v>
      </c>
      <c r="U9" s="2">
        <v>396</v>
      </c>
      <c r="V9" s="2">
        <v>786</v>
      </c>
      <c r="W9" s="2">
        <v>1600</v>
      </c>
      <c r="X9" s="2">
        <v>34</v>
      </c>
      <c r="Y9" s="2">
        <v>477</v>
      </c>
      <c r="Z9" s="2">
        <v>683</v>
      </c>
      <c r="AB9" s="2" t="s">
        <v>1</v>
      </c>
    </row>
    <row r="10" spans="1:28" x14ac:dyDescent="0.2">
      <c r="A10" s="2">
        <v>2</v>
      </c>
      <c r="B10" s="2" t="s">
        <v>294</v>
      </c>
      <c r="C10" s="19">
        <f>DATE(88,2,22)</f>
        <v>32195</v>
      </c>
      <c r="D10" s="2">
        <v>1600</v>
      </c>
      <c r="E10" s="2">
        <v>-25.2</v>
      </c>
      <c r="F10" s="2" t="s">
        <v>295</v>
      </c>
      <c r="G10" s="2">
        <v>502</v>
      </c>
      <c r="H10" s="2">
        <v>155</v>
      </c>
      <c r="I10" s="2">
        <v>159</v>
      </c>
      <c r="J10" s="2">
        <v>1790</v>
      </c>
      <c r="K10" s="2">
        <v>351</v>
      </c>
      <c r="L10" s="2">
        <v>342.1</v>
      </c>
      <c r="M10" s="2">
        <v>447</v>
      </c>
      <c r="N10" s="2">
        <v>313</v>
      </c>
      <c r="O10" s="2">
        <v>44</v>
      </c>
      <c r="P10" s="2">
        <v>26</v>
      </c>
      <c r="Q10" s="2">
        <v>214</v>
      </c>
      <c r="R10" s="2">
        <v>141</v>
      </c>
      <c r="S10" s="2">
        <v>113</v>
      </c>
      <c r="T10" s="2">
        <v>2370</v>
      </c>
      <c r="U10" s="2">
        <v>281</v>
      </c>
      <c r="V10" s="2">
        <v>705</v>
      </c>
      <c r="W10" s="2">
        <v>1310</v>
      </c>
      <c r="X10" s="2">
        <v>19</v>
      </c>
      <c r="Y10" s="2">
        <v>347</v>
      </c>
      <c r="Z10" s="2">
        <v>558</v>
      </c>
      <c r="AB10" s="2" t="s">
        <v>1</v>
      </c>
    </row>
    <row r="11" spans="1:28" x14ac:dyDescent="0.2">
      <c r="A11" s="2">
        <v>3</v>
      </c>
      <c r="B11" s="2" t="s">
        <v>296</v>
      </c>
      <c r="C11" s="19">
        <f>DATE(88,2,23)</f>
        <v>32196</v>
      </c>
      <c r="D11" s="2">
        <v>1350</v>
      </c>
      <c r="E11" s="2">
        <v>-33.799999999999997</v>
      </c>
      <c r="F11" s="2">
        <v>3.7</v>
      </c>
      <c r="G11" s="2">
        <v>498</v>
      </c>
      <c r="H11" s="2">
        <v>160</v>
      </c>
      <c r="I11" s="2">
        <v>162</v>
      </c>
      <c r="J11" s="2">
        <v>1795</v>
      </c>
      <c r="K11" s="2">
        <v>354</v>
      </c>
      <c r="L11" s="2">
        <v>341.6</v>
      </c>
      <c r="M11" s="2">
        <v>462</v>
      </c>
      <c r="N11" s="2">
        <v>436</v>
      </c>
      <c r="O11" s="2">
        <v>44</v>
      </c>
      <c r="P11" s="2">
        <v>31</v>
      </c>
      <c r="Q11" s="2">
        <v>220</v>
      </c>
      <c r="R11" s="2">
        <v>163</v>
      </c>
      <c r="S11" s="2">
        <v>171</v>
      </c>
      <c r="AB11" s="2" t="s">
        <v>1</v>
      </c>
    </row>
    <row r="12" spans="1:28" x14ac:dyDescent="0.2">
      <c r="A12" s="2">
        <v>4</v>
      </c>
      <c r="B12" s="2" t="s">
        <v>297</v>
      </c>
      <c r="C12" s="19">
        <f>DATE(88,2,25)</f>
        <v>32198</v>
      </c>
      <c r="D12" s="2">
        <v>1355</v>
      </c>
      <c r="E12" s="2">
        <v>-29.1</v>
      </c>
      <c r="F12" s="2" t="s">
        <v>295</v>
      </c>
      <c r="G12" s="2" t="s">
        <v>298</v>
      </c>
      <c r="T12" s="8" t="s">
        <v>299</v>
      </c>
      <c r="AB12" s="2" t="s">
        <v>1</v>
      </c>
    </row>
    <row r="13" spans="1:28" x14ac:dyDescent="0.2">
      <c r="A13" s="2">
        <v>5</v>
      </c>
      <c r="B13" s="2" t="s">
        <v>300</v>
      </c>
      <c r="C13" s="19">
        <f>DATE(88,2,26)</f>
        <v>32199</v>
      </c>
      <c r="D13" s="2">
        <v>1155</v>
      </c>
      <c r="E13" s="2">
        <v>-20</v>
      </c>
      <c r="F13" s="2">
        <v>3</v>
      </c>
      <c r="G13" s="2">
        <v>513</v>
      </c>
      <c r="H13" s="2">
        <v>150</v>
      </c>
      <c r="I13" s="2">
        <v>153</v>
      </c>
      <c r="J13" s="2">
        <v>1779</v>
      </c>
      <c r="K13" s="2">
        <v>354</v>
      </c>
      <c r="L13" s="2">
        <v>340.8</v>
      </c>
      <c r="M13" s="2">
        <v>441</v>
      </c>
      <c r="N13" s="2">
        <v>274</v>
      </c>
      <c r="O13" s="2">
        <v>43</v>
      </c>
      <c r="P13" s="2">
        <v>23</v>
      </c>
      <c r="Q13" s="2">
        <v>215</v>
      </c>
      <c r="R13" s="2">
        <v>157</v>
      </c>
      <c r="S13" s="2">
        <v>101</v>
      </c>
      <c r="T13" s="2">
        <v>2380</v>
      </c>
      <c r="U13" s="2">
        <v>226</v>
      </c>
      <c r="V13" s="2">
        <v>749</v>
      </c>
      <c r="W13" s="2">
        <v>1260</v>
      </c>
      <c r="X13" s="2">
        <v>38</v>
      </c>
      <c r="Y13" s="2">
        <v>329</v>
      </c>
      <c r="Z13" s="2">
        <v>535</v>
      </c>
      <c r="AB13" s="2" t="s">
        <v>1</v>
      </c>
    </row>
    <row r="14" spans="1:28" x14ac:dyDescent="0.2">
      <c r="A14" s="2">
        <v>6</v>
      </c>
      <c r="B14" s="2" t="s">
        <v>301</v>
      </c>
      <c r="C14" s="19">
        <f>DATE(88,2,27)</f>
        <v>32200</v>
      </c>
      <c r="D14" s="2">
        <v>1153</v>
      </c>
      <c r="E14" s="2">
        <v>-21</v>
      </c>
      <c r="F14" s="2">
        <v>2.6</v>
      </c>
      <c r="G14" s="2">
        <v>514</v>
      </c>
      <c r="H14" s="2">
        <v>156</v>
      </c>
      <c r="I14" s="2">
        <v>166</v>
      </c>
      <c r="J14" s="2">
        <v>1780</v>
      </c>
      <c r="K14" s="2">
        <v>354</v>
      </c>
      <c r="L14" s="2">
        <v>340.3</v>
      </c>
      <c r="M14" s="2">
        <v>440</v>
      </c>
      <c r="N14" s="2">
        <v>274</v>
      </c>
      <c r="O14" s="2">
        <v>44</v>
      </c>
      <c r="P14" s="2">
        <v>27</v>
      </c>
      <c r="Q14" s="2">
        <v>215</v>
      </c>
      <c r="R14" s="2">
        <v>161</v>
      </c>
      <c r="S14" s="2">
        <v>239</v>
      </c>
      <c r="T14" s="2">
        <v>2390</v>
      </c>
      <c r="U14" s="2">
        <v>220</v>
      </c>
      <c r="V14" s="2">
        <v>717</v>
      </c>
      <c r="W14" s="2">
        <v>1260</v>
      </c>
      <c r="X14" s="2">
        <v>40</v>
      </c>
      <c r="Y14" s="2">
        <v>311</v>
      </c>
      <c r="Z14" s="2">
        <v>522</v>
      </c>
      <c r="AB14" s="2" t="s">
        <v>1</v>
      </c>
    </row>
    <row r="15" spans="1:28" x14ac:dyDescent="0.2">
      <c r="A15" s="2">
        <v>7</v>
      </c>
      <c r="B15" s="2" t="s">
        <v>302</v>
      </c>
      <c r="C15" s="19">
        <f>DATE(88,2,28)</f>
        <v>32201</v>
      </c>
      <c r="D15" s="2">
        <v>1425</v>
      </c>
      <c r="E15" s="2">
        <v>-22.3</v>
      </c>
      <c r="F15" s="2">
        <v>0.3</v>
      </c>
      <c r="G15" s="2">
        <v>513</v>
      </c>
      <c r="H15" s="2">
        <v>164</v>
      </c>
      <c r="I15" s="2">
        <v>180</v>
      </c>
      <c r="J15" s="2">
        <v>1791</v>
      </c>
      <c r="K15" s="2">
        <v>352</v>
      </c>
      <c r="L15" s="2">
        <v>343.6</v>
      </c>
      <c r="M15" s="2">
        <v>446</v>
      </c>
      <c r="N15" s="2">
        <v>275</v>
      </c>
      <c r="O15" s="2">
        <v>44</v>
      </c>
      <c r="P15" s="2">
        <v>30</v>
      </c>
      <c r="Q15" s="2">
        <v>215</v>
      </c>
      <c r="R15" s="2">
        <v>162</v>
      </c>
      <c r="S15" s="2">
        <v>5346</v>
      </c>
      <c r="T15" s="2">
        <v>2370</v>
      </c>
      <c r="U15" s="2">
        <v>307</v>
      </c>
      <c r="V15" s="2">
        <v>748</v>
      </c>
      <c r="W15" s="2">
        <v>1370</v>
      </c>
      <c r="X15" s="2">
        <v>82</v>
      </c>
      <c r="Y15" s="2">
        <v>343</v>
      </c>
      <c r="Z15" s="2">
        <v>567</v>
      </c>
      <c r="AB15" s="2" t="s">
        <v>1</v>
      </c>
    </row>
    <row r="16" spans="1:28" x14ac:dyDescent="0.2">
      <c r="A16" s="2">
        <v>8</v>
      </c>
      <c r="B16" s="2" t="s">
        <v>303</v>
      </c>
      <c r="C16" s="19">
        <f>DATE(88,2,29)</f>
        <v>32202</v>
      </c>
      <c r="D16" s="2">
        <v>1150</v>
      </c>
      <c r="E16" s="2">
        <v>-22.6</v>
      </c>
      <c r="F16" s="2">
        <v>4</v>
      </c>
      <c r="G16" s="2">
        <v>513</v>
      </c>
      <c r="H16" s="2">
        <v>159</v>
      </c>
      <c r="I16" s="2">
        <v>165</v>
      </c>
      <c r="J16" s="2">
        <v>1788</v>
      </c>
      <c r="K16" s="2">
        <v>354</v>
      </c>
      <c r="L16" s="2">
        <v>341.4</v>
      </c>
      <c r="M16" s="2">
        <v>437</v>
      </c>
      <c r="N16" s="2">
        <v>274</v>
      </c>
      <c r="O16" s="2">
        <v>44</v>
      </c>
      <c r="P16" s="2">
        <v>27</v>
      </c>
      <c r="Q16" s="2">
        <v>217</v>
      </c>
      <c r="R16" s="2">
        <v>163</v>
      </c>
      <c r="S16" s="2">
        <v>412</v>
      </c>
      <c r="T16" s="2">
        <v>2430</v>
      </c>
      <c r="U16" s="2">
        <v>244</v>
      </c>
      <c r="V16" s="2">
        <v>753</v>
      </c>
      <c r="W16" s="2">
        <v>1360</v>
      </c>
      <c r="X16" s="2">
        <v>44</v>
      </c>
      <c r="Y16" s="2">
        <v>344</v>
      </c>
      <c r="Z16" s="2">
        <v>577</v>
      </c>
      <c r="AB16" s="2" t="s">
        <v>1</v>
      </c>
    </row>
    <row r="17" spans="1:28" x14ac:dyDescent="0.2">
      <c r="A17" s="2">
        <v>9</v>
      </c>
      <c r="B17" s="2" t="s">
        <v>304</v>
      </c>
      <c r="C17" s="19">
        <f>DATE(88,3,1)</f>
        <v>32203</v>
      </c>
      <c r="D17" s="2">
        <v>1225</v>
      </c>
      <c r="E17" s="2">
        <v>-27.8</v>
      </c>
      <c r="F17" s="2">
        <v>2</v>
      </c>
      <c r="G17" s="2">
        <v>515</v>
      </c>
      <c r="H17" s="2">
        <v>156</v>
      </c>
      <c r="I17" s="2">
        <v>168</v>
      </c>
      <c r="J17" s="2">
        <v>1789</v>
      </c>
      <c r="K17" s="2">
        <v>352</v>
      </c>
      <c r="L17" s="2">
        <v>342.9</v>
      </c>
      <c r="M17" s="2">
        <v>446</v>
      </c>
      <c r="N17" s="2">
        <v>276</v>
      </c>
      <c r="O17" s="2">
        <v>44</v>
      </c>
      <c r="P17" s="2">
        <v>26</v>
      </c>
      <c r="Q17" s="2">
        <v>217</v>
      </c>
      <c r="R17" s="2">
        <v>135</v>
      </c>
      <c r="S17" s="2">
        <v>122</v>
      </c>
      <c r="T17" s="2">
        <v>2480</v>
      </c>
      <c r="U17" s="2">
        <v>225</v>
      </c>
      <c r="V17" s="2">
        <v>772</v>
      </c>
      <c r="W17" s="2">
        <v>1340</v>
      </c>
      <c r="X17" s="2">
        <v>27</v>
      </c>
      <c r="Y17" s="2">
        <v>335</v>
      </c>
      <c r="Z17" s="2">
        <v>575</v>
      </c>
      <c r="AB17" s="2" t="s">
        <v>1</v>
      </c>
    </row>
    <row r="18" spans="1:28" x14ac:dyDescent="0.2">
      <c r="A18" s="2">
        <v>10</v>
      </c>
      <c r="B18" s="2" t="s">
        <v>305</v>
      </c>
      <c r="C18" s="19">
        <f>DATE(88,3,2)</f>
        <v>32204</v>
      </c>
      <c r="D18" s="2">
        <v>1230</v>
      </c>
      <c r="E18" s="2">
        <v>-28.7</v>
      </c>
      <c r="F18" s="2">
        <v>1</v>
      </c>
      <c r="G18" s="2">
        <v>502</v>
      </c>
      <c r="H18" s="2">
        <v>159</v>
      </c>
      <c r="I18" s="2">
        <v>169</v>
      </c>
      <c r="J18" s="2">
        <v>1783</v>
      </c>
      <c r="K18" s="2">
        <v>354</v>
      </c>
      <c r="L18" s="2">
        <v>340.8</v>
      </c>
      <c r="M18" s="2">
        <v>449</v>
      </c>
      <c r="N18" s="2">
        <v>276</v>
      </c>
      <c r="O18" s="2">
        <v>44</v>
      </c>
      <c r="P18" s="2">
        <v>28</v>
      </c>
      <c r="S18" s="2">
        <v>86</v>
      </c>
      <c r="T18" s="2">
        <v>2570</v>
      </c>
      <c r="U18" s="2">
        <v>234</v>
      </c>
      <c r="V18" s="2">
        <v>772</v>
      </c>
      <c r="W18" s="2">
        <v>1360</v>
      </c>
      <c r="X18" s="2">
        <v>23</v>
      </c>
      <c r="Y18" s="2">
        <v>333</v>
      </c>
      <c r="Z18" s="2">
        <v>579</v>
      </c>
      <c r="AB18" s="2" t="s">
        <v>1</v>
      </c>
    </row>
    <row r="19" spans="1:28" x14ac:dyDescent="0.2">
      <c r="A19" s="2">
        <v>11</v>
      </c>
      <c r="B19" s="2" t="s">
        <v>306</v>
      </c>
      <c r="C19" s="19">
        <f>DATE(88,3,3)</f>
        <v>32205</v>
      </c>
      <c r="D19" s="2">
        <v>1235</v>
      </c>
      <c r="E19" s="2">
        <v>-28</v>
      </c>
      <c r="F19" s="2">
        <v>5.8</v>
      </c>
      <c r="G19" s="2">
        <v>500</v>
      </c>
      <c r="H19" s="2">
        <v>153</v>
      </c>
      <c r="I19" s="2">
        <v>163</v>
      </c>
      <c r="J19" s="2">
        <v>1784</v>
      </c>
      <c r="K19" s="2">
        <v>354</v>
      </c>
      <c r="L19" s="2">
        <v>342.6</v>
      </c>
      <c r="M19" s="2">
        <v>447</v>
      </c>
      <c r="N19" s="2">
        <v>274</v>
      </c>
      <c r="O19" s="2">
        <v>44</v>
      </c>
      <c r="P19" s="2">
        <v>28</v>
      </c>
      <c r="Q19" s="2">
        <v>218</v>
      </c>
      <c r="R19" s="2">
        <v>153</v>
      </c>
      <c r="S19" s="2">
        <v>138</v>
      </c>
      <c r="T19" s="2">
        <v>2240</v>
      </c>
      <c r="U19" s="2">
        <v>183</v>
      </c>
      <c r="V19" s="2">
        <v>686</v>
      </c>
      <c r="W19" s="2">
        <v>1240</v>
      </c>
      <c r="X19" s="2">
        <v>19</v>
      </c>
      <c r="Y19" s="2">
        <v>304</v>
      </c>
      <c r="Z19" s="2">
        <v>527</v>
      </c>
      <c r="AB19" s="2" t="s">
        <v>1</v>
      </c>
    </row>
    <row r="20" spans="1:28" x14ac:dyDescent="0.2">
      <c r="A20" s="2">
        <v>12</v>
      </c>
      <c r="B20" s="2" t="s">
        <v>307</v>
      </c>
      <c r="C20" s="19">
        <f>DATE(88,3,4)</f>
        <v>32206</v>
      </c>
      <c r="D20" s="2">
        <v>1236</v>
      </c>
      <c r="E20" s="2">
        <v>-25.3</v>
      </c>
      <c r="F20" s="2">
        <v>1.1000000000000001</v>
      </c>
      <c r="G20" s="2">
        <v>510</v>
      </c>
      <c r="H20" s="2">
        <v>155</v>
      </c>
      <c r="I20" s="2">
        <v>169</v>
      </c>
      <c r="J20" s="2">
        <v>1783</v>
      </c>
      <c r="K20" s="2">
        <v>353</v>
      </c>
      <c r="L20" s="2">
        <v>341.3</v>
      </c>
      <c r="M20" s="2">
        <v>467</v>
      </c>
      <c r="N20" s="2">
        <v>294</v>
      </c>
      <c r="O20" s="2">
        <v>49</v>
      </c>
      <c r="Q20" s="2">
        <v>222</v>
      </c>
      <c r="R20" s="2">
        <v>149</v>
      </c>
      <c r="S20" s="2">
        <v>1443</v>
      </c>
      <c r="T20" s="2">
        <v>2200</v>
      </c>
      <c r="U20" s="2">
        <v>227</v>
      </c>
      <c r="V20" s="2">
        <v>678</v>
      </c>
      <c r="W20" s="2">
        <v>1340</v>
      </c>
      <c r="X20" s="2">
        <v>40</v>
      </c>
      <c r="Y20" s="2">
        <v>300</v>
      </c>
      <c r="Z20" s="2">
        <v>501</v>
      </c>
      <c r="AB20" s="2" t="s">
        <v>1</v>
      </c>
    </row>
    <row r="21" spans="1:28" x14ac:dyDescent="0.2">
      <c r="A21" s="2">
        <v>13</v>
      </c>
      <c r="B21" s="2" t="s">
        <v>308</v>
      </c>
      <c r="C21" s="19">
        <f>DATE(88,3,5)</f>
        <v>32207</v>
      </c>
      <c r="D21" s="2">
        <v>1344</v>
      </c>
      <c r="E21" s="2">
        <v>-31.1</v>
      </c>
      <c r="F21" s="2">
        <v>1</v>
      </c>
      <c r="G21" s="2">
        <v>500</v>
      </c>
      <c r="H21" s="2">
        <v>158</v>
      </c>
      <c r="I21" s="2">
        <v>166</v>
      </c>
      <c r="J21" s="2">
        <v>1799</v>
      </c>
      <c r="K21" s="2">
        <v>357</v>
      </c>
      <c r="L21" s="2">
        <v>340.6</v>
      </c>
      <c r="M21" s="2">
        <v>433</v>
      </c>
      <c r="N21" s="2">
        <v>285</v>
      </c>
      <c r="O21" s="2">
        <v>45</v>
      </c>
      <c r="P21" s="2">
        <v>26</v>
      </c>
      <c r="Q21" s="2">
        <v>217</v>
      </c>
      <c r="R21" s="2">
        <v>144</v>
      </c>
      <c r="S21" s="2">
        <v>103</v>
      </c>
      <c r="T21" s="2">
        <v>2260</v>
      </c>
      <c r="U21" s="2">
        <v>187</v>
      </c>
      <c r="V21" s="2">
        <v>662</v>
      </c>
      <c r="W21" s="2">
        <v>1230</v>
      </c>
      <c r="X21" s="2">
        <v>33</v>
      </c>
      <c r="Y21" s="2">
        <v>322</v>
      </c>
      <c r="Z21" s="2">
        <v>502</v>
      </c>
      <c r="AB21" s="2" t="s">
        <v>1</v>
      </c>
    </row>
    <row r="22" spans="1:28" x14ac:dyDescent="0.2">
      <c r="A22" s="2">
        <v>14</v>
      </c>
      <c r="B22" s="2" t="s">
        <v>309</v>
      </c>
      <c r="C22" s="19">
        <f>DATE(88,3,6)</f>
        <v>32208</v>
      </c>
      <c r="D22" s="2">
        <v>1136</v>
      </c>
      <c r="E22" s="2">
        <v>-40.200000000000003</v>
      </c>
      <c r="F22" s="2">
        <v>2.8</v>
      </c>
      <c r="G22" s="2">
        <v>516</v>
      </c>
      <c r="H22" s="2">
        <v>169</v>
      </c>
      <c r="I22" s="2">
        <v>180</v>
      </c>
      <c r="J22" s="2">
        <v>1803</v>
      </c>
      <c r="K22" s="2">
        <v>353</v>
      </c>
      <c r="L22" s="2">
        <v>341.8</v>
      </c>
      <c r="M22" s="2">
        <v>446</v>
      </c>
      <c r="N22" s="2">
        <v>279</v>
      </c>
      <c r="O22" s="2">
        <v>44</v>
      </c>
      <c r="P22" s="2">
        <v>29</v>
      </c>
      <c r="Q22" s="2">
        <v>221</v>
      </c>
      <c r="R22" s="2">
        <v>161</v>
      </c>
      <c r="S22" s="2">
        <v>153</v>
      </c>
      <c r="T22" s="2">
        <v>2720</v>
      </c>
      <c r="U22" s="2">
        <v>168</v>
      </c>
      <c r="V22" s="2">
        <v>694</v>
      </c>
      <c r="W22" s="2">
        <v>1450</v>
      </c>
      <c r="X22" s="2">
        <v>43</v>
      </c>
      <c r="Y22" s="2">
        <v>384</v>
      </c>
      <c r="Z22" s="2">
        <v>623</v>
      </c>
      <c r="AB22" s="2" t="s">
        <v>1</v>
      </c>
    </row>
    <row r="23" spans="1:28" x14ac:dyDescent="0.2">
      <c r="A23" s="2">
        <v>15</v>
      </c>
      <c r="B23" s="2" t="s">
        <v>310</v>
      </c>
      <c r="C23" s="19">
        <f>DATE(88,3,7)</f>
        <v>32209</v>
      </c>
      <c r="D23" s="2">
        <v>1137</v>
      </c>
      <c r="E23" s="2">
        <v>-37.6</v>
      </c>
      <c r="F23" s="2">
        <v>1.8</v>
      </c>
      <c r="G23" s="2">
        <v>500</v>
      </c>
      <c r="H23" s="2">
        <v>161</v>
      </c>
      <c r="I23" s="2">
        <v>174</v>
      </c>
      <c r="J23" s="2">
        <v>1803</v>
      </c>
      <c r="K23" s="2">
        <v>353</v>
      </c>
      <c r="L23" s="2">
        <v>342.2</v>
      </c>
      <c r="M23" s="2">
        <v>450</v>
      </c>
      <c r="N23" s="2">
        <v>280</v>
      </c>
      <c r="O23" s="2">
        <v>45</v>
      </c>
      <c r="Q23" s="2">
        <v>208</v>
      </c>
      <c r="R23" s="2">
        <v>96</v>
      </c>
      <c r="S23" s="2">
        <v>86</v>
      </c>
      <c r="T23" s="2">
        <v>2700</v>
      </c>
      <c r="U23" s="2">
        <v>176</v>
      </c>
      <c r="V23" s="2">
        <v>648</v>
      </c>
      <c r="W23" s="2">
        <v>1450</v>
      </c>
      <c r="X23" s="2">
        <v>42</v>
      </c>
      <c r="Y23" s="2">
        <v>387</v>
      </c>
      <c r="Z23" s="2">
        <v>622</v>
      </c>
      <c r="AB23" s="2" t="s">
        <v>1</v>
      </c>
    </row>
    <row r="24" spans="1:28" x14ac:dyDescent="0.2">
      <c r="A24" s="2">
        <v>16</v>
      </c>
      <c r="B24" s="2" t="s">
        <v>311</v>
      </c>
      <c r="C24" s="19">
        <f>DATE(88,3,8)</f>
        <v>32210</v>
      </c>
      <c r="D24" s="2">
        <v>1315</v>
      </c>
      <c r="E24" s="2">
        <v>-28.3</v>
      </c>
      <c r="F24" s="2">
        <v>1.6</v>
      </c>
      <c r="G24" s="2">
        <v>500</v>
      </c>
      <c r="H24" s="2">
        <v>158</v>
      </c>
      <c r="I24" s="2">
        <v>165</v>
      </c>
      <c r="J24" s="2">
        <v>1798</v>
      </c>
      <c r="K24" s="2">
        <v>354</v>
      </c>
      <c r="L24" s="2">
        <v>342.3</v>
      </c>
      <c r="M24" s="2">
        <v>450</v>
      </c>
      <c r="N24" s="2">
        <v>278</v>
      </c>
      <c r="O24" s="2">
        <v>44</v>
      </c>
      <c r="P24" s="2">
        <v>24</v>
      </c>
      <c r="Q24" s="2">
        <v>218</v>
      </c>
      <c r="R24" s="2">
        <v>133</v>
      </c>
      <c r="S24" s="2">
        <v>195</v>
      </c>
      <c r="AB24" s="2" t="s">
        <v>1</v>
      </c>
    </row>
    <row r="25" spans="1:28" x14ac:dyDescent="0.2">
      <c r="A25" s="2">
        <v>17</v>
      </c>
      <c r="B25" s="2" t="s">
        <v>312</v>
      </c>
      <c r="C25" s="19">
        <f>DATE(88,3,9)</f>
        <v>32211</v>
      </c>
      <c r="D25" s="2">
        <v>1250</v>
      </c>
      <c r="E25" s="2">
        <v>-26.3</v>
      </c>
      <c r="F25" s="2">
        <v>2.5</v>
      </c>
      <c r="G25" s="2">
        <v>506</v>
      </c>
      <c r="H25" s="2">
        <v>155</v>
      </c>
      <c r="I25" s="2">
        <v>160</v>
      </c>
      <c r="J25" s="2">
        <v>1796</v>
      </c>
      <c r="K25" s="2">
        <v>351</v>
      </c>
      <c r="L25" s="2">
        <v>342</v>
      </c>
      <c r="M25" s="2">
        <v>447</v>
      </c>
      <c r="N25" s="2">
        <v>280</v>
      </c>
      <c r="O25" s="2">
        <v>44</v>
      </c>
      <c r="Q25" s="2">
        <v>216</v>
      </c>
      <c r="R25" s="2">
        <v>129</v>
      </c>
      <c r="S25" s="2">
        <v>93</v>
      </c>
      <c r="T25" s="2">
        <v>2380</v>
      </c>
      <c r="U25" s="2">
        <v>171</v>
      </c>
      <c r="V25" s="2">
        <v>699</v>
      </c>
      <c r="W25" s="2">
        <v>1350</v>
      </c>
      <c r="X25" s="2">
        <v>18</v>
      </c>
      <c r="Y25" s="2">
        <v>355</v>
      </c>
      <c r="Z25" s="2">
        <v>560</v>
      </c>
      <c r="AB25" s="2" t="s">
        <v>1</v>
      </c>
    </row>
    <row r="26" spans="1:28" x14ac:dyDescent="0.2">
      <c r="A26" s="2">
        <v>18</v>
      </c>
      <c r="B26" s="2" t="s">
        <v>313</v>
      </c>
      <c r="C26" s="19">
        <f>DATE(88,3,10)</f>
        <v>32212</v>
      </c>
      <c r="D26" s="2">
        <v>1322</v>
      </c>
      <c r="E26" s="2">
        <v>-27.2</v>
      </c>
      <c r="F26" s="2">
        <v>1.5</v>
      </c>
      <c r="G26" s="2">
        <v>506</v>
      </c>
      <c r="H26" s="2">
        <v>152</v>
      </c>
      <c r="I26" s="2">
        <v>156</v>
      </c>
      <c r="J26" s="2">
        <v>1787</v>
      </c>
      <c r="K26" s="2">
        <v>353</v>
      </c>
      <c r="L26" s="2">
        <v>343</v>
      </c>
      <c r="M26" s="2">
        <v>449</v>
      </c>
      <c r="N26" s="2">
        <v>278</v>
      </c>
      <c r="O26" s="2">
        <v>44</v>
      </c>
      <c r="P26" s="2">
        <v>27</v>
      </c>
      <c r="Q26" s="2">
        <v>214</v>
      </c>
      <c r="R26" s="2">
        <v>122</v>
      </c>
      <c r="S26" s="2">
        <v>108</v>
      </c>
      <c r="T26" s="2">
        <v>2530</v>
      </c>
      <c r="U26" s="2">
        <v>171</v>
      </c>
      <c r="V26" s="2">
        <v>667</v>
      </c>
      <c r="W26" s="2">
        <v>1250</v>
      </c>
      <c r="X26" s="2">
        <v>38</v>
      </c>
      <c r="Y26" s="2">
        <v>319</v>
      </c>
      <c r="Z26" s="2">
        <v>509</v>
      </c>
      <c r="AB26" s="2" t="s">
        <v>1</v>
      </c>
    </row>
    <row r="27" spans="1:28" x14ac:dyDescent="0.2">
      <c r="A27" s="2">
        <v>19</v>
      </c>
      <c r="B27" s="2" t="s">
        <v>314</v>
      </c>
      <c r="C27" s="19">
        <f>DATE(88,3,11)</f>
        <v>32213</v>
      </c>
      <c r="D27" s="2">
        <v>1248</v>
      </c>
      <c r="E27" s="2">
        <v>-24.5</v>
      </c>
      <c r="F27" s="2">
        <v>2.5</v>
      </c>
      <c r="G27" s="2">
        <v>507</v>
      </c>
      <c r="H27" s="2">
        <v>148</v>
      </c>
      <c r="I27" s="2">
        <v>157</v>
      </c>
      <c r="J27" s="2">
        <v>1782</v>
      </c>
      <c r="K27" s="2">
        <v>354</v>
      </c>
      <c r="L27" s="2">
        <v>342</v>
      </c>
      <c r="M27" s="2">
        <v>447</v>
      </c>
      <c r="N27" s="2">
        <v>276</v>
      </c>
      <c r="O27" s="2">
        <v>44</v>
      </c>
      <c r="Q27" s="2">
        <v>212</v>
      </c>
      <c r="R27" s="2">
        <v>136</v>
      </c>
      <c r="S27" s="2">
        <v>104</v>
      </c>
      <c r="T27" s="2">
        <v>2330</v>
      </c>
      <c r="U27" s="2">
        <v>185</v>
      </c>
      <c r="V27" s="2">
        <v>678</v>
      </c>
      <c r="W27" s="2">
        <v>1180</v>
      </c>
      <c r="X27" s="2">
        <v>49</v>
      </c>
      <c r="Y27" s="2">
        <v>285</v>
      </c>
      <c r="Z27" s="2">
        <v>470</v>
      </c>
      <c r="AB27" s="2" t="s">
        <v>1</v>
      </c>
    </row>
    <row r="28" spans="1:28" x14ac:dyDescent="0.2">
      <c r="A28" s="2">
        <v>20</v>
      </c>
      <c r="B28" s="2" t="s">
        <v>315</v>
      </c>
      <c r="C28" s="19">
        <f>DATE(88,3,13)</f>
        <v>32215</v>
      </c>
      <c r="D28" s="2">
        <v>1341</v>
      </c>
      <c r="E28" s="2">
        <v>-17.3</v>
      </c>
      <c r="F28" s="2">
        <v>3.5</v>
      </c>
      <c r="G28" s="2">
        <v>518</v>
      </c>
      <c r="H28" s="2">
        <v>152</v>
      </c>
      <c r="I28" s="2">
        <v>156</v>
      </c>
      <c r="J28" s="2">
        <v>1784</v>
      </c>
      <c r="K28" s="2">
        <v>355</v>
      </c>
      <c r="L28" s="2">
        <v>341.4</v>
      </c>
      <c r="M28" s="2">
        <v>440</v>
      </c>
      <c r="N28" s="2">
        <v>274</v>
      </c>
      <c r="O28" s="2">
        <v>43</v>
      </c>
      <c r="P28" s="2">
        <v>27</v>
      </c>
      <c r="Q28" s="2">
        <v>213</v>
      </c>
      <c r="R28" s="2">
        <v>161</v>
      </c>
      <c r="S28" s="2">
        <v>102</v>
      </c>
      <c r="T28" s="2">
        <v>2380</v>
      </c>
      <c r="U28" s="2">
        <v>133</v>
      </c>
      <c r="V28" s="2">
        <v>680</v>
      </c>
      <c r="W28" s="2">
        <v>1160</v>
      </c>
      <c r="X28" s="2">
        <v>42</v>
      </c>
      <c r="Y28" s="2">
        <v>279</v>
      </c>
      <c r="Z28" s="2">
        <v>438</v>
      </c>
      <c r="AB28" s="2" t="s">
        <v>1</v>
      </c>
    </row>
    <row r="29" spans="1:28" x14ac:dyDescent="0.2">
      <c r="A29" s="2">
        <v>21</v>
      </c>
      <c r="B29" s="2" t="s">
        <v>316</v>
      </c>
      <c r="C29" s="19">
        <f>DATE(88,3,14)</f>
        <v>32216</v>
      </c>
      <c r="D29" s="2">
        <v>1338</v>
      </c>
      <c r="G29" s="2">
        <v>504</v>
      </c>
      <c r="H29" s="2">
        <v>146</v>
      </c>
      <c r="I29" s="2">
        <v>154</v>
      </c>
      <c r="J29" s="2">
        <v>1783</v>
      </c>
      <c r="K29" s="2">
        <v>356</v>
      </c>
      <c r="L29" s="2">
        <v>328</v>
      </c>
      <c r="M29" s="2">
        <v>451</v>
      </c>
      <c r="N29" s="2">
        <v>275</v>
      </c>
      <c r="O29" s="2">
        <v>43</v>
      </c>
      <c r="P29" s="2">
        <v>26</v>
      </c>
      <c r="Q29" s="2">
        <v>212</v>
      </c>
      <c r="R29" s="2">
        <v>160</v>
      </c>
      <c r="S29" s="2">
        <v>185</v>
      </c>
      <c r="T29" s="2">
        <v>2150</v>
      </c>
      <c r="U29" s="2">
        <v>101</v>
      </c>
      <c r="V29" s="2">
        <v>624</v>
      </c>
      <c r="W29" s="2">
        <v>1060</v>
      </c>
      <c r="X29" s="2">
        <v>22</v>
      </c>
      <c r="Y29" s="2">
        <v>256</v>
      </c>
      <c r="Z29" s="2">
        <v>373</v>
      </c>
      <c r="AB29" s="2" t="s">
        <v>1</v>
      </c>
    </row>
    <row r="30" spans="1:28" x14ac:dyDescent="0.2">
      <c r="A30" s="2">
        <v>22</v>
      </c>
      <c r="B30" s="2" t="s">
        <v>317</v>
      </c>
      <c r="C30" s="19">
        <f>DATE(88,3,15)</f>
        <v>32217</v>
      </c>
      <c r="D30" s="2">
        <v>1043</v>
      </c>
      <c r="G30" s="2">
        <v>507</v>
      </c>
      <c r="H30" s="2">
        <v>151</v>
      </c>
      <c r="I30" s="2">
        <v>154</v>
      </c>
      <c r="J30" s="2">
        <v>1784</v>
      </c>
      <c r="K30" s="2">
        <v>355</v>
      </c>
      <c r="L30" s="2">
        <v>340.6</v>
      </c>
      <c r="M30" s="2">
        <v>440</v>
      </c>
      <c r="N30" s="2">
        <v>273</v>
      </c>
      <c r="O30" s="2">
        <v>43</v>
      </c>
      <c r="P30" s="2">
        <v>29</v>
      </c>
      <c r="Q30" s="2">
        <v>214</v>
      </c>
      <c r="R30" s="2">
        <v>160</v>
      </c>
      <c r="S30" s="2">
        <v>91</v>
      </c>
      <c r="T30" s="2">
        <v>2230</v>
      </c>
      <c r="U30" s="2">
        <v>113</v>
      </c>
      <c r="V30" s="2">
        <v>541</v>
      </c>
      <c r="W30" s="2">
        <v>1010</v>
      </c>
      <c r="X30" s="2">
        <v>37</v>
      </c>
      <c r="Y30" s="2">
        <v>240</v>
      </c>
      <c r="Z30" s="2">
        <v>357</v>
      </c>
      <c r="AB30" s="2" t="s">
        <v>1</v>
      </c>
    </row>
    <row r="31" spans="1:28" x14ac:dyDescent="0.2">
      <c r="A31" s="2">
        <v>23</v>
      </c>
      <c r="B31" s="2" t="s">
        <v>318</v>
      </c>
      <c r="C31" s="19">
        <f>DATE(88,3,16)</f>
        <v>32218</v>
      </c>
      <c r="D31" s="2">
        <v>1027</v>
      </c>
      <c r="I31" s="2">
        <v>167</v>
      </c>
      <c r="J31" s="2">
        <v>1798</v>
      </c>
      <c r="K31" s="2">
        <v>354</v>
      </c>
      <c r="L31" s="2">
        <v>339.6</v>
      </c>
      <c r="M31" s="2">
        <v>426</v>
      </c>
      <c r="N31" s="2">
        <v>260</v>
      </c>
      <c r="O31" s="2">
        <v>38</v>
      </c>
      <c r="P31" s="2">
        <v>28</v>
      </c>
      <c r="Q31" s="2">
        <v>207</v>
      </c>
      <c r="R31" s="2">
        <v>162</v>
      </c>
      <c r="S31" s="2">
        <v>169</v>
      </c>
      <c r="T31" s="2">
        <v>2380</v>
      </c>
      <c r="U31" s="2">
        <v>115</v>
      </c>
      <c r="V31" s="2">
        <v>561</v>
      </c>
      <c r="W31" s="2">
        <v>1230</v>
      </c>
      <c r="X31" s="2">
        <v>19</v>
      </c>
      <c r="Y31" s="2">
        <v>339</v>
      </c>
      <c r="Z31" s="2">
        <v>476</v>
      </c>
      <c r="AB31" s="2" t="s">
        <v>1</v>
      </c>
    </row>
    <row r="32" spans="1:28" x14ac:dyDescent="0.2">
      <c r="A32" s="2">
        <v>24</v>
      </c>
      <c r="B32" s="2" t="s">
        <v>319</v>
      </c>
      <c r="C32" s="19">
        <f>DATE(88,3,17)</f>
        <v>32219</v>
      </c>
      <c r="G32" s="2">
        <v>519</v>
      </c>
      <c r="H32" s="2">
        <v>176</v>
      </c>
      <c r="I32" s="2">
        <v>179</v>
      </c>
      <c r="J32" s="2">
        <v>1820</v>
      </c>
      <c r="K32" s="2">
        <v>354</v>
      </c>
      <c r="L32" s="2">
        <v>341.5</v>
      </c>
      <c r="M32" s="2">
        <v>442</v>
      </c>
      <c r="N32" s="2">
        <v>278</v>
      </c>
      <c r="O32" s="2">
        <v>44</v>
      </c>
      <c r="P32" s="2">
        <v>30</v>
      </c>
      <c r="Q32" s="2">
        <v>218</v>
      </c>
      <c r="R32" s="2">
        <v>126</v>
      </c>
      <c r="S32" s="2">
        <v>82</v>
      </c>
      <c r="T32" s="2">
        <v>2560</v>
      </c>
      <c r="U32" s="2">
        <v>101</v>
      </c>
      <c r="V32" s="2">
        <v>358</v>
      </c>
      <c r="W32" s="2">
        <v>1450</v>
      </c>
      <c r="X32" s="2">
        <v>55</v>
      </c>
      <c r="Y32" s="2">
        <v>389</v>
      </c>
      <c r="Z32" s="2">
        <v>553</v>
      </c>
      <c r="AB32" s="2" t="s">
        <v>1</v>
      </c>
    </row>
    <row r="33" spans="1:28" x14ac:dyDescent="0.2">
      <c r="A33" s="2">
        <v>25</v>
      </c>
      <c r="B33" s="2" t="s">
        <v>320</v>
      </c>
      <c r="C33" s="19">
        <f>DATE(88,3,18)</f>
        <v>32220</v>
      </c>
      <c r="D33" s="2">
        <v>1015</v>
      </c>
      <c r="E33" s="2">
        <v>-41.2</v>
      </c>
      <c r="F33" s="2">
        <v>3.1</v>
      </c>
      <c r="G33" s="2">
        <v>516</v>
      </c>
      <c r="H33" s="2">
        <v>165</v>
      </c>
      <c r="I33" s="2">
        <v>181</v>
      </c>
      <c r="J33" s="2">
        <v>1822</v>
      </c>
      <c r="K33" s="2">
        <v>357</v>
      </c>
      <c r="L33" s="2">
        <v>342.9</v>
      </c>
      <c r="M33" s="2">
        <v>442</v>
      </c>
      <c r="N33" s="2">
        <v>274</v>
      </c>
      <c r="O33" s="2">
        <v>44</v>
      </c>
      <c r="P33" s="2">
        <v>33</v>
      </c>
      <c r="Q33" s="2">
        <v>209</v>
      </c>
      <c r="R33" s="2">
        <v>146</v>
      </c>
      <c r="S33" s="2">
        <v>82</v>
      </c>
      <c r="T33" s="2">
        <v>2560</v>
      </c>
      <c r="U33" s="2">
        <v>37</v>
      </c>
      <c r="V33" s="2">
        <v>139</v>
      </c>
      <c r="W33" s="2">
        <v>1420</v>
      </c>
      <c r="X33" s="2">
        <v>19</v>
      </c>
      <c r="Y33" s="2">
        <v>394</v>
      </c>
      <c r="Z33" s="2">
        <v>558</v>
      </c>
      <c r="AB33" s="2" t="s">
        <v>1</v>
      </c>
    </row>
    <row r="34" spans="1:28" x14ac:dyDescent="0.2">
      <c r="A34" s="2">
        <v>26</v>
      </c>
      <c r="B34" s="2" t="s">
        <v>321</v>
      </c>
      <c r="C34" s="19">
        <f>DATE(88,3,19)</f>
        <v>32221</v>
      </c>
      <c r="D34" s="2">
        <v>1039</v>
      </c>
      <c r="E34" s="2">
        <v>-42</v>
      </c>
      <c r="F34" s="2">
        <v>0.8</v>
      </c>
      <c r="G34" s="2">
        <v>525</v>
      </c>
      <c r="H34" s="2">
        <v>169</v>
      </c>
      <c r="I34" s="2">
        <v>173</v>
      </c>
      <c r="J34" s="2">
        <v>1815</v>
      </c>
      <c r="K34" s="2">
        <v>356</v>
      </c>
      <c r="L34" s="2">
        <v>340.6</v>
      </c>
      <c r="M34" s="2">
        <v>446</v>
      </c>
      <c r="N34" s="2">
        <v>278</v>
      </c>
      <c r="O34" s="2">
        <v>44</v>
      </c>
      <c r="P34" s="2">
        <v>29</v>
      </c>
      <c r="Q34" s="2">
        <v>211</v>
      </c>
      <c r="R34" s="2">
        <v>127</v>
      </c>
      <c r="S34" s="2">
        <v>261</v>
      </c>
      <c r="T34" s="2">
        <v>2530</v>
      </c>
      <c r="U34" s="2">
        <v>106</v>
      </c>
      <c r="V34" s="2">
        <v>423</v>
      </c>
      <c r="W34" s="2">
        <v>1460</v>
      </c>
      <c r="X34" s="2">
        <v>44</v>
      </c>
      <c r="Y34" s="2">
        <v>380</v>
      </c>
      <c r="Z34" s="2">
        <v>560</v>
      </c>
      <c r="AB34" s="2" t="s">
        <v>1</v>
      </c>
    </row>
    <row r="35" spans="1:28" x14ac:dyDescent="0.2">
      <c r="A35" s="2">
        <v>27</v>
      </c>
      <c r="B35" s="2" t="s">
        <v>322</v>
      </c>
      <c r="C35" s="19">
        <f>DATE(88,3,20)</f>
        <v>32222</v>
      </c>
      <c r="D35" s="2">
        <v>1148</v>
      </c>
      <c r="E35" s="2">
        <v>-41.2</v>
      </c>
      <c r="F35" s="2">
        <v>0.7</v>
      </c>
      <c r="G35" s="2">
        <v>525</v>
      </c>
      <c r="H35" s="2">
        <v>162</v>
      </c>
      <c r="I35" s="2">
        <v>178</v>
      </c>
      <c r="J35" s="2">
        <v>1821</v>
      </c>
      <c r="K35" s="2">
        <v>351</v>
      </c>
      <c r="L35" s="2">
        <v>340.3</v>
      </c>
      <c r="M35" s="2">
        <v>448</v>
      </c>
      <c r="N35" s="2">
        <v>281</v>
      </c>
      <c r="O35" s="2">
        <v>43</v>
      </c>
      <c r="P35" s="2">
        <v>29</v>
      </c>
      <c r="Q35" s="2">
        <v>198</v>
      </c>
      <c r="R35" s="2">
        <v>129</v>
      </c>
      <c r="S35" s="2">
        <v>102</v>
      </c>
      <c r="T35" s="2">
        <v>2560</v>
      </c>
      <c r="U35" s="2">
        <v>76</v>
      </c>
      <c r="V35" s="2">
        <v>403</v>
      </c>
      <c r="W35" s="2">
        <v>1440</v>
      </c>
      <c r="X35" s="2">
        <v>19</v>
      </c>
      <c r="Y35" s="2">
        <v>384</v>
      </c>
      <c r="Z35" s="2">
        <v>562</v>
      </c>
      <c r="AB35" s="2" t="s">
        <v>1</v>
      </c>
    </row>
    <row r="36" spans="1:28" x14ac:dyDescent="0.2">
      <c r="A36" s="2">
        <v>28</v>
      </c>
      <c r="B36" s="2" t="s">
        <v>323</v>
      </c>
      <c r="C36" s="19">
        <f>DATE(88,3,21)</f>
        <v>32223</v>
      </c>
      <c r="D36" s="2">
        <v>1117</v>
      </c>
      <c r="E36" s="2">
        <v>-33.700000000000003</v>
      </c>
      <c r="F36" s="2">
        <v>4.9000000000000004</v>
      </c>
      <c r="G36" s="2">
        <v>530</v>
      </c>
      <c r="H36" s="2">
        <v>164</v>
      </c>
      <c r="I36" s="2">
        <v>168</v>
      </c>
      <c r="J36" s="2">
        <v>1810</v>
      </c>
      <c r="K36" s="2">
        <v>356</v>
      </c>
      <c r="L36" s="2">
        <v>340.7</v>
      </c>
      <c r="M36" s="2">
        <v>448</v>
      </c>
      <c r="N36" s="2">
        <v>365</v>
      </c>
      <c r="O36" s="2">
        <v>44</v>
      </c>
      <c r="P36" s="2">
        <v>28</v>
      </c>
      <c r="Q36" s="2">
        <v>216</v>
      </c>
      <c r="R36" s="2">
        <v>155</v>
      </c>
      <c r="S36" s="2">
        <v>206</v>
      </c>
      <c r="T36" s="2">
        <v>2530</v>
      </c>
      <c r="U36" s="2">
        <v>101</v>
      </c>
      <c r="V36" s="2">
        <v>522</v>
      </c>
      <c r="W36" s="2">
        <v>1450</v>
      </c>
      <c r="X36" s="8" t="s">
        <v>324</v>
      </c>
      <c r="Y36" s="2">
        <v>381</v>
      </c>
      <c r="Z36" s="2">
        <v>556</v>
      </c>
      <c r="AB36" s="2" t="s">
        <v>1</v>
      </c>
    </row>
    <row r="37" spans="1:28" x14ac:dyDescent="0.2">
      <c r="A37" s="2">
        <v>29</v>
      </c>
      <c r="B37" s="2" t="s">
        <v>325</v>
      </c>
      <c r="C37" s="19">
        <f>DATE(88,3,24)</f>
        <v>32226</v>
      </c>
      <c r="D37" s="2">
        <v>1527</v>
      </c>
      <c r="E37" s="2">
        <v>-34.200000000000003</v>
      </c>
      <c r="F37" s="2">
        <v>1</v>
      </c>
      <c r="G37" s="2">
        <v>515</v>
      </c>
      <c r="H37" s="2">
        <v>169</v>
      </c>
      <c r="I37" s="2">
        <v>167</v>
      </c>
      <c r="J37" s="2">
        <v>1807</v>
      </c>
      <c r="K37" s="2">
        <v>360</v>
      </c>
      <c r="L37" s="2">
        <v>340.9</v>
      </c>
      <c r="M37" s="2">
        <v>453</v>
      </c>
      <c r="N37" s="2">
        <v>279</v>
      </c>
      <c r="O37" s="2">
        <v>44</v>
      </c>
      <c r="P37" s="2">
        <v>28</v>
      </c>
      <c r="Q37" s="2">
        <v>223</v>
      </c>
      <c r="R37" s="2">
        <v>158</v>
      </c>
      <c r="S37" s="2">
        <v>138</v>
      </c>
      <c r="T37" s="2">
        <v>2770</v>
      </c>
      <c r="U37" s="2">
        <v>144</v>
      </c>
      <c r="V37" s="2">
        <v>711</v>
      </c>
      <c r="W37" s="2">
        <v>1450</v>
      </c>
      <c r="X37" s="2">
        <v>22</v>
      </c>
      <c r="Y37" s="2">
        <v>358</v>
      </c>
      <c r="Z37" s="2">
        <v>546</v>
      </c>
      <c r="AB37" s="2" t="s">
        <v>1</v>
      </c>
    </row>
    <row r="38" spans="1:28" x14ac:dyDescent="0.2">
      <c r="A38" s="2">
        <v>30</v>
      </c>
      <c r="B38" s="2" t="s">
        <v>326</v>
      </c>
      <c r="C38" s="19">
        <f>DATE(88,3,25)</f>
        <v>32227</v>
      </c>
      <c r="D38" s="2">
        <v>935</v>
      </c>
      <c r="E38" s="2">
        <v>-27</v>
      </c>
      <c r="F38" s="2">
        <v>11.2</v>
      </c>
      <c r="G38" s="2">
        <v>526</v>
      </c>
      <c r="H38" s="2">
        <v>167</v>
      </c>
      <c r="I38" s="2">
        <v>179</v>
      </c>
      <c r="J38" s="2">
        <v>1806</v>
      </c>
      <c r="K38" s="2">
        <v>354</v>
      </c>
      <c r="L38" s="2">
        <v>341.6</v>
      </c>
      <c r="M38" s="2">
        <v>449</v>
      </c>
      <c r="N38" s="2">
        <v>278</v>
      </c>
      <c r="O38" s="2">
        <v>44</v>
      </c>
      <c r="P38" s="2">
        <v>30</v>
      </c>
      <c r="Q38" s="2">
        <v>221</v>
      </c>
      <c r="R38" s="2">
        <v>164</v>
      </c>
      <c r="S38" s="2">
        <v>142</v>
      </c>
      <c r="T38" s="2">
        <v>2600</v>
      </c>
      <c r="U38" s="2">
        <v>150</v>
      </c>
      <c r="V38" s="2">
        <v>751</v>
      </c>
      <c r="W38" s="2">
        <v>1420</v>
      </c>
      <c r="X38" s="2">
        <v>19</v>
      </c>
      <c r="Y38" s="2">
        <v>366</v>
      </c>
      <c r="Z38" s="2">
        <v>562</v>
      </c>
      <c r="AB38" s="2" t="s">
        <v>1</v>
      </c>
    </row>
    <row r="39" spans="1:28" x14ac:dyDescent="0.2">
      <c r="A39" s="2">
        <v>32</v>
      </c>
      <c r="B39" s="2" t="s">
        <v>327</v>
      </c>
      <c r="C39" s="19">
        <f>DATE(88,3,26)</f>
        <v>32228</v>
      </c>
      <c r="D39" s="2">
        <v>1225</v>
      </c>
      <c r="E39" s="2">
        <v>-24.2</v>
      </c>
      <c r="F39" s="2">
        <v>10.4</v>
      </c>
      <c r="G39" s="2">
        <v>533</v>
      </c>
      <c r="H39" s="2">
        <v>193</v>
      </c>
      <c r="I39" s="2">
        <v>203</v>
      </c>
      <c r="J39" s="2">
        <v>1828</v>
      </c>
      <c r="K39" s="2">
        <v>353</v>
      </c>
      <c r="L39" s="2">
        <v>341.5</v>
      </c>
      <c r="M39" s="2">
        <v>447</v>
      </c>
      <c r="N39" s="2">
        <v>280</v>
      </c>
      <c r="O39" s="2">
        <v>45</v>
      </c>
      <c r="P39" s="2">
        <v>33</v>
      </c>
      <c r="Q39" s="2">
        <v>224</v>
      </c>
      <c r="R39" s="2">
        <v>165</v>
      </c>
      <c r="S39" s="2">
        <v>172</v>
      </c>
      <c r="T39" s="2">
        <v>3000</v>
      </c>
      <c r="U39" s="2">
        <v>218</v>
      </c>
      <c r="V39" s="2">
        <v>909</v>
      </c>
      <c r="W39" s="2">
        <v>1900</v>
      </c>
      <c r="X39" s="2">
        <v>38</v>
      </c>
      <c r="Y39" s="2">
        <v>475</v>
      </c>
      <c r="Z39" s="2">
        <v>746</v>
      </c>
      <c r="AB39" s="2" t="s">
        <v>1</v>
      </c>
    </row>
    <row r="40" spans="1:28" x14ac:dyDescent="0.2">
      <c r="A40" s="2">
        <v>33</v>
      </c>
      <c r="B40" s="2" t="s">
        <v>328</v>
      </c>
      <c r="C40" s="19">
        <f>DATE(88,3,27)</f>
        <v>32229</v>
      </c>
      <c r="D40" s="2">
        <v>1249</v>
      </c>
      <c r="E40" s="2">
        <v>-22.9</v>
      </c>
      <c r="F40" s="2">
        <v>9</v>
      </c>
      <c r="G40" s="2">
        <v>532</v>
      </c>
      <c r="H40" s="2">
        <v>184</v>
      </c>
      <c r="I40" s="2">
        <v>192</v>
      </c>
      <c r="J40" s="2">
        <v>1812</v>
      </c>
      <c r="K40" s="2">
        <v>358</v>
      </c>
      <c r="L40" s="2">
        <v>340.5</v>
      </c>
      <c r="M40" s="2">
        <v>454</v>
      </c>
      <c r="N40" s="2">
        <v>280</v>
      </c>
      <c r="O40" s="2">
        <v>45</v>
      </c>
      <c r="P40" s="2">
        <v>35</v>
      </c>
      <c r="Q40" s="2">
        <v>225</v>
      </c>
      <c r="R40" s="2">
        <v>164</v>
      </c>
      <c r="S40" s="2">
        <v>127</v>
      </c>
      <c r="T40" s="2">
        <v>2850</v>
      </c>
      <c r="U40" s="2">
        <v>202</v>
      </c>
      <c r="V40" s="2">
        <v>899</v>
      </c>
      <c r="W40" s="2">
        <v>1730</v>
      </c>
      <c r="X40" s="2">
        <v>27</v>
      </c>
      <c r="Y40" s="2">
        <v>429</v>
      </c>
      <c r="Z40" s="2">
        <v>685</v>
      </c>
      <c r="AB40" s="2" t="s">
        <v>1</v>
      </c>
    </row>
    <row r="41" spans="1:28" x14ac:dyDescent="0.2">
      <c r="A41" s="2">
        <v>35</v>
      </c>
      <c r="B41" s="2" t="s">
        <v>329</v>
      </c>
      <c r="C41" s="19">
        <f>DATE(88,3,28)</f>
        <v>32230</v>
      </c>
      <c r="D41" s="2">
        <v>1026</v>
      </c>
      <c r="E41" s="2">
        <v>-22.8</v>
      </c>
      <c r="F41" s="2">
        <v>14</v>
      </c>
      <c r="G41" s="2">
        <v>525</v>
      </c>
      <c r="H41" s="2">
        <v>192</v>
      </c>
      <c r="I41" s="2">
        <v>196</v>
      </c>
      <c r="J41" s="2">
        <v>1824</v>
      </c>
      <c r="K41" s="2">
        <v>357</v>
      </c>
      <c r="L41" s="2">
        <v>342.5</v>
      </c>
      <c r="M41" s="2">
        <v>453</v>
      </c>
      <c r="N41" s="2">
        <v>282</v>
      </c>
      <c r="O41" s="2">
        <v>45</v>
      </c>
      <c r="P41" s="2">
        <v>31</v>
      </c>
      <c r="Q41" s="2">
        <v>228</v>
      </c>
      <c r="R41" s="2">
        <v>171</v>
      </c>
      <c r="S41" s="2">
        <v>148</v>
      </c>
      <c r="T41" s="2">
        <v>3140</v>
      </c>
      <c r="U41" s="2">
        <v>236</v>
      </c>
      <c r="V41" s="2">
        <v>919</v>
      </c>
      <c r="W41" s="2">
        <v>1890</v>
      </c>
      <c r="X41" s="2">
        <v>44</v>
      </c>
      <c r="Y41" s="2">
        <v>448</v>
      </c>
      <c r="Z41" s="2">
        <v>700</v>
      </c>
      <c r="AB41" s="2" t="s">
        <v>1</v>
      </c>
    </row>
    <row r="42" spans="1:28" x14ac:dyDescent="0.2">
      <c r="A42" s="2">
        <v>36</v>
      </c>
      <c r="B42" s="2" t="s">
        <v>330</v>
      </c>
      <c r="C42" s="19">
        <f>DATE(88,3,29)</f>
        <v>32231</v>
      </c>
      <c r="D42" s="2">
        <v>1204</v>
      </c>
      <c r="E42" s="2">
        <v>-28.3</v>
      </c>
      <c r="F42" s="2">
        <v>0.6</v>
      </c>
      <c r="G42" s="2">
        <v>525</v>
      </c>
      <c r="H42" s="2">
        <v>189</v>
      </c>
      <c r="I42" s="2">
        <v>198</v>
      </c>
      <c r="J42" s="2">
        <v>1821</v>
      </c>
      <c r="K42" s="2">
        <v>356</v>
      </c>
      <c r="L42" s="2">
        <v>341.8</v>
      </c>
      <c r="M42" s="2">
        <v>449</v>
      </c>
      <c r="N42" s="2">
        <v>281</v>
      </c>
      <c r="O42" s="2">
        <v>45</v>
      </c>
      <c r="P42" s="2">
        <v>35</v>
      </c>
      <c r="Q42" s="2">
        <v>226</v>
      </c>
      <c r="R42" s="2">
        <v>158</v>
      </c>
      <c r="S42" s="2">
        <v>243</v>
      </c>
      <c r="AB42" s="2" t="s">
        <v>1</v>
      </c>
    </row>
    <row r="43" spans="1:28" x14ac:dyDescent="0.2">
      <c r="A43" s="2">
        <v>37</v>
      </c>
      <c r="B43" s="2" t="s">
        <v>331</v>
      </c>
      <c r="C43" s="19">
        <f>DATE(88,3,29)</f>
        <v>32231</v>
      </c>
      <c r="D43" s="2">
        <v>1226</v>
      </c>
      <c r="E43" s="2">
        <v>-28.3</v>
      </c>
      <c r="F43" s="2">
        <v>0.6</v>
      </c>
      <c r="G43" s="2">
        <v>533</v>
      </c>
      <c r="H43" s="2">
        <v>190</v>
      </c>
      <c r="I43" s="2">
        <v>198</v>
      </c>
      <c r="J43" s="2">
        <v>1821</v>
      </c>
      <c r="K43" s="2">
        <v>356</v>
      </c>
      <c r="L43" s="2">
        <v>341.8</v>
      </c>
      <c r="M43" s="2">
        <v>456</v>
      </c>
      <c r="N43" s="2">
        <v>279</v>
      </c>
      <c r="O43" s="2">
        <v>45</v>
      </c>
      <c r="P43" s="2">
        <v>34</v>
      </c>
      <c r="Q43" s="2">
        <v>218</v>
      </c>
      <c r="R43" s="2">
        <v>155</v>
      </c>
      <c r="S43" s="2">
        <v>178</v>
      </c>
      <c r="AB43" s="2" t="s">
        <v>1</v>
      </c>
    </row>
    <row r="44" spans="1:28" x14ac:dyDescent="0.2">
      <c r="A44" s="2">
        <v>38</v>
      </c>
      <c r="B44" s="2" t="s">
        <v>332</v>
      </c>
      <c r="C44" s="19">
        <f>DATE(88,3,30)</f>
        <v>32232</v>
      </c>
      <c r="D44" s="2">
        <v>1025</v>
      </c>
      <c r="E44" s="2">
        <v>-26.9</v>
      </c>
      <c r="F44" s="2">
        <v>1.6</v>
      </c>
      <c r="G44" s="2">
        <v>516</v>
      </c>
      <c r="H44" s="2">
        <v>191</v>
      </c>
      <c r="I44" s="2">
        <v>195</v>
      </c>
      <c r="J44" s="2">
        <v>1819</v>
      </c>
      <c r="K44" s="2">
        <v>361</v>
      </c>
      <c r="L44" s="2">
        <v>342.5</v>
      </c>
      <c r="M44" s="2">
        <v>466</v>
      </c>
      <c r="N44" s="2">
        <v>283</v>
      </c>
      <c r="O44" s="2">
        <v>45</v>
      </c>
      <c r="P44" s="2">
        <v>32</v>
      </c>
      <c r="Q44" s="2">
        <v>230</v>
      </c>
      <c r="R44" s="2">
        <v>154</v>
      </c>
      <c r="S44" s="2">
        <v>115</v>
      </c>
      <c r="T44" s="2">
        <v>2920</v>
      </c>
      <c r="U44" s="2">
        <v>248</v>
      </c>
      <c r="V44" s="2">
        <v>883</v>
      </c>
      <c r="W44" s="2">
        <v>1810</v>
      </c>
      <c r="X44" s="2">
        <v>29</v>
      </c>
      <c r="Y44" s="2">
        <v>451</v>
      </c>
      <c r="Z44" s="2">
        <v>740</v>
      </c>
      <c r="AB44" s="2" t="s">
        <v>1</v>
      </c>
    </row>
    <row r="45" spans="1:28" x14ac:dyDescent="0.2">
      <c r="A45" s="2">
        <v>39</v>
      </c>
      <c r="B45" s="2" t="s">
        <v>333</v>
      </c>
      <c r="C45" s="19">
        <f>DATE(88,3,30)</f>
        <v>32232</v>
      </c>
      <c r="D45" s="2">
        <v>1151</v>
      </c>
      <c r="E45" s="2">
        <v>-26.9</v>
      </c>
      <c r="F45" s="2">
        <v>1.6</v>
      </c>
      <c r="G45" s="2">
        <v>536</v>
      </c>
      <c r="H45" s="2">
        <v>188</v>
      </c>
      <c r="I45" s="2">
        <v>197</v>
      </c>
      <c r="J45" s="2">
        <v>1820</v>
      </c>
      <c r="K45" s="2">
        <v>352</v>
      </c>
      <c r="N45" s="2">
        <v>282</v>
      </c>
      <c r="O45" s="2">
        <v>46</v>
      </c>
      <c r="P45" s="2">
        <v>33</v>
      </c>
      <c r="Q45" s="2">
        <v>226</v>
      </c>
      <c r="R45" s="2">
        <v>170</v>
      </c>
      <c r="S45" s="2">
        <v>134</v>
      </c>
      <c r="T45" s="2">
        <v>2800</v>
      </c>
      <c r="U45" s="2">
        <v>206</v>
      </c>
      <c r="V45" s="2">
        <v>827</v>
      </c>
      <c r="W45" s="2">
        <v>1690</v>
      </c>
      <c r="X45" s="2">
        <v>37</v>
      </c>
      <c r="Y45" s="2">
        <v>415</v>
      </c>
      <c r="Z45" s="2">
        <v>625</v>
      </c>
      <c r="AB45" s="2" t="s">
        <v>1</v>
      </c>
    </row>
    <row r="46" spans="1:28" x14ac:dyDescent="0.2">
      <c r="A46" s="2">
        <v>40</v>
      </c>
      <c r="B46" s="2" t="s">
        <v>334</v>
      </c>
      <c r="C46" s="19">
        <f>DATE(88,3,31)</f>
        <v>32233</v>
      </c>
      <c r="D46" s="2">
        <v>1027</v>
      </c>
      <c r="E46" s="2">
        <v>-30.9</v>
      </c>
      <c r="F46" s="2">
        <v>0.4</v>
      </c>
      <c r="G46" s="2">
        <v>525</v>
      </c>
      <c r="H46" s="2">
        <v>188</v>
      </c>
      <c r="I46" s="2">
        <v>200</v>
      </c>
      <c r="J46" s="2">
        <v>1813</v>
      </c>
      <c r="K46" s="2">
        <v>357</v>
      </c>
      <c r="L46" s="2">
        <v>345.9</v>
      </c>
      <c r="M46" s="2">
        <v>456</v>
      </c>
      <c r="N46" s="2">
        <v>275</v>
      </c>
      <c r="O46" s="2">
        <v>45</v>
      </c>
      <c r="P46" s="2">
        <v>31</v>
      </c>
      <c r="Q46" s="2">
        <v>225</v>
      </c>
      <c r="R46" s="2">
        <v>169</v>
      </c>
      <c r="S46" s="2">
        <v>119</v>
      </c>
      <c r="T46" s="2">
        <v>2790</v>
      </c>
      <c r="U46" s="2">
        <v>186</v>
      </c>
      <c r="V46" s="2">
        <v>879</v>
      </c>
      <c r="W46" s="2">
        <v>1710</v>
      </c>
      <c r="X46" s="2">
        <v>41</v>
      </c>
      <c r="Y46" s="2">
        <v>421</v>
      </c>
      <c r="Z46" s="2">
        <v>653</v>
      </c>
    </row>
    <row r="47" spans="1:28" x14ac:dyDescent="0.2">
      <c r="A47" s="2">
        <v>41</v>
      </c>
      <c r="B47" s="2" t="s">
        <v>335</v>
      </c>
      <c r="C47" s="19">
        <f>DATE(88,4,1)</f>
        <v>32234</v>
      </c>
      <c r="D47" s="2">
        <v>1235</v>
      </c>
      <c r="E47" s="2">
        <v>-35.6</v>
      </c>
      <c r="F47" s="2">
        <v>1.7</v>
      </c>
      <c r="G47" s="2">
        <v>533</v>
      </c>
      <c r="H47" s="2">
        <v>195</v>
      </c>
      <c r="I47" s="2">
        <v>199</v>
      </c>
      <c r="J47" s="2">
        <v>1824</v>
      </c>
      <c r="K47" s="2">
        <v>354</v>
      </c>
      <c r="L47" s="2">
        <v>343.2</v>
      </c>
      <c r="M47" s="2">
        <v>447</v>
      </c>
      <c r="N47" s="2">
        <v>276</v>
      </c>
      <c r="O47" s="2">
        <v>45</v>
      </c>
      <c r="P47" s="2">
        <v>35</v>
      </c>
      <c r="Q47" s="2">
        <v>226</v>
      </c>
      <c r="R47" s="2">
        <v>170</v>
      </c>
      <c r="S47" s="2">
        <v>109</v>
      </c>
      <c r="T47" s="2">
        <v>2650</v>
      </c>
      <c r="U47" s="2">
        <v>131</v>
      </c>
      <c r="V47" s="2">
        <v>538</v>
      </c>
      <c r="W47" s="2">
        <v>1350</v>
      </c>
      <c r="X47" s="2">
        <v>39</v>
      </c>
      <c r="Y47" s="2">
        <v>335</v>
      </c>
      <c r="Z47" s="2">
        <v>454</v>
      </c>
    </row>
    <row r="48" spans="1:28" x14ac:dyDescent="0.2">
      <c r="A48" s="2">
        <v>42</v>
      </c>
      <c r="B48" s="2" t="s">
        <v>336</v>
      </c>
      <c r="C48" s="19">
        <f>DATE(88,4,1)</f>
        <v>32234</v>
      </c>
      <c r="D48" s="2">
        <v>1423</v>
      </c>
      <c r="E48" s="2">
        <v>-38.299999999999997</v>
      </c>
      <c r="F48" s="2">
        <v>0.7</v>
      </c>
      <c r="G48" s="2">
        <v>515</v>
      </c>
      <c r="H48" s="2">
        <v>196</v>
      </c>
      <c r="I48" s="2">
        <v>209</v>
      </c>
      <c r="J48" s="2">
        <v>1832</v>
      </c>
      <c r="K48" s="2">
        <v>359</v>
      </c>
      <c r="L48" s="2">
        <v>345.6</v>
      </c>
      <c r="M48" s="2">
        <v>450</v>
      </c>
      <c r="N48" s="2">
        <v>277</v>
      </c>
      <c r="O48" s="2">
        <v>46</v>
      </c>
      <c r="P48" s="2">
        <v>37</v>
      </c>
      <c r="Q48" s="2">
        <v>226</v>
      </c>
      <c r="R48" s="2">
        <v>159</v>
      </c>
      <c r="S48" s="2">
        <v>191</v>
      </c>
      <c r="T48" s="2">
        <v>2650</v>
      </c>
      <c r="U48" s="2">
        <v>136</v>
      </c>
      <c r="V48" s="2">
        <v>470</v>
      </c>
      <c r="W48" s="2">
        <v>1370</v>
      </c>
      <c r="X48" s="2">
        <v>44</v>
      </c>
      <c r="Y48" s="2">
        <v>347</v>
      </c>
      <c r="Z48" s="2">
        <v>480</v>
      </c>
    </row>
    <row r="49" spans="1:26" x14ac:dyDescent="0.2">
      <c r="A49" s="2">
        <v>43</v>
      </c>
      <c r="B49" s="2" t="s">
        <v>337</v>
      </c>
      <c r="C49" s="19">
        <f>DATE(88,4,3)</f>
        <v>32236</v>
      </c>
      <c r="D49" s="2">
        <v>1358</v>
      </c>
      <c r="E49" s="2">
        <v>-32.4</v>
      </c>
      <c r="F49" s="2">
        <v>2.2999999999999998</v>
      </c>
      <c r="G49" s="2">
        <v>550</v>
      </c>
      <c r="H49" s="2">
        <v>178</v>
      </c>
      <c r="I49" s="2">
        <v>192</v>
      </c>
      <c r="J49" s="2">
        <v>1825</v>
      </c>
      <c r="K49" s="2">
        <v>359</v>
      </c>
      <c r="L49" s="2">
        <v>344</v>
      </c>
      <c r="M49" s="2">
        <v>452</v>
      </c>
      <c r="N49" s="2">
        <v>282</v>
      </c>
      <c r="O49" s="2">
        <v>46</v>
      </c>
      <c r="P49" s="2">
        <v>31</v>
      </c>
      <c r="Q49" s="2">
        <v>227</v>
      </c>
      <c r="R49" s="2">
        <v>168</v>
      </c>
      <c r="S49" s="2">
        <v>85</v>
      </c>
      <c r="T49" s="2">
        <v>2370</v>
      </c>
      <c r="U49" s="2">
        <v>38</v>
      </c>
      <c r="V49" s="2">
        <v>290</v>
      </c>
      <c r="W49" s="2">
        <v>1020</v>
      </c>
      <c r="X49" s="2">
        <v>22</v>
      </c>
      <c r="Y49" s="2">
        <v>263</v>
      </c>
      <c r="Z49" s="2">
        <v>340</v>
      </c>
    </row>
    <row r="50" spans="1:26" x14ac:dyDescent="0.2">
      <c r="A50" s="2">
        <v>44</v>
      </c>
      <c r="B50" s="2" t="s">
        <v>338</v>
      </c>
      <c r="C50" s="19">
        <f>DATE(88,4,4)</f>
        <v>32237</v>
      </c>
      <c r="D50" s="2">
        <v>1327</v>
      </c>
      <c r="E50" s="2">
        <v>-32.200000000000003</v>
      </c>
      <c r="F50" s="2">
        <v>1.3</v>
      </c>
      <c r="G50" s="2">
        <v>531</v>
      </c>
      <c r="H50" s="2">
        <v>177</v>
      </c>
      <c r="I50" s="2">
        <v>195</v>
      </c>
      <c r="J50" s="2">
        <v>1820</v>
      </c>
      <c r="K50" s="2">
        <v>356</v>
      </c>
      <c r="L50" s="2">
        <v>342.4</v>
      </c>
      <c r="M50" s="2">
        <v>447</v>
      </c>
      <c r="N50" s="2">
        <v>282</v>
      </c>
      <c r="O50" s="2">
        <v>46</v>
      </c>
      <c r="P50" s="2">
        <v>31</v>
      </c>
      <c r="Q50" s="2">
        <v>225</v>
      </c>
      <c r="R50" s="2">
        <v>163</v>
      </c>
      <c r="S50" s="2">
        <v>69</v>
      </c>
      <c r="T50" s="2">
        <v>2430</v>
      </c>
      <c r="U50" s="2">
        <v>76</v>
      </c>
      <c r="V50" s="2">
        <v>442</v>
      </c>
      <c r="W50" s="2">
        <v>1240</v>
      </c>
      <c r="X50" s="2">
        <v>21</v>
      </c>
      <c r="Y50" s="2">
        <v>309</v>
      </c>
      <c r="Z50" s="2">
        <v>417</v>
      </c>
    </row>
    <row r="51" spans="1:26" x14ac:dyDescent="0.2">
      <c r="A51" s="2">
        <v>45</v>
      </c>
      <c r="B51" s="2" t="s">
        <v>339</v>
      </c>
      <c r="C51" s="19">
        <f>DATE(88,4,5)</f>
        <v>32238</v>
      </c>
      <c r="D51" s="2">
        <v>1002</v>
      </c>
      <c r="E51" s="2">
        <v>-24.4</v>
      </c>
      <c r="F51" s="2">
        <v>0.8</v>
      </c>
      <c r="G51" s="2">
        <v>548</v>
      </c>
      <c r="H51" s="2">
        <v>174</v>
      </c>
      <c r="I51" s="2">
        <v>187</v>
      </c>
      <c r="J51" s="2">
        <v>1808</v>
      </c>
      <c r="K51" s="2">
        <v>359</v>
      </c>
      <c r="L51" s="2">
        <v>343.7</v>
      </c>
      <c r="M51" s="2">
        <v>445</v>
      </c>
      <c r="N51" s="2">
        <v>280</v>
      </c>
      <c r="O51" s="2">
        <v>46</v>
      </c>
      <c r="P51" s="2">
        <v>31</v>
      </c>
      <c r="Q51" s="2">
        <v>227</v>
      </c>
      <c r="R51" s="2">
        <v>161</v>
      </c>
      <c r="S51" s="2">
        <v>108</v>
      </c>
      <c r="T51" s="2">
        <v>2670</v>
      </c>
      <c r="U51" s="2">
        <v>108</v>
      </c>
      <c r="V51" s="2">
        <v>768</v>
      </c>
      <c r="W51" s="2">
        <v>1400</v>
      </c>
      <c r="X51" s="2">
        <v>19</v>
      </c>
      <c r="Y51" s="2">
        <v>356</v>
      </c>
      <c r="Z51" s="2">
        <v>548</v>
      </c>
    </row>
    <row r="52" spans="1:26" x14ac:dyDescent="0.2">
      <c r="A52" s="2">
        <v>46</v>
      </c>
      <c r="B52" s="2" t="s">
        <v>340</v>
      </c>
      <c r="C52" s="19">
        <f>DATE(88,4,5)</f>
        <v>32238</v>
      </c>
      <c r="D52" s="2">
        <v>1430</v>
      </c>
      <c r="E52" s="2">
        <v>-30.2</v>
      </c>
      <c r="F52" s="2">
        <v>2.2000000000000002</v>
      </c>
      <c r="G52" s="2">
        <v>526</v>
      </c>
      <c r="H52" s="2">
        <v>177</v>
      </c>
      <c r="I52" s="2">
        <v>194</v>
      </c>
      <c r="J52" s="2">
        <v>1812</v>
      </c>
      <c r="K52" s="2">
        <v>358</v>
      </c>
      <c r="L52" s="2">
        <v>342.7</v>
      </c>
      <c r="M52" s="2">
        <v>452</v>
      </c>
      <c r="N52" s="2">
        <v>282</v>
      </c>
      <c r="O52" s="2">
        <v>45</v>
      </c>
      <c r="P52" s="2">
        <v>31</v>
      </c>
      <c r="Q52" s="2">
        <v>226</v>
      </c>
      <c r="R52" s="2">
        <v>149</v>
      </c>
      <c r="S52" s="2">
        <v>89</v>
      </c>
      <c r="T52" s="2">
        <v>2760</v>
      </c>
      <c r="U52" s="2">
        <v>126</v>
      </c>
      <c r="V52" s="2">
        <v>651</v>
      </c>
      <c r="W52" s="2">
        <v>1420</v>
      </c>
      <c r="X52" s="2">
        <v>22</v>
      </c>
      <c r="Y52" s="2">
        <v>326</v>
      </c>
      <c r="Z52" s="2">
        <v>480</v>
      </c>
    </row>
    <row r="53" spans="1:26" x14ac:dyDescent="0.2">
      <c r="A53" s="2">
        <v>47</v>
      </c>
      <c r="B53" s="2" t="s">
        <v>341</v>
      </c>
      <c r="C53" s="19">
        <f>DATE(88,4,6)</f>
        <v>32239</v>
      </c>
      <c r="D53" s="2">
        <v>1245</v>
      </c>
      <c r="E53" s="2">
        <v>-29.7</v>
      </c>
      <c r="F53" s="2">
        <v>1.5</v>
      </c>
      <c r="G53" s="2">
        <v>524</v>
      </c>
      <c r="H53" s="2">
        <v>177</v>
      </c>
      <c r="I53" s="2">
        <v>186</v>
      </c>
      <c r="J53" s="2">
        <v>1814</v>
      </c>
      <c r="K53" s="2">
        <v>356</v>
      </c>
      <c r="L53" s="2">
        <v>342</v>
      </c>
      <c r="M53" s="2">
        <v>448</v>
      </c>
      <c r="N53" s="2">
        <v>280</v>
      </c>
      <c r="O53" s="2">
        <v>46</v>
      </c>
      <c r="P53" s="2">
        <v>32</v>
      </c>
      <c r="Q53" s="2">
        <v>226</v>
      </c>
      <c r="R53" s="2">
        <v>164</v>
      </c>
      <c r="S53" s="2">
        <v>317</v>
      </c>
      <c r="T53" s="2">
        <v>2920</v>
      </c>
      <c r="U53" s="2">
        <v>148</v>
      </c>
      <c r="V53" s="2">
        <v>813</v>
      </c>
      <c r="W53" s="2">
        <v>1490</v>
      </c>
      <c r="X53" s="2">
        <v>44</v>
      </c>
      <c r="Y53" s="2">
        <v>362</v>
      </c>
      <c r="Z53" s="2">
        <v>554</v>
      </c>
    </row>
    <row r="54" spans="1:26" x14ac:dyDescent="0.2">
      <c r="A54" s="2">
        <v>48</v>
      </c>
      <c r="B54" s="2" t="s">
        <v>342</v>
      </c>
      <c r="C54" s="19">
        <f>DATE(88,4,7)</f>
        <v>32240</v>
      </c>
      <c r="D54" s="2">
        <v>1127</v>
      </c>
      <c r="E54" s="2">
        <v>-23.3</v>
      </c>
      <c r="F54" s="2">
        <v>10.1</v>
      </c>
      <c r="G54" s="2">
        <v>523</v>
      </c>
      <c r="H54" s="2">
        <v>180</v>
      </c>
      <c r="I54" s="2">
        <v>196</v>
      </c>
      <c r="J54" s="2">
        <v>1812</v>
      </c>
      <c r="K54" s="2">
        <v>355</v>
      </c>
      <c r="N54" s="2">
        <v>284</v>
      </c>
      <c r="O54" s="2">
        <v>45</v>
      </c>
      <c r="P54" s="2">
        <v>33</v>
      </c>
      <c r="Q54" s="2">
        <v>226</v>
      </c>
      <c r="R54" s="2">
        <v>169</v>
      </c>
      <c r="S54" s="2">
        <v>105</v>
      </c>
      <c r="T54" s="2">
        <v>2990</v>
      </c>
      <c r="U54" s="2">
        <v>166</v>
      </c>
      <c r="V54" s="2">
        <v>909</v>
      </c>
      <c r="W54" s="2">
        <v>1600</v>
      </c>
      <c r="X54" s="2">
        <v>37</v>
      </c>
      <c r="Y54" s="2">
        <v>373</v>
      </c>
      <c r="Z54" s="2">
        <v>596</v>
      </c>
    </row>
    <row r="55" spans="1:26" x14ac:dyDescent="0.2">
      <c r="A55" s="2">
        <v>49</v>
      </c>
      <c r="B55" s="2" t="s">
        <v>343</v>
      </c>
      <c r="C55" s="19">
        <f>DATE(88,4,9)</f>
        <v>32242</v>
      </c>
      <c r="D55" s="2">
        <v>1020</v>
      </c>
      <c r="E55" s="2">
        <v>-20.9</v>
      </c>
      <c r="F55" s="2">
        <v>1.6</v>
      </c>
      <c r="G55" s="2">
        <v>556</v>
      </c>
      <c r="H55" s="2">
        <v>181</v>
      </c>
      <c r="I55" s="2">
        <v>188</v>
      </c>
      <c r="J55" s="2">
        <v>1805</v>
      </c>
      <c r="K55" s="2">
        <v>355</v>
      </c>
      <c r="L55" s="2">
        <v>342</v>
      </c>
      <c r="M55" s="2">
        <v>458</v>
      </c>
      <c r="N55" s="2">
        <v>280</v>
      </c>
      <c r="O55" s="2">
        <v>45</v>
      </c>
      <c r="P55" s="2">
        <v>37</v>
      </c>
      <c r="Q55" s="2">
        <v>223</v>
      </c>
      <c r="R55" s="2">
        <v>166</v>
      </c>
      <c r="S55" s="2">
        <v>93</v>
      </c>
      <c r="T55" s="2">
        <v>2730</v>
      </c>
      <c r="U55" s="2">
        <v>133</v>
      </c>
      <c r="V55" s="2">
        <v>820</v>
      </c>
      <c r="W55" s="2">
        <v>1380</v>
      </c>
      <c r="X55" s="2">
        <v>22</v>
      </c>
      <c r="Y55" s="2">
        <v>320</v>
      </c>
      <c r="Z55" s="2">
        <v>485</v>
      </c>
    </row>
    <row r="56" spans="1:26" x14ac:dyDescent="0.2">
      <c r="A56" s="2">
        <v>50</v>
      </c>
      <c r="B56" s="2" t="s">
        <v>344</v>
      </c>
      <c r="C56" s="19">
        <f>DATE(88,4,10)</f>
        <v>32243</v>
      </c>
      <c r="D56" s="2">
        <v>956</v>
      </c>
      <c r="E56" s="2">
        <v>-17.899999999999999</v>
      </c>
      <c r="F56" s="2">
        <v>13.8</v>
      </c>
      <c r="G56" s="2">
        <v>537</v>
      </c>
      <c r="H56" s="2">
        <v>171</v>
      </c>
      <c r="I56" s="2">
        <v>178</v>
      </c>
      <c r="J56" s="2">
        <v>1803</v>
      </c>
      <c r="K56" s="2">
        <v>356</v>
      </c>
      <c r="L56" s="2">
        <v>344</v>
      </c>
      <c r="M56" s="2">
        <v>450</v>
      </c>
      <c r="N56" s="2">
        <v>281</v>
      </c>
      <c r="O56" s="2">
        <v>44</v>
      </c>
      <c r="P56" s="2">
        <v>29</v>
      </c>
      <c r="Q56" s="2">
        <v>223</v>
      </c>
      <c r="R56" s="2">
        <v>165</v>
      </c>
      <c r="S56" s="2">
        <v>110</v>
      </c>
      <c r="T56" s="2">
        <v>2730</v>
      </c>
      <c r="U56" s="2">
        <v>99</v>
      </c>
      <c r="V56" s="2">
        <v>727</v>
      </c>
      <c r="W56" s="2">
        <v>1300</v>
      </c>
      <c r="X56" s="2">
        <v>17</v>
      </c>
      <c r="Y56" s="2">
        <v>301</v>
      </c>
      <c r="Z56" s="2">
        <v>432</v>
      </c>
    </row>
    <row r="57" spans="1:26" x14ac:dyDescent="0.2">
      <c r="A57" s="2">
        <v>52</v>
      </c>
      <c r="B57" s="2" t="s">
        <v>345</v>
      </c>
      <c r="C57" s="19">
        <f>DATE(88,4,13)</f>
        <v>32246</v>
      </c>
      <c r="D57" s="2">
        <v>2020</v>
      </c>
      <c r="E57" s="2">
        <v>-24.2</v>
      </c>
      <c r="F57" s="2">
        <v>2.1</v>
      </c>
      <c r="G57" s="2">
        <v>514</v>
      </c>
      <c r="H57" s="2">
        <v>160</v>
      </c>
      <c r="I57" s="2">
        <v>171</v>
      </c>
      <c r="J57" s="2">
        <v>1798</v>
      </c>
      <c r="K57" s="2">
        <v>357</v>
      </c>
      <c r="L57" s="2">
        <v>341</v>
      </c>
      <c r="M57" s="2">
        <v>457</v>
      </c>
      <c r="N57" s="2">
        <v>278</v>
      </c>
      <c r="O57" s="2">
        <v>46</v>
      </c>
      <c r="P57" s="2">
        <v>32</v>
      </c>
      <c r="Q57" s="2">
        <v>220</v>
      </c>
      <c r="R57" s="2">
        <v>164</v>
      </c>
      <c r="S57" s="2">
        <v>102</v>
      </c>
      <c r="T57" s="2">
        <v>2110</v>
      </c>
      <c r="U57" s="2">
        <v>84</v>
      </c>
      <c r="V57" s="2">
        <v>542</v>
      </c>
      <c r="W57" s="2">
        <v>692</v>
      </c>
      <c r="X57" s="2">
        <v>44</v>
      </c>
      <c r="Y57" s="2">
        <v>144</v>
      </c>
      <c r="Z57" s="2">
        <v>166</v>
      </c>
    </row>
    <row r="58" spans="1:26" x14ac:dyDescent="0.2">
      <c r="A58" s="2">
        <v>53</v>
      </c>
      <c r="B58" s="2" t="s">
        <v>346</v>
      </c>
      <c r="C58" s="19">
        <f>DATE(88,4,14)</f>
        <v>32247</v>
      </c>
      <c r="D58" s="2">
        <v>1440</v>
      </c>
      <c r="E58" s="2">
        <v>-23.3</v>
      </c>
      <c r="F58" s="2">
        <v>2.4</v>
      </c>
      <c r="G58" s="2">
        <v>530</v>
      </c>
      <c r="H58" s="2">
        <v>176</v>
      </c>
      <c r="I58" s="2">
        <v>186</v>
      </c>
      <c r="J58" s="2">
        <v>1810</v>
      </c>
      <c r="K58" s="2">
        <v>356</v>
      </c>
      <c r="L58" s="2">
        <v>341</v>
      </c>
      <c r="M58" s="2">
        <v>461</v>
      </c>
      <c r="N58" s="2">
        <v>280</v>
      </c>
      <c r="O58" s="2">
        <v>45</v>
      </c>
      <c r="Q58" s="2">
        <v>222</v>
      </c>
      <c r="R58" s="2">
        <v>166</v>
      </c>
      <c r="S58" s="2">
        <v>104</v>
      </c>
      <c r="T58" s="2">
        <v>2770</v>
      </c>
      <c r="U58" s="2">
        <v>105</v>
      </c>
      <c r="V58" s="2">
        <v>677</v>
      </c>
      <c r="W58" s="2">
        <v>1190</v>
      </c>
      <c r="X58" s="2">
        <v>19</v>
      </c>
      <c r="Y58" s="2">
        <v>276</v>
      </c>
      <c r="Z58" s="2">
        <v>395</v>
      </c>
    </row>
    <row r="59" spans="1:26" x14ac:dyDescent="0.2">
      <c r="A59" s="2">
        <v>53</v>
      </c>
      <c r="B59" s="2" t="s">
        <v>347</v>
      </c>
      <c r="C59" s="19">
        <f>DATE(88,4,12)</f>
        <v>32245</v>
      </c>
      <c r="D59" s="8" t="s">
        <v>348</v>
      </c>
      <c r="G59" s="2">
        <v>516</v>
      </c>
      <c r="H59" s="2">
        <v>174</v>
      </c>
      <c r="I59" s="2">
        <v>191</v>
      </c>
      <c r="J59" s="2">
        <v>1798</v>
      </c>
      <c r="K59" s="2">
        <v>355</v>
      </c>
      <c r="L59" s="2">
        <v>341</v>
      </c>
      <c r="M59" s="2">
        <v>458</v>
      </c>
      <c r="N59" s="2">
        <v>279</v>
      </c>
      <c r="O59" s="2">
        <v>46</v>
      </c>
      <c r="P59" s="2">
        <v>24</v>
      </c>
      <c r="Q59" s="2">
        <v>222</v>
      </c>
      <c r="R59" s="2">
        <v>165</v>
      </c>
      <c r="S59" s="2">
        <v>110</v>
      </c>
      <c r="T59" s="2">
        <v>2660</v>
      </c>
      <c r="U59" s="2">
        <v>129</v>
      </c>
      <c r="V59" s="2">
        <v>737</v>
      </c>
      <c r="W59" s="2">
        <v>1140</v>
      </c>
      <c r="X59" s="2">
        <v>48</v>
      </c>
      <c r="Y59" s="2">
        <v>243</v>
      </c>
      <c r="Z59" s="2">
        <v>384</v>
      </c>
    </row>
    <row r="60" spans="1:26" x14ac:dyDescent="0.2">
      <c r="A60" s="2">
        <v>54</v>
      </c>
      <c r="B60" s="2" t="s">
        <v>349</v>
      </c>
      <c r="C60" s="19">
        <f>DATE(88,4,15)</f>
        <v>32248</v>
      </c>
      <c r="D60" s="2">
        <v>930</v>
      </c>
      <c r="E60" s="2">
        <v>-15.2</v>
      </c>
      <c r="F60" s="2">
        <v>7.8</v>
      </c>
      <c r="G60" s="2">
        <v>526</v>
      </c>
      <c r="H60" s="2">
        <v>160</v>
      </c>
      <c r="I60" s="2">
        <v>164</v>
      </c>
      <c r="J60" s="2">
        <v>1792</v>
      </c>
      <c r="K60" s="2">
        <v>357</v>
      </c>
      <c r="L60" s="2">
        <v>341</v>
      </c>
      <c r="M60" s="2">
        <v>454</v>
      </c>
      <c r="N60" s="2">
        <v>278</v>
      </c>
      <c r="O60" s="2">
        <v>45</v>
      </c>
      <c r="P60" s="2">
        <v>32</v>
      </c>
      <c r="Q60" s="2">
        <v>220</v>
      </c>
      <c r="R60" s="2">
        <v>166</v>
      </c>
      <c r="S60" s="2">
        <v>105</v>
      </c>
      <c r="T60" s="2">
        <v>2460</v>
      </c>
      <c r="U60" s="2">
        <v>109</v>
      </c>
      <c r="V60" s="2">
        <v>697</v>
      </c>
      <c r="W60" s="2">
        <v>1120</v>
      </c>
      <c r="X60" s="2">
        <v>9</v>
      </c>
      <c r="Y60" s="2">
        <v>243</v>
      </c>
      <c r="Z60" s="2">
        <v>379</v>
      </c>
    </row>
    <row r="61" spans="1:26" x14ac:dyDescent="0.2">
      <c r="A61" s="2">
        <v>55</v>
      </c>
      <c r="B61" s="2" t="s">
        <v>350</v>
      </c>
      <c r="C61" s="19">
        <f>DATE(88,4,16)</f>
        <v>32249</v>
      </c>
      <c r="D61" s="2">
        <v>937</v>
      </c>
      <c r="E61" s="2">
        <v>-14.8</v>
      </c>
      <c r="F61" s="2">
        <v>1.3</v>
      </c>
      <c r="G61" s="2">
        <v>521</v>
      </c>
      <c r="H61" s="2">
        <v>162</v>
      </c>
      <c r="I61" s="2">
        <v>173</v>
      </c>
      <c r="J61" s="2">
        <v>1793</v>
      </c>
      <c r="K61" s="2">
        <v>354</v>
      </c>
      <c r="L61" s="2">
        <v>342</v>
      </c>
      <c r="M61" s="2">
        <v>457</v>
      </c>
      <c r="N61" s="2">
        <v>279</v>
      </c>
      <c r="O61" s="2">
        <v>45</v>
      </c>
      <c r="P61" s="2">
        <v>30</v>
      </c>
      <c r="Q61" s="2">
        <v>224</v>
      </c>
      <c r="R61" s="2">
        <v>165</v>
      </c>
      <c r="S61" s="2">
        <v>105</v>
      </c>
      <c r="T61" s="2">
        <v>2380</v>
      </c>
      <c r="U61" s="2">
        <v>99</v>
      </c>
      <c r="V61" s="2">
        <v>668</v>
      </c>
      <c r="W61" s="2">
        <v>1090</v>
      </c>
      <c r="X61" s="2">
        <v>21</v>
      </c>
      <c r="Y61" s="2">
        <v>225</v>
      </c>
      <c r="Z61" s="2">
        <v>350</v>
      </c>
    </row>
    <row r="62" spans="1:26" x14ac:dyDescent="0.2">
      <c r="A62" s="2">
        <v>56</v>
      </c>
      <c r="B62" s="2" t="s">
        <v>351</v>
      </c>
      <c r="C62" s="19">
        <f>DATE(88,4,17)</f>
        <v>32250</v>
      </c>
      <c r="D62" s="2">
        <v>1020</v>
      </c>
      <c r="E62" s="2">
        <v>-16.8</v>
      </c>
      <c r="F62" s="2">
        <v>1.5</v>
      </c>
      <c r="G62" s="2">
        <v>524</v>
      </c>
      <c r="H62" s="2">
        <v>161</v>
      </c>
      <c r="I62" s="2">
        <v>165</v>
      </c>
      <c r="J62" s="2">
        <v>1793</v>
      </c>
      <c r="K62" s="2">
        <v>356</v>
      </c>
      <c r="L62" s="2">
        <v>342</v>
      </c>
      <c r="M62" s="2">
        <v>457</v>
      </c>
      <c r="N62" s="2">
        <v>278</v>
      </c>
      <c r="O62" s="2">
        <v>44</v>
      </c>
      <c r="Q62" s="2">
        <v>223</v>
      </c>
      <c r="R62" s="2">
        <v>165</v>
      </c>
      <c r="S62" s="2">
        <v>89</v>
      </c>
      <c r="T62" s="2">
        <v>2390</v>
      </c>
      <c r="U62" s="2">
        <v>62</v>
      </c>
      <c r="V62" s="2">
        <v>638</v>
      </c>
      <c r="W62" s="2">
        <v>963</v>
      </c>
      <c r="X62" s="8" t="s">
        <v>324</v>
      </c>
      <c r="Y62" s="2">
        <v>204</v>
      </c>
      <c r="Z62" s="2">
        <v>289</v>
      </c>
    </row>
    <row r="63" spans="1:26" x14ac:dyDescent="0.2">
      <c r="A63" s="2">
        <v>57</v>
      </c>
      <c r="B63" s="2" t="s">
        <v>352</v>
      </c>
      <c r="C63" s="19">
        <f>DATE(88,4,19)</f>
        <v>32252</v>
      </c>
      <c r="D63" s="2">
        <v>1554</v>
      </c>
      <c r="E63" s="2">
        <v>-6.6</v>
      </c>
      <c r="F63" s="2">
        <v>11.5</v>
      </c>
      <c r="G63" s="2">
        <v>519</v>
      </c>
      <c r="H63" s="2">
        <v>148</v>
      </c>
      <c r="I63" s="2">
        <v>161</v>
      </c>
      <c r="J63" s="2">
        <v>1783</v>
      </c>
      <c r="K63" s="2">
        <v>351</v>
      </c>
      <c r="L63" s="2">
        <v>341</v>
      </c>
      <c r="M63" s="2">
        <v>506</v>
      </c>
      <c r="N63" s="2">
        <v>276</v>
      </c>
      <c r="O63" s="2">
        <v>44</v>
      </c>
      <c r="Q63" s="2">
        <v>218</v>
      </c>
      <c r="R63" s="2">
        <v>166</v>
      </c>
      <c r="S63" s="2">
        <v>81</v>
      </c>
      <c r="T63" s="2">
        <v>2110</v>
      </c>
      <c r="U63" s="2">
        <v>153</v>
      </c>
      <c r="V63" s="2">
        <v>513</v>
      </c>
      <c r="W63" s="2">
        <v>803</v>
      </c>
      <c r="X63" s="2">
        <v>41</v>
      </c>
      <c r="Y63" s="2">
        <v>146</v>
      </c>
      <c r="Z63" s="2">
        <v>231</v>
      </c>
    </row>
    <row r="64" spans="1:26" x14ac:dyDescent="0.2">
      <c r="A64" s="2">
        <v>58</v>
      </c>
      <c r="B64" s="2" t="s">
        <v>353</v>
      </c>
      <c r="C64" s="19">
        <f>DATE(88,4,20)</f>
        <v>32253</v>
      </c>
      <c r="D64" s="2">
        <v>1052</v>
      </c>
      <c r="E64" s="2">
        <v>-12.3</v>
      </c>
      <c r="F64" s="2">
        <v>1</v>
      </c>
      <c r="G64" s="2">
        <v>523</v>
      </c>
      <c r="H64" s="2">
        <v>150</v>
      </c>
      <c r="I64" s="2">
        <v>164</v>
      </c>
      <c r="J64" s="2">
        <v>1788</v>
      </c>
      <c r="K64" s="2">
        <v>353</v>
      </c>
      <c r="L64" s="2">
        <v>340</v>
      </c>
      <c r="M64" s="2">
        <v>450</v>
      </c>
      <c r="N64" s="2">
        <v>276</v>
      </c>
      <c r="O64" s="2">
        <v>44</v>
      </c>
      <c r="P64" s="2">
        <v>29</v>
      </c>
      <c r="Q64" s="2">
        <v>218</v>
      </c>
      <c r="R64" s="2">
        <v>166</v>
      </c>
      <c r="S64" s="2">
        <v>96</v>
      </c>
      <c r="T64" s="2">
        <v>1740</v>
      </c>
      <c r="U64" s="2">
        <v>108</v>
      </c>
      <c r="V64" s="2">
        <v>415</v>
      </c>
      <c r="W64" s="2">
        <v>523</v>
      </c>
      <c r="X64" s="2">
        <v>33</v>
      </c>
      <c r="Y64" s="2">
        <v>102</v>
      </c>
      <c r="Z64" s="2">
        <v>125</v>
      </c>
    </row>
    <row r="65" spans="1:26" x14ac:dyDescent="0.2">
      <c r="A65" s="2">
        <v>59</v>
      </c>
      <c r="B65" s="2" t="s">
        <v>354</v>
      </c>
      <c r="C65" s="19">
        <f t="shared" ref="C65:C71" si="0">DATE(88,4,21)</f>
        <v>32254</v>
      </c>
      <c r="D65" s="2">
        <v>1840</v>
      </c>
      <c r="E65" s="2">
        <v>-15</v>
      </c>
      <c r="F65" s="2">
        <v>3.5</v>
      </c>
      <c r="G65" s="2">
        <v>504</v>
      </c>
      <c r="H65" s="2">
        <v>144</v>
      </c>
      <c r="I65" s="2">
        <v>154</v>
      </c>
      <c r="J65" s="2">
        <v>1784</v>
      </c>
      <c r="K65" s="2">
        <v>352</v>
      </c>
      <c r="L65" s="2">
        <v>340</v>
      </c>
      <c r="M65" s="2">
        <v>451</v>
      </c>
      <c r="N65" s="2">
        <v>276</v>
      </c>
      <c r="O65" s="2">
        <v>44</v>
      </c>
      <c r="P65" s="2">
        <v>26</v>
      </c>
      <c r="Q65" s="2">
        <v>215</v>
      </c>
      <c r="R65" s="2">
        <v>163</v>
      </c>
      <c r="S65" s="2">
        <v>85</v>
      </c>
      <c r="T65" s="2">
        <v>2270</v>
      </c>
      <c r="U65" s="2">
        <v>73</v>
      </c>
      <c r="V65" s="2">
        <v>511</v>
      </c>
      <c r="W65" s="2">
        <v>696</v>
      </c>
      <c r="X65" s="2">
        <v>22</v>
      </c>
      <c r="Y65" s="2">
        <v>116</v>
      </c>
      <c r="Z65" s="2">
        <v>168</v>
      </c>
    </row>
    <row r="66" spans="1:26" x14ac:dyDescent="0.2">
      <c r="A66" s="2">
        <v>60</v>
      </c>
      <c r="B66" s="2" t="s">
        <v>355</v>
      </c>
      <c r="C66" s="19">
        <f t="shared" si="0"/>
        <v>32254</v>
      </c>
      <c r="D66" s="2">
        <v>1844</v>
      </c>
      <c r="E66" s="2">
        <v>-15</v>
      </c>
      <c r="G66" s="2">
        <v>511</v>
      </c>
      <c r="H66" s="2">
        <v>151</v>
      </c>
      <c r="I66" s="2">
        <v>156</v>
      </c>
      <c r="J66" s="2">
        <v>1783</v>
      </c>
      <c r="K66" s="2">
        <v>356</v>
      </c>
      <c r="L66" s="2">
        <v>340</v>
      </c>
      <c r="M66" s="2">
        <v>456</v>
      </c>
      <c r="N66" s="2">
        <v>274</v>
      </c>
      <c r="O66" s="2">
        <v>45</v>
      </c>
      <c r="P66" s="2">
        <v>25</v>
      </c>
      <c r="Q66" s="2">
        <v>214</v>
      </c>
      <c r="R66" s="2">
        <v>164</v>
      </c>
      <c r="S66" s="2">
        <v>75</v>
      </c>
      <c r="T66" s="2">
        <v>2290</v>
      </c>
      <c r="U66" s="2">
        <v>137</v>
      </c>
      <c r="V66" s="2">
        <v>552</v>
      </c>
      <c r="W66" s="2">
        <v>730</v>
      </c>
      <c r="X66" s="2">
        <v>48</v>
      </c>
      <c r="Y66" s="2">
        <v>131</v>
      </c>
      <c r="Z66" s="2">
        <v>196</v>
      </c>
    </row>
    <row r="67" spans="1:26" x14ac:dyDescent="0.2">
      <c r="A67" s="2">
        <v>61</v>
      </c>
      <c r="B67" s="2" t="s">
        <v>356</v>
      </c>
      <c r="C67" s="19">
        <f t="shared" si="0"/>
        <v>32254</v>
      </c>
      <c r="D67" s="2">
        <v>1858</v>
      </c>
      <c r="E67" s="2">
        <v>-15</v>
      </c>
      <c r="F67" s="2">
        <v>4</v>
      </c>
      <c r="G67" s="2">
        <v>506</v>
      </c>
      <c r="H67" s="2">
        <v>148</v>
      </c>
      <c r="I67" s="2">
        <v>157</v>
      </c>
      <c r="J67" s="2">
        <v>1784</v>
      </c>
      <c r="K67" s="2">
        <v>356</v>
      </c>
      <c r="L67" s="2">
        <v>340</v>
      </c>
      <c r="M67" s="2">
        <v>451</v>
      </c>
      <c r="N67" s="2">
        <v>276</v>
      </c>
      <c r="O67" s="2">
        <v>45</v>
      </c>
      <c r="P67" s="2">
        <v>27</v>
      </c>
      <c r="Q67" s="2">
        <v>213</v>
      </c>
      <c r="R67" s="2">
        <v>158</v>
      </c>
      <c r="S67" s="2">
        <v>92</v>
      </c>
      <c r="T67" s="2">
        <v>2070</v>
      </c>
      <c r="U67" s="2">
        <v>194</v>
      </c>
      <c r="V67" s="2">
        <v>514</v>
      </c>
      <c r="W67" s="2">
        <v>728</v>
      </c>
      <c r="X67" s="2">
        <v>77</v>
      </c>
      <c r="Y67" s="2">
        <v>150</v>
      </c>
      <c r="Z67" s="2">
        <v>223</v>
      </c>
    </row>
    <row r="68" spans="1:26" x14ac:dyDescent="0.2">
      <c r="A68" s="2">
        <v>62</v>
      </c>
      <c r="B68" s="2" t="s">
        <v>357</v>
      </c>
      <c r="C68" s="19">
        <f t="shared" si="0"/>
        <v>32254</v>
      </c>
      <c r="D68" s="2">
        <v>1902</v>
      </c>
      <c r="E68" s="2">
        <v>-15</v>
      </c>
      <c r="F68" s="2">
        <v>4</v>
      </c>
      <c r="G68" s="2">
        <v>512</v>
      </c>
      <c r="H68" s="2">
        <v>142</v>
      </c>
      <c r="I68" s="2">
        <v>152</v>
      </c>
      <c r="J68" s="2">
        <v>1780</v>
      </c>
      <c r="K68" s="2">
        <v>356</v>
      </c>
      <c r="L68" s="2">
        <v>341</v>
      </c>
      <c r="M68" s="2">
        <v>452</v>
      </c>
      <c r="N68" s="2">
        <v>275</v>
      </c>
      <c r="O68" s="2">
        <v>44</v>
      </c>
      <c r="P68" s="2">
        <v>26</v>
      </c>
      <c r="Q68" s="2">
        <v>214</v>
      </c>
      <c r="R68" s="2">
        <v>163</v>
      </c>
      <c r="S68" s="2">
        <v>87</v>
      </c>
      <c r="T68" s="2">
        <v>2050</v>
      </c>
      <c r="U68" s="2">
        <v>70</v>
      </c>
      <c r="V68" s="2">
        <v>484</v>
      </c>
      <c r="W68" s="2">
        <v>699</v>
      </c>
      <c r="X68" s="2">
        <v>23</v>
      </c>
      <c r="Y68" s="2">
        <v>125</v>
      </c>
      <c r="Z68" s="2">
        <v>166</v>
      </c>
    </row>
    <row r="69" spans="1:26" x14ac:dyDescent="0.2">
      <c r="A69" s="2">
        <v>63</v>
      </c>
      <c r="B69" s="2" t="s">
        <v>358</v>
      </c>
      <c r="C69" s="19">
        <f t="shared" si="0"/>
        <v>32254</v>
      </c>
      <c r="D69" s="2">
        <v>1536</v>
      </c>
      <c r="E69" s="2">
        <v>-14.5</v>
      </c>
      <c r="F69" s="2">
        <v>6.2</v>
      </c>
      <c r="G69" s="2">
        <v>508</v>
      </c>
      <c r="H69" s="2">
        <v>149</v>
      </c>
      <c r="I69" s="2">
        <v>166</v>
      </c>
      <c r="J69" s="2">
        <v>1783</v>
      </c>
      <c r="K69" s="2">
        <v>358</v>
      </c>
      <c r="L69" s="2">
        <v>341.4</v>
      </c>
      <c r="M69" s="2">
        <v>444</v>
      </c>
      <c r="N69" s="2">
        <v>272</v>
      </c>
      <c r="O69" s="2">
        <v>44</v>
      </c>
      <c r="P69" s="2">
        <v>26</v>
      </c>
      <c r="Q69" s="2">
        <v>219</v>
      </c>
      <c r="R69" s="2">
        <v>164</v>
      </c>
      <c r="S69" s="2">
        <v>102</v>
      </c>
      <c r="T69" s="2">
        <v>2150</v>
      </c>
      <c r="U69" s="2">
        <v>115</v>
      </c>
      <c r="V69" s="2">
        <v>549</v>
      </c>
      <c r="W69" s="2">
        <v>714</v>
      </c>
      <c r="X69" s="2">
        <v>49</v>
      </c>
      <c r="Y69" s="2">
        <v>127</v>
      </c>
      <c r="Z69" s="2">
        <v>192</v>
      </c>
    </row>
    <row r="70" spans="1:26" x14ac:dyDescent="0.2">
      <c r="A70" s="2">
        <v>64</v>
      </c>
      <c r="B70" s="2" t="s">
        <v>359</v>
      </c>
      <c r="C70" s="19">
        <f t="shared" si="0"/>
        <v>32254</v>
      </c>
      <c r="D70" s="2">
        <v>1919</v>
      </c>
      <c r="E70" s="2">
        <v>-15</v>
      </c>
      <c r="F70" s="2">
        <v>5</v>
      </c>
      <c r="G70" s="2">
        <v>509</v>
      </c>
      <c r="H70" s="2">
        <v>147</v>
      </c>
      <c r="I70" s="2">
        <v>152</v>
      </c>
      <c r="J70" s="2">
        <v>1782</v>
      </c>
      <c r="K70" s="2">
        <v>352</v>
      </c>
      <c r="L70" s="2">
        <v>339.4</v>
      </c>
      <c r="M70" s="2">
        <v>444</v>
      </c>
      <c r="N70" s="2">
        <v>278</v>
      </c>
      <c r="O70" s="2">
        <v>44</v>
      </c>
      <c r="P70" s="2">
        <v>26</v>
      </c>
      <c r="Q70" s="2">
        <v>214</v>
      </c>
      <c r="R70" s="2">
        <v>162</v>
      </c>
      <c r="S70" s="2">
        <v>172</v>
      </c>
      <c r="T70" s="2">
        <v>2150</v>
      </c>
      <c r="U70" s="2">
        <v>43</v>
      </c>
      <c r="V70" s="2">
        <v>524</v>
      </c>
      <c r="W70" s="2">
        <v>724</v>
      </c>
      <c r="X70" s="2">
        <v>38</v>
      </c>
      <c r="Y70" s="2">
        <v>129</v>
      </c>
      <c r="Z70" s="2">
        <v>173</v>
      </c>
    </row>
    <row r="71" spans="1:26" x14ac:dyDescent="0.2">
      <c r="A71" s="2">
        <v>65</v>
      </c>
      <c r="B71" s="2" t="s">
        <v>360</v>
      </c>
      <c r="C71" s="19">
        <f t="shared" si="0"/>
        <v>32254</v>
      </c>
      <c r="D71" s="2">
        <v>1925</v>
      </c>
      <c r="E71" s="2">
        <v>-15</v>
      </c>
      <c r="F71" s="2">
        <v>5</v>
      </c>
      <c r="G71" s="2">
        <v>516</v>
      </c>
      <c r="H71" s="2">
        <v>149</v>
      </c>
      <c r="L71" s="2">
        <v>339.5</v>
      </c>
      <c r="M71" s="2">
        <v>447</v>
      </c>
      <c r="N71" s="2">
        <v>278</v>
      </c>
      <c r="O71" s="2">
        <v>44</v>
      </c>
      <c r="P71" s="2">
        <v>29</v>
      </c>
      <c r="Q71" s="2">
        <v>214</v>
      </c>
      <c r="R71" s="2">
        <v>159</v>
      </c>
      <c r="S71" s="2">
        <v>392</v>
      </c>
      <c r="T71" s="2">
        <v>2050</v>
      </c>
      <c r="U71" s="2">
        <v>128</v>
      </c>
      <c r="V71" s="2">
        <v>476</v>
      </c>
      <c r="W71" s="2">
        <v>708</v>
      </c>
      <c r="X71" s="2">
        <v>56</v>
      </c>
      <c r="Y71" s="2">
        <v>130</v>
      </c>
      <c r="Z71" s="2">
        <v>177</v>
      </c>
    </row>
    <row r="72" spans="1:26" x14ac:dyDescent="0.2">
      <c r="A72" s="2">
        <v>66</v>
      </c>
      <c r="B72" s="2" t="s">
        <v>361</v>
      </c>
      <c r="C72" s="19">
        <f>DATE(88,4,22)</f>
        <v>32255</v>
      </c>
      <c r="D72" s="2">
        <v>1015</v>
      </c>
      <c r="E72" s="2">
        <v>-10.1</v>
      </c>
      <c r="F72" s="2">
        <v>6.4</v>
      </c>
      <c r="G72" s="2">
        <v>516</v>
      </c>
      <c r="H72" s="2">
        <v>147</v>
      </c>
      <c r="I72" s="2">
        <v>152</v>
      </c>
      <c r="J72" s="2">
        <v>1781</v>
      </c>
      <c r="K72" s="2">
        <v>358</v>
      </c>
      <c r="L72" s="2">
        <v>341.5</v>
      </c>
      <c r="M72" s="2">
        <v>454</v>
      </c>
      <c r="N72" s="2">
        <v>277</v>
      </c>
      <c r="O72" s="2">
        <v>43</v>
      </c>
      <c r="P72" s="2">
        <v>26</v>
      </c>
      <c r="Q72" s="2">
        <v>218</v>
      </c>
      <c r="R72" s="2">
        <v>166</v>
      </c>
      <c r="S72" s="2">
        <v>43</v>
      </c>
      <c r="T72" s="2">
        <v>2020</v>
      </c>
      <c r="U72" s="2">
        <v>102</v>
      </c>
      <c r="V72" s="2">
        <v>447</v>
      </c>
      <c r="W72" s="2">
        <v>672</v>
      </c>
      <c r="X72" s="2">
        <v>40</v>
      </c>
      <c r="Y72" s="2">
        <v>105</v>
      </c>
      <c r="Z72" s="2">
        <v>151</v>
      </c>
    </row>
    <row r="73" spans="1:26" x14ac:dyDescent="0.2">
      <c r="A73" s="2">
        <v>67</v>
      </c>
      <c r="B73" s="2" t="s">
        <v>362</v>
      </c>
      <c r="C73" s="19">
        <f>DATE(88,4,24)</f>
        <v>32257</v>
      </c>
      <c r="D73" s="2">
        <v>1502</v>
      </c>
      <c r="E73" s="2">
        <v>-13.9</v>
      </c>
      <c r="F73" s="2">
        <v>6.6</v>
      </c>
      <c r="G73" s="2">
        <v>520</v>
      </c>
      <c r="H73" s="2">
        <v>152</v>
      </c>
      <c r="I73" s="2">
        <v>167</v>
      </c>
      <c r="J73" s="2">
        <v>1783</v>
      </c>
      <c r="K73" s="2">
        <v>358</v>
      </c>
      <c r="L73" s="2">
        <v>341.4</v>
      </c>
      <c r="M73" s="2">
        <v>444</v>
      </c>
      <c r="N73" s="2">
        <v>277</v>
      </c>
      <c r="O73" s="2">
        <v>44</v>
      </c>
      <c r="P73" s="2">
        <v>25</v>
      </c>
      <c r="Q73" s="2">
        <v>220</v>
      </c>
      <c r="R73" s="2">
        <v>165</v>
      </c>
      <c r="S73" s="2">
        <v>76</v>
      </c>
      <c r="T73" s="2">
        <v>1520</v>
      </c>
      <c r="U73" s="2">
        <v>176</v>
      </c>
      <c r="V73" s="2">
        <v>338</v>
      </c>
      <c r="W73" s="2">
        <v>364</v>
      </c>
      <c r="X73" s="2">
        <v>64</v>
      </c>
      <c r="Y73" s="2">
        <v>76</v>
      </c>
      <c r="Z73" s="2">
        <v>105</v>
      </c>
    </row>
    <row r="74" spans="1:26" x14ac:dyDescent="0.2">
      <c r="C74" s="19"/>
    </row>
    <row r="76" spans="1:26" x14ac:dyDescent="0.2">
      <c r="G76" s="8" t="s">
        <v>117</v>
      </c>
      <c r="H76" s="8" t="s">
        <v>118</v>
      </c>
      <c r="I76" s="8" t="s">
        <v>118</v>
      </c>
      <c r="J76" s="8" t="s">
        <v>123</v>
      </c>
      <c r="K76" s="8" t="s">
        <v>134</v>
      </c>
      <c r="L76" s="8" t="s">
        <v>138</v>
      </c>
      <c r="M76" s="8" t="s">
        <v>136</v>
      </c>
      <c r="N76" s="8" t="s">
        <v>130</v>
      </c>
      <c r="O76" s="8" t="s">
        <v>133</v>
      </c>
      <c r="P76" s="8" t="s">
        <v>127</v>
      </c>
      <c r="Q76" s="8" t="s">
        <v>121</v>
      </c>
      <c r="R76" s="8" t="s">
        <v>112</v>
      </c>
      <c r="S76" s="8" t="s">
        <v>140</v>
      </c>
      <c r="T76" s="8" t="s">
        <v>126</v>
      </c>
      <c r="U76" s="8" t="s">
        <v>122</v>
      </c>
      <c r="V76" s="8" t="s">
        <v>113</v>
      </c>
      <c r="W76" s="8" t="s">
        <v>131</v>
      </c>
      <c r="X76" s="8" t="s">
        <v>129</v>
      </c>
      <c r="Y76" s="8" t="s">
        <v>149</v>
      </c>
      <c r="Z76" s="8" t="s">
        <v>151</v>
      </c>
    </row>
    <row r="77" spans="1:26" x14ac:dyDescent="0.2">
      <c r="G77" s="8" t="s">
        <v>266</v>
      </c>
      <c r="H77" s="8" t="s">
        <v>266</v>
      </c>
      <c r="I77" s="8" t="s">
        <v>266</v>
      </c>
      <c r="J77" s="8" t="s">
        <v>266</v>
      </c>
      <c r="K77" s="8" t="s">
        <v>266</v>
      </c>
      <c r="L77" s="8" t="s">
        <v>266</v>
      </c>
      <c r="M77" s="8" t="s">
        <v>144</v>
      </c>
      <c r="N77" s="8" t="s">
        <v>144</v>
      </c>
      <c r="O77" s="8" t="s">
        <v>144</v>
      </c>
      <c r="P77" s="8" t="s">
        <v>144</v>
      </c>
      <c r="Q77" s="8" t="s">
        <v>144</v>
      </c>
      <c r="R77" s="8" t="s">
        <v>144</v>
      </c>
      <c r="S77" s="8" t="s">
        <v>144</v>
      </c>
      <c r="T77" s="8" t="s">
        <v>144</v>
      </c>
      <c r="U77" s="8" t="s">
        <v>144</v>
      </c>
      <c r="V77" s="8" t="s">
        <v>144</v>
      </c>
      <c r="W77" s="8" t="s">
        <v>144</v>
      </c>
      <c r="X77" s="8" t="s">
        <v>144</v>
      </c>
      <c r="Y77" s="8" t="s">
        <v>144</v>
      </c>
      <c r="Z77" s="8" t="s">
        <v>144</v>
      </c>
    </row>
    <row r="79" spans="1:26" x14ac:dyDescent="0.2">
      <c r="C79" s="7">
        <f>AVERAGE(C9:C73)</f>
        <v>32227.753846153846</v>
      </c>
      <c r="F79" s="2" t="s">
        <v>363</v>
      </c>
      <c r="G79" s="4">
        <f t="shared" ref="G79:Z79" si="1">AVERAGE(G9:G73)</f>
        <v>518.68253968253964</v>
      </c>
      <c r="H79" s="4">
        <f t="shared" si="1"/>
        <v>165.04761904761904</v>
      </c>
      <c r="I79" s="4">
        <f t="shared" si="1"/>
        <v>174.26984126984127</v>
      </c>
      <c r="J79" s="4">
        <f t="shared" si="1"/>
        <v>1800.3650793650793</v>
      </c>
      <c r="K79" s="4">
        <f t="shared" si="1"/>
        <v>355.58730158730157</v>
      </c>
      <c r="L79" s="4">
        <f t="shared" si="1"/>
        <v>341.4500000000001</v>
      </c>
      <c r="M79" s="4">
        <f t="shared" si="1"/>
        <v>451.29032258064518</v>
      </c>
      <c r="N79" s="4">
        <f t="shared" si="1"/>
        <v>309.171875</v>
      </c>
      <c r="O79" s="4">
        <f t="shared" si="1"/>
        <v>44.4375</v>
      </c>
      <c r="P79" s="4">
        <f t="shared" si="1"/>
        <v>29.350877192982455</v>
      </c>
      <c r="Q79" s="4">
        <f t="shared" si="1"/>
        <v>218.9047619047619</v>
      </c>
      <c r="R79" s="4">
        <f t="shared" si="1"/>
        <v>155.98412698412699</v>
      </c>
      <c r="S79" s="4">
        <f t="shared" si="1"/>
        <v>240.140625</v>
      </c>
      <c r="T79" s="4">
        <f t="shared" si="1"/>
        <v>2461.1666666666665</v>
      </c>
      <c r="U79" s="4">
        <f t="shared" si="1"/>
        <v>152.03333333333333</v>
      </c>
      <c r="V79" s="4">
        <f t="shared" si="1"/>
        <v>635.88333333333333</v>
      </c>
      <c r="W79" s="4">
        <f t="shared" si="1"/>
        <v>1229.2666666666667</v>
      </c>
      <c r="X79" s="4">
        <f t="shared" si="1"/>
        <v>34.862068965517238</v>
      </c>
      <c r="Y79" s="4">
        <f t="shared" si="1"/>
        <v>297.39999999999998</v>
      </c>
      <c r="Z79" s="4">
        <f t="shared" si="1"/>
        <v>454.26666666666665</v>
      </c>
    </row>
    <row r="80" spans="1:26" x14ac:dyDescent="0.2">
      <c r="F80" s="2" t="s">
        <v>364</v>
      </c>
      <c r="G80" s="4">
        <f t="shared" ref="G80:Z80" si="2">STDEV(G9:G73)</f>
        <v>12.664180368808811</v>
      </c>
      <c r="H80" s="4">
        <f t="shared" si="2"/>
        <v>14.953075604907607</v>
      </c>
      <c r="I80" s="4">
        <f t="shared" si="2"/>
        <v>15.815678571723561</v>
      </c>
      <c r="J80" s="4">
        <f t="shared" si="2"/>
        <v>15.618745548013758</v>
      </c>
      <c r="K80" s="4">
        <f t="shared" si="2"/>
        <v>4.4273159444627606</v>
      </c>
      <c r="L80" s="4">
        <f t="shared" si="2"/>
        <v>2.17585483483965</v>
      </c>
      <c r="M80" s="4">
        <f t="shared" si="2"/>
        <v>13.280562768016249</v>
      </c>
      <c r="N80" s="4">
        <f t="shared" si="2"/>
        <v>215.5689816812596</v>
      </c>
      <c r="O80" s="4">
        <f t="shared" si="2"/>
        <v>1.2955969390869324</v>
      </c>
      <c r="P80" s="4">
        <f t="shared" si="2"/>
        <v>3.3030896146647719</v>
      </c>
      <c r="Q80" s="4">
        <f t="shared" si="2"/>
        <v>6.0713879098665515</v>
      </c>
      <c r="R80" s="4">
        <f t="shared" si="2"/>
        <v>14.520832713494514</v>
      </c>
      <c r="S80" s="4">
        <f t="shared" si="2"/>
        <v>672.803182786658</v>
      </c>
      <c r="T80" s="4">
        <f t="shared" si="2"/>
        <v>308.00666769508808</v>
      </c>
      <c r="U80" s="4">
        <f t="shared" si="2"/>
        <v>68.900312824722604</v>
      </c>
      <c r="V80" s="4">
        <f t="shared" si="2"/>
        <v>167.65128171262816</v>
      </c>
      <c r="W80" s="4">
        <f t="shared" si="2"/>
        <v>345.20923975038613</v>
      </c>
      <c r="X80" s="4">
        <f t="shared" si="2"/>
        <v>14.777232696638402</v>
      </c>
      <c r="Y80" s="4">
        <f t="shared" si="2"/>
        <v>104.96265679771022</v>
      </c>
      <c r="Z80" s="4">
        <f t="shared" si="2"/>
        <v>171.03948069028462</v>
      </c>
    </row>
    <row r="81" spans="6:26" x14ac:dyDescent="0.2">
      <c r="F81" s="2" t="s">
        <v>365</v>
      </c>
      <c r="G81" s="2">
        <f t="shared" ref="G81:Z81" si="3">COUNTA(G9:G73)</f>
        <v>64</v>
      </c>
      <c r="H81" s="2">
        <f t="shared" si="3"/>
        <v>63</v>
      </c>
      <c r="I81" s="2">
        <f t="shared" si="3"/>
        <v>63</v>
      </c>
      <c r="J81" s="2">
        <f t="shared" si="3"/>
        <v>63</v>
      </c>
      <c r="K81" s="2">
        <f t="shared" si="3"/>
        <v>63</v>
      </c>
      <c r="L81" s="2">
        <f t="shared" si="3"/>
        <v>62</v>
      </c>
      <c r="M81" s="2">
        <f t="shared" si="3"/>
        <v>62</v>
      </c>
      <c r="N81" s="2">
        <f t="shared" si="3"/>
        <v>64</v>
      </c>
      <c r="O81" s="2">
        <f t="shared" si="3"/>
        <v>64</v>
      </c>
      <c r="P81" s="2">
        <f t="shared" si="3"/>
        <v>57</v>
      </c>
      <c r="Q81" s="2">
        <f t="shared" si="3"/>
        <v>63</v>
      </c>
      <c r="R81" s="2">
        <f t="shared" si="3"/>
        <v>63</v>
      </c>
      <c r="S81" s="2">
        <f t="shared" si="3"/>
        <v>64</v>
      </c>
      <c r="T81" s="2">
        <f t="shared" si="3"/>
        <v>61</v>
      </c>
      <c r="U81" s="2">
        <f t="shared" si="3"/>
        <v>60</v>
      </c>
      <c r="V81" s="2">
        <f t="shared" si="3"/>
        <v>60</v>
      </c>
      <c r="W81" s="2">
        <f t="shared" si="3"/>
        <v>60</v>
      </c>
      <c r="X81" s="2">
        <f t="shared" si="3"/>
        <v>60</v>
      </c>
      <c r="Y81" s="2">
        <f t="shared" si="3"/>
        <v>60</v>
      </c>
      <c r="Z81" s="2">
        <f t="shared" si="3"/>
        <v>60</v>
      </c>
    </row>
  </sheetData>
  <pageMargins left="0.5" right="0.5" top="0.75" bottom="0.75" header="0.5" footer="0.5"/>
  <pageSetup orientation="portrait" horizontalDpi="0" verticalDpi="0" copies="0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4"/>
  <sheetViews>
    <sheetView showOutlineSymbols="0" defaultGridColor="0" colorId="9" workbookViewId="0">
      <selection activeCell="E4" sqref="E4"/>
    </sheetView>
  </sheetViews>
  <sheetFormatPr defaultColWidth="8.6640625" defaultRowHeight="15" x14ac:dyDescent="0.2"/>
  <cols>
    <col min="1" max="16384" width="8.6640625" style="2"/>
  </cols>
  <sheetData>
    <row r="1" spans="1:25" ht="18" x14ac:dyDescent="0.25">
      <c r="A1" s="18" t="s">
        <v>1378</v>
      </c>
      <c r="Y1" s="2" t="s">
        <v>1</v>
      </c>
    </row>
    <row r="2" spans="1:25" x14ac:dyDescent="0.2">
      <c r="A2" s="2" t="s">
        <v>1275</v>
      </c>
      <c r="Y2" s="2" t="s">
        <v>1</v>
      </c>
    </row>
    <row r="3" spans="1:25" x14ac:dyDescent="0.2">
      <c r="Y3" s="2" t="s">
        <v>1</v>
      </c>
    </row>
    <row r="4" spans="1:25" x14ac:dyDescent="0.2">
      <c r="A4" s="8" t="s">
        <v>662</v>
      </c>
      <c r="B4" s="15" t="s">
        <v>285</v>
      </c>
      <c r="C4" s="15" t="s">
        <v>253</v>
      </c>
      <c r="D4" s="8" t="s">
        <v>286</v>
      </c>
      <c r="E4" s="8" t="s">
        <v>117</v>
      </c>
      <c r="F4" s="8" t="s">
        <v>118</v>
      </c>
      <c r="G4" s="8" t="s">
        <v>118</v>
      </c>
      <c r="H4" s="8" t="s">
        <v>123</v>
      </c>
      <c r="I4" s="8" t="s">
        <v>134</v>
      </c>
      <c r="J4" s="8" t="s">
        <v>138</v>
      </c>
      <c r="K4" s="8" t="s">
        <v>136</v>
      </c>
      <c r="L4" s="8" t="s">
        <v>130</v>
      </c>
      <c r="M4" s="8" t="s">
        <v>133</v>
      </c>
      <c r="N4" s="8" t="s">
        <v>127</v>
      </c>
      <c r="O4" s="8" t="s">
        <v>121</v>
      </c>
      <c r="P4" s="8" t="s">
        <v>112</v>
      </c>
      <c r="Q4" s="8" t="s">
        <v>126</v>
      </c>
      <c r="R4" s="8" t="s">
        <v>122</v>
      </c>
      <c r="S4" s="8" t="s">
        <v>113</v>
      </c>
      <c r="T4" s="8" t="s">
        <v>131</v>
      </c>
      <c r="U4" s="8" t="s">
        <v>129</v>
      </c>
      <c r="V4" s="8" t="s">
        <v>149</v>
      </c>
      <c r="W4" s="8" t="s">
        <v>151</v>
      </c>
      <c r="Y4" s="2" t="s">
        <v>1</v>
      </c>
    </row>
    <row r="5" spans="1:25" x14ac:dyDescent="0.2">
      <c r="A5" s="8" t="s">
        <v>289</v>
      </c>
      <c r="B5" s="15" t="s">
        <v>290</v>
      </c>
      <c r="E5" s="8" t="s">
        <v>266</v>
      </c>
      <c r="F5" s="8" t="s">
        <v>266</v>
      </c>
      <c r="G5" s="8" t="s">
        <v>266</v>
      </c>
      <c r="H5" s="8" t="s">
        <v>266</v>
      </c>
      <c r="I5" s="8" t="s">
        <v>371</v>
      </c>
      <c r="J5" s="8" t="s">
        <v>266</v>
      </c>
      <c r="K5" s="8" t="s">
        <v>144</v>
      </c>
      <c r="L5" s="8" t="s">
        <v>144</v>
      </c>
      <c r="M5" s="8" t="s">
        <v>144</v>
      </c>
      <c r="N5" s="8" t="s">
        <v>144</v>
      </c>
      <c r="O5" s="8" t="s">
        <v>144</v>
      </c>
      <c r="P5" s="8" t="s">
        <v>144</v>
      </c>
      <c r="Q5" s="8" t="s">
        <v>144</v>
      </c>
      <c r="R5" s="8" t="s">
        <v>144</v>
      </c>
      <c r="S5" s="8" t="s">
        <v>144</v>
      </c>
      <c r="T5" s="8" t="s">
        <v>144</v>
      </c>
      <c r="U5" s="8" t="s">
        <v>144</v>
      </c>
      <c r="V5" s="8" t="s">
        <v>144</v>
      </c>
      <c r="W5" s="8" t="s">
        <v>144</v>
      </c>
      <c r="Y5" s="2" t="s">
        <v>1</v>
      </c>
    </row>
    <row r="6" spans="1:25" x14ac:dyDescent="0.2">
      <c r="Y6" s="2" t="s">
        <v>1</v>
      </c>
    </row>
    <row r="7" spans="1:25" x14ac:dyDescent="0.2">
      <c r="A7" s="2">
        <v>1</v>
      </c>
      <c r="B7" s="2" t="s">
        <v>306</v>
      </c>
      <c r="C7" s="19">
        <f>DATE(87,6,26)</f>
        <v>31954</v>
      </c>
      <c r="D7" s="8" t="s">
        <v>1039</v>
      </c>
      <c r="E7" s="2">
        <v>587</v>
      </c>
      <c r="F7" s="2">
        <v>164</v>
      </c>
      <c r="G7" s="2">
        <v>168</v>
      </c>
      <c r="H7" s="2">
        <v>1684</v>
      </c>
      <c r="I7" s="2">
        <v>363</v>
      </c>
      <c r="J7" s="2">
        <v>344</v>
      </c>
      <c r="K7" s="2">
        <v>530</v>
      </c>
      <c r="L7" s="2">
        <v>559</v>
      </c>
      <c r="M7" s="2">
        <v>388</v>
      </c>
      <c r="O7" s="2">
        <v>246</v>
      </c>
      <c r="P7" s="2">
        <v>164</v>
      </c>
      <c r="Q7" s="2">
        <v>752</v>
      </c>
      <c r="R7" s="2">
        <v>575</v>
      </c>
      <c r="S7" s="2">
        <v>1780</v>
      </c>
      <c r="T7" s="2">
        <v>574</v>
      </c>
      <c r="U7" s="2">
        <v>353</v>
      </c>
      <c r="V7" s="2">
        <v>35</v>
      </c>
      <c r="W7" s="2">
        <v>617</v>
      </c>
      <c r="Y7" s="2" t="s">
        <v>1</v>
      </c>
    </row>
    <row r="8" spans="1:25" x14ac:dyDescent="0.2">
      <c r="A8" s="2">
        <v>2</v>
      </c>
      <c r="B8" s="2" t="s">
        <v>1075</v>
      </c>
      <c r="C8" s="19">
        <f>DATE(87,6,26)</f>
        <v>31954</v>
      </c>
      <c r="D8" s="2">
        <v>1100</v>
      </c>
      <c r="E8" s="2">
        <v>527</v>
      </c>
      <c r="F8" s="2">
        <v>102</v>
      </c>
      <c r="G8" s="2">
        <v>107</v>
      </c>
      <c r="H8" s="2">
        <v>1693</v>
      </c>
      <c r="I8" s="2">
        <v>361</v>
      </c>
      <c r="J8" s="2">
        <v>345</v>
      </c>
      <c r="K8" s="2">
        <v>463</v>
      </c>
      <c r="L8" s="2">
        <v>424</v>
      </c>
      <c r="M8" s="2">
        <v>320</v>
      </c>
      <c r="O8" s="2">
        <v>231</v>
      </c>
      <c r="P8" s="2">
        <v>168</v>
      </c>
      <c r="Q8" s="2">
        <v>1040</v>
      </c>
      <c r="R8" s="2">
        <v>722</v>
      </c>
      <c r="S8" s="2">
        <v>186</v>
      </c>
      <c r="T8" s="2">
        <v>382</v>
      </c>
      <c r="U8" s="8" t="s">
        <v>1379</v>
      </c>
      <c r="V8" s="2">
        <v>51</v>
      </c>
      <c r="W8" s="2">
        <v>100</v>
      </c>
      <c r="Y8" s="2" t="s">
        <v>1</v>
      </c>
    </row>
    <row r="9" spans="1:25" x14ac:dyDescent="0.2">
      <c r="A9" s="2">
        <v>3</v>
      </c>
      <c r="B9" s="2" t="s">
        <v>346</v>
      </c>
      <c r="C9" s="19">
        <f>DATE(87,6,26)</f>
        <v>31954</v>
      </c>
      <c r="D9" s="2">
        <v>1900</v>
      </c>
      <c r="E9" s="2">
        <v>536</v>
      </c>
      <c r="F9" s="2">
        <v>98</v>
      </c>
      <c r="G9" s="2">
        <v>104</v>
      </c>
      <c r="H9" s="2">
        <v>1690</v>
      </c>
      <c r="I9" s="2">
        <v>393</v>
      </c>
      <c r="J9" s="2">
        <v>344</v>
      </c>
      <c r="K9" s="2">
        <v>467</v>
      </c>
      <c r="L9" s="2">
        <v>331</v>
      </c>
      <c r="M9" s="2">
        <v>773</v>
      </c>
      <c r="O9" s="2">
        <v>320</v>
      </c>
      <c r="P9" s="2">
        <v>171</v>
      </c>
      <c r="Q9" s="2">
        <v>721</v>
      </c>
      <c r="R9" s="2">
        <v>387</v>
      </c>
      <c r="S9" s="2">
        <v>235</v>
      </c>
      <c r="T9" s="2">
        <v>183</v>
      </c>
      <c r="U9" s="2">
        <v>156</v>
      </c>
      <c r="V9" s="2">
        <v>29</v>
      </c>
      <c r="W9" s="2">
        <v>46</v>
      </c>
      <c r="Y9" s="2" t="s">
        <v>1</v>
      </c>
    </row>
    <row r="10" spans="1:25" x14ac:dyDescent="0.2">
      <c r="A10" s="2">
        <v>4</v>
      </c>
      <c r="B10" s="2" t="s">
        <v>304</v>
      </c>
      <c r="C10" s="19">
        <f>DATE(87,6,27)</f>
        <v>31955</v>
      </c>
      <c r="D10" s="8" t="s">
        <v>1039</v>
      </c>
      <c r="E10" s="2">
        <v>529</v>
      </c>
      <c r="F10" s="2">
        <v>92</v>
      </c>
      <c r="G10" s="2">
        <v>99</v>
      </c>
      <c r="H10" s="2">
        <v>1688</v>
      </c>
      <c r="I10" s="2">
        <v>387</v>
      </c>
      <c r="J10" s="2">
        <v>344</v>
      </c>
      <c r="K10" s="2">
        <v>478</v>
      </c>
      <c r="L10" s="2">
        <v>267</v>
      </c>
      <c r="M10" s="2">
        <v>51</v>
      </c>
      <c r="O10" s="2">
        <v>210</v>
      </c>
      <c r="P10" s="2">
        <v>173</v>
      </c>
      <c r="Q10" s="2">
        <v>705</v>
      </c>
      <c r="R10" s="2">
        <v>914</v>
      </c>
      <c r="S10" s="2">
        <v>162</v>
      </c>
      <c r="T10" s="2">
        <v>206</v>
      </c>
      <c r="U10" s="2">
        <v>516</v>
      </c>
      <c r="V10" s="2">
        <v>34</v>
      </c>
      <c r="W10" s="2">
        <v>54</v>
      </c>
      <c r="Y10" s="2" t="s">
        <v>1</v>
      </c>
    </row>
    <row r="11" spans="1:25" x14ac:dyDescent="0.2">
      <c r="A11" s="2">
        <v>5</v>
      </c>
      <c r="B11" s="2" t="s">
        <v>1380</v>
      </c>
      <c r="C11" s="19">
        <f>DATE(87,6,27)</f>
        <v>31955</v>
      </c>
      <c r="D11" s="8" t="s">
        <v>1381</v>
      </c>
      <c r="E11" s="2">
        <v>676</v>
      </c>
      <c r="F11" s="2">
        <v>95</v>
      </c>
      <c r="G11" s="2">
        <v>100</v>
      </c>
      <c r="H11" s="2">
        <v>1680</v>
      </c>
      <c r="I11" s="2">
        <v>362</v>
      </c>
      <c r="J11" s="2">
        <v>343</v>
      </c>
      <c r="K11" s="2">
        <v>458</v>
      </c>
      <c r="L11" s="2">
        <v>862</v>
      </c>
      <c r="M11" s="2">
        <v>209</v>
      </c>
      <c r="N11" s="2">
        <v>15</v>
      </c>
      <c r="O11" s="2">
        <v>241</v>
      </c>
      <c r="P11" s="2">
        <v>170</v>
      </c>
      <c r="Q11" s="2">
        <v>685</v>
      </c>
      <c r="R11" s="2">
        <v>413</v>
      </c>
      <c r="S11" s="2">
        <v>183</v>
      </c>
      <c r="T11" s="2">
        <v>182</v>
      </c>
      <c r="U11" s="2">
        <v>302</v>
      </c>
      <c r="V11" s="2">
        <v>34</v>
      </c>
      <c r="W11" s="2">
        <v>41</v>
      </c>
      <c r="Y11" s="2" t="s">
        <v>1</v>
      </c>
    </row>
    <row r="12" spans="1:25" x14ac:dyDescent="0.2">
      <c r="A12" s="2">
        <v>6</v>
      </c>
      <c r="B12" s="2" t="s">
        <v>1382</v>
      </c>
      <c r="C12" s="19">
        <f>DATE(87,6,27)</f>
        <v>31955</v>
      </c>
      <c r="D12" s="2">
        <v>1900</v>
      </c>
      <c r="E12" s="2">
        <v>526</v>
      </c>
      <c r="F12" s="2">
        <v>94</v>
      </c>
      <c r="G12" s="2">
        <v>101</v>
      </c>
      <c r="H12" s="2">
        <v>1688</v>
      </c>
      <c r="I12" s="2">
        <v>403</v>
      </c>
      <c r="J12" s="2">
        <v>343</v>
      </c>
      <c r="K12" s="2">
        <v>470</v>
      </c>
      <c r="L12" s="2">
        <v>309</v>
      </c>
      <c r="M12" s="2">
        <v>380</v>
      </c>
      <c r="O12" s="2">
        <v>230</v>
      </c>
      <c r="P12" s="2">
        <v>172</v>
      </c>
      <c r="Q12" s="2">
        <v>654</v>
      </c>
      <c r="R12" s="2">
        <v>399</v>
      </c>
      <c r="S12" s="2">
        <v>161</v>
      </c>
      <c r="T12" s="2">
        <v>232</v>
      </c>
      <c r="U12" s="2">
        <v>220</v>
      </c>
      <c r="V12" s="2">
        <v>34</v>
      </c>
      <c r="W12" s="2">
        <v>47</v>
      </c>
      <c r="Y12" s="2" t="s">
        <v>1</v>
      </c>
    </row>
    <row r="13" spans="1:25" x14ac:dyDescent="0.2">
      <c r="A13" s="2">
        <v>7</v>
      </c>
      <c r="B13" s="2" t="s">
        <v>1383</v>
      </c>
      <c r="C13" s="19">
        <f>DATE(87,6,28)</f>
        <v>31956</v>
      </c>
      <c r="D13" s="8" t="s">
        <v>1039</v>
      </c>
      <c r="E13" s="2">
        <v>529</v>
      </c>
      <c r="F13" s="2">
        <v>100</v>
      </c>
      <c r="G13" s="2">
        <v>106</v>
      </c>
      <c r="H13" s="2">
        <v>1683</v>
      </c>
      <c r="I13" s="2">
        <v>364</v>
      </c>
      <c r="J13" s="2">
        <v>343</v>
      </c>
      <c r="K13" s="2">
        <v>460</v>
      </c>
      <c r="L13" s="2">
        <v>270</v>
      </c>
      <c r="M13" s="2">
        <v>51</v>
      </c>
      <c r="O13" s="2">
        <v>236</v>
      </c>
      <c r="P13" s="2">
        <v>170</v>
      </c>
      <c r="Q13" s="2">
        <v>746</v>
      </c>
      <c r="R13" s="2">
        <v>447</v>
      </c>
      <c r="S13" s="2">
        <v>232</v>
      </c>
      <c r="T13" s="2">
        <v>316</v>
      </c>
      <c r="U13" s="2">
        <v>277</v>
      </c>
      <c r="V13" s="2">
        <v>45</v>
      </c>
      <c r="W13" s="2">
        <v>74</v>
      </c>
      <c r="Y13" s="2" t="s">
        <v>1</v>
      </c>
    </row>
    <row r="14" spans="1:25" x14ac:dyDescent="0.2">
      <c r="A14" s="2">
        <v>8</v>
      </c>
      <c r="B14" s="2" t="s">
        <v>1384</v>
      </c>
      <c r="C14" s="19">
        <f>DATE(87,6,28)</f>
        <v>31956</v>
      </c>
      <c r="D14" s="2">
        <v>1100</v>
      </c>
      <c r="E14" s="2">
        <v>535</v>
      </c>
      <c r="F14" s="2">
        <v>100</v>
      </c>
      <c r="G14" s="2">
        <v>106</v>
      </c>
      <c r="H14" s="2">
        <v>1679</v>
      </c>
      <c r="I14" s="2">
        <v>362</v>
      </c>
      <c r="J14" s="2">
        <v>341</v>
      </c>
      <c r="K14" s="2">
        <v>724</v>
      </c>
      <c r="L14" s="2">
        <v>15270</v>
      </c>
      <c r="M14" s="2">
        <v>211</v>
      </c>
      <c r="N14" s="2">
        <v>41</v>
      </c>
      <c r="O14" s="2">
        <v>726</v>
      </c>
      <c r="P14" s="2">
        <v>175</v>
      </c>
      <c r="Q14" s="2">
        <v>751</v>
      </c>
      <c r="R14" s="2">
        <v>600</v>
      </c>
      <c r="S14" s="2">
        <v>195</v>
      </c>
      <c r="T14" s="2">
        <v>310</v>
      </c>
      <c r="U14" s="2">
        <v>416</v>
      </c>
      <c r="V14" s="2">
        <v>274</v>
      </c>
      <c r="W14" s="2">
        <v>340</v>
      </c>
      <c r="Y14" s="2" t="s">
        <v>1</v>
      </c>
    </row>
    <row r="15" spans="1:25" x14ac:dyDescent="0.2">
      <c r="A15" s="2">
        <v>9</v>
      </c>
      <c r="B15" s="2" t="s">
        <v>1385</v>
      </c>
      <c r="C15" s="19">
        <f>DATE(87,6,28)</f>
        <v>31956</v>
      </c>
      <c r="D15" s="2">
        <v>1900</v>
      </c>
      <c r="E15" s="2">
        <v>538</v>
      </c>
      <c r="F15" s="2">
        <v>86</v>
      </c>
      <c r="G15" s="2">
        <v>90</v>
      </c>
      <c r="H15" s="2">
        <v>1671</v>
      </c>
      <c r="I15" s="2">
        <v>361</v>
      </c>
      <c r="J15" s="2">
        <v>344</v>
      </c>
      <c r="K15" s="2">
        <v>458</v>
      </c>
      <c r="L15" s="2">
        <v>290</v>
      </c>
      <c r="M15" s="2">
        <v>461</v>
      </c>
      <c r="O15" s="2">
        <v>263</v>
      </c>
      <c r="P15" s="2">
        <v>173</v>
      </c>
      <c r="Q15" s="2">
        <v>679</v>
      </c>
      <c r="R15" s="2">
        <v>246</v>
      </c>
      <c r="S15" s="2">
        <v>203</v>
      </c>
      <c r="T15" s="2">
        <v>282</v>
      </c>
      <c r="U15" s="2">
        <v>86</v>
      </c>
      <c r="V15" s="2">
        <v>50</v>
      </c>
      <c r="W15" s="2">
        <v>79</v>
      </c>
      <c r="Y15" s="2" t="s">
        <v>1</v>
      </c>
    </row>
    <row r="16" spans="1:25" x14ac:dyDescent="0.2">
      <c r="A16" s="2">
        <v>10</v>
      </c>
      <c r="B16" s="2" t="s">
        <v>1386</v>
      </c>
      <c r="C16" s="19">
        <f>DATE(87,6,29)</f>
        <v>31957</v>
      </c>
      <c r="D16" s="8" t="s">
        <v>1039</v>
      </c>
      <c r="E16" s="2">
        <v>532</v>
      </c>
      <c r="F16" s="2">
        <v>74</v>
      </c>
      <c r="G16" s="2">
        <v>77</v>
      </c>
      <c r="H16" s="2">
        <v>1672</v>
      </c>
      <c r="I16" s="2">
        <v>374</v>
      </c>
      <c r="J16" s="2">
        <v>342</v>
      </c>
      <c r="K16" s="2">
        <v>485</v>
      </c>
      <c r="L16" s="2">
        <v>1278</v>
      </c>
      <c r="M16" s="2">
        <v>55</v>
      </c>
      <c r="O16" s="2">
        <v>239</v>
      </c>
      <c r="P16" s="2">
        <v>168</v>
      </c>
      <c r="Q16" s="2">
        <v>632</v>
      </c>
      <c r="R16" s="2">
        <v>742</v>
      </c>
      <c r="S16" s="2">
        <v>186</v>
      </c>
      <c r="T16" s="2">
        <v>230</v>
      </c>
      <c r="U16" s="2">
        <v>168</v>
      </c>
      <c r="V16" s="2">
        <v>102</v>
      </c>
      <c r="W16" s="2">
        <v>175</v>
      </c>
      <c r="Y16" s="2" t="s">
        <v>1</v>
      </c>
    </row>
    <row r="17" spans="1:25" x14ac:dyDescent="0.2">
      <c r="A17" s="2">
        <v>11</v>
      </c>
      <c r="B17" s="2" t="s">
        <v>1387</v>
      </c>
      <c r="C17" s="19">
        <f>DATE(87,6,29)</f>
        <v>31957</v>
      </c>
      <c r="D17" s="2">
        <v>1100</v>
      </c>
      <c r="E17" s="2">
        <v>533</v>
      </c>
      <c r="F17" s="2">
        <v>75</v>
      </c>
      <c r="G17" s="2">
        <v>80</v>
      </c>
      <c r="H17" s="2">
        <v>1668</v>
      </c>
      <c r="I17" s="2">
        <v>360</v>
      </c>
      <c r="J17" s="2">
        <v>343</v>
      </c>
      <c r="K17" s="2">
        <v>442</v>
      </c>
      <c r="L17" s="2">
        <v>299</v>
      </c>
      <c r="M17" s="2">
        <v>143</v>
      </c>
      <c r="O17" s="2">
        <v>208</v>
      </c>
      <c r="P17" s="2">
        <v>171</v>
      </c>
      <c r="Q17" s="2">
        <v>582</v>
      </c>
      <c r="R17" s="2">
        <v>1040</v>
      </c>
      <c r="S17" s="2">
        <v>134</v>
      </c>
      <c r="T17" s="2">
        <v>195</v>
      </c>
      <c r="U17" s="2">
        <v>422</v>
      </c>
      <c r="V17" s="2">
        <v>200</v>
      </c>
      <c r="W17" s="2">
        <v>489</v>
      </c>
      <c r="Y17" s="2" t="s">
        <v>1</v>
      </c>
    </row>
    <row r="18" spans="1:25" x14ac:dyDescent="0.2">
      <c r="A18" s="2">
        <v>12</v>
      </c>
      <c r="B18" s="2" t="s">
        <v>1388</v>
      </c>
      <c r="C18" s="19">
        <f>DATE(87,6,29)</f>
        <v>31957</v>
      </c>
      <c r="D18" s="2">
        <v>1900</v>
      </c>
      <c r="E18" s="2">
        <v>541</v>
      </c>
      <c r="F18" s="2">
        <v>92</v>
      </c>
      <c r="G18" s="2">
        <v>97</v>
      </c>
      <c r="H18" s="2">
        <v>1678</v>
      </c>
      <c r="I18" s="2">
        <v>360</v>
      </c>
      <c r="J18" s="2">
        <v>342</v>
      </c>
      <c r="K18" s="2">
        <v>520</v>
      </c>
      <c r="L18" s="2">
        <v>337</v>
      </c>
      <c r="M18" s="2">
        <v>440</v>
      </c>
      <c r="N18" s="2">
        <v>16</v>
      </c>
      <c r="O18" s="2">
        <v>603</v>
      </c>
      <c r="P18" s="2">
        <v>171</v>
      </c>
      <c r="Q18" s="2">
        <v>753</v>
      </c>
      <c r="R18" s="2">
        <v>355</v>
      </c>
      <c r="S18" s="2">
        <v>218</v>
      </c>
      <c r="T18" s="2">
        <v>300</v>
      </c>
      <c r="U18" s="2">
        <v>101</v>
      </c>
      <c r="V18" s="2">
        <v>57</v>
      </c>
      <c r="W18" s="2">
        <v>99</v>
      </c>
      <c r="Y18" s="2" t="s">
        <v>1</v>
      </c>
    </row>
    <row r="19" spans="1:25" x14ac:dyDescent="0.2">
      <c r="A19" s="2">
        <v>13</v>
      </c>
      <c r="B19" s="2" t="s">
        <v>1389</v>
      </c>
      <c r="C19" s="19">
        <f>DATE(87,6,30)</f>
        <v>31958</v>
      </c>
      <c r="D19" s="8" t="s">
        <v>1039</v>
      </c>
      <c r="E19" s="2">
        <v>594</v>
      </c>
      <c r="F19" s="2">
        <v>113</v>
      </c>
      <c r="G19" s="2">
        <v>117</v>
      </c>
      <c r="H19" s="2">
        <v>1687</v>
      </c>
      <c r="I19" s="2">
        <v>361</v>
      </c>
      <c r="J19" s="2">
        <v>342</v>
      </c>
      <c r="K19" s="2">
        <v>462</v>
      </c>
      <c r="L19" s="2">
        <v>268</v>
      </c>
      <c r="M19" s="2">
        <v>46</v>
      </c>
      <c r="O19" s="2">
        <v>242</v>
      </c>
      <c r="P19" s="2">
        <v>170</v>
      </c>
      <c r="Q19" s="2">
        <v>892</v>
      </c>
      <c r="R19" s="2">
        <v>301</v>
      </c>
      <c r="S19" s="2">
        <v>257</v>
      </c>
      <c r="T19" s="2">
        <v>640</v>
      </c>
      <c r="U19" s="2">
        <v>194</v>
      </c>
      <c r="V19" s="2">
        <v>133</v>
      </c>
      <c r="W19" s="2">
        <v>284</v>
      </c>
      <c r="Y19" s="2" t="s">
        <v>1</v>
      </c>
    </row>
    <row r="20" spans="1:25" x14ac:dyDescent="0.2">
      <c r="A20" s="2">
        <v>15</v>
      </c>
      <c r="B20" s="2" t="s">
        <v>1390</v>
      </c>
      <c r="C20" s="19">
        <f>DATE(87,6,30)</f>
        <v>31958</v>
      </c>
      <c r="D20" s="2">
        <v>1900</v>
      </c>
      <c r="E20" s="2">
        <v>544</v>
      </c>
      <c r="F20" s="2">
        <v>68</v>
      </c>
      <c r="G20" s="2">
        <v>7</v>
      </c>
      <c r="H20" s="2">
        <v>1664</v>
      </c>
      <c r="I20" s="2">
        <v>361</v>
      </c>
      <c r="J20" s="2">
        <v>344</v>
      </c>
      <c r="K20" s="2">
        <v>448</v>
      </c>
      <c r="L20" s="2">
        <v>275</v>
      </c>
      <c r="M20" s="2">
        <v>408</v>
      </c>
      <c r="O20" s="2">
        <v>218</v>
      </c>
      <c r="P20" s="2">
        <v>169</v>
      </c>
      <c r="Q20" s="2">
        <v>524</v>
      </c>
      <c r="R20" s="2">
        <v>364</v>
      </c>
      <c r="S20" s="2">
        <v>119</v>
      </c>
      <c r="T20" s="2">
        <v>132</v>
      </c>
      <c r="U20" s="2">
        <v>113</v>
      </c>
      <c r="V20" s="2">
        <v>34</v>
      </c>
      <c r="W20" s="2">
        <v>47</v>
      </c>
      <c r="Y20" s="2" t="s">
        <v>1</v>
      </c>
    </row>
    <row r="21" spans="1:25" x14ac:dyDescent="0.2">
      <c r="A21" s="2">
        <v>16</v>
      </c>
      <c r="B21" s="2" t="s">
        <v>616</v>
      </c>
      <c r="C21" s="19">
        <f>DATE(87,7,5)</f>
        <v>31963</v>
      </c>
      <c r="D21" s="2">
        <v>1100</v>
      </c>
      <c r="E21" s="2">
        <v>537</v>
      </c>
      <c r="F21" s="2">
        <v>95</v>
      </c>
      <c r="G21" s="2">
        <v>96</v>
      </c>
      <c r="H21" s="2">
        <v>1702</v>
      </c>
      <c r="I21" s="2">
        <v>357</v>
      </c>
      <c r="J21" s="2">
        <v>344</v>
      </c>
      <c r="K21" s="2">
        <v>453</v>
      </c>
      <c r="L21" s="2">
        <v>285</v>
      </c>
      <c r="M21" s="2">
        <v>156</v>
      </c>
      <c r="N21" s="2">
        <v>10</v>
      </c>
      <c r="O21" s="2">
        <v>222</v>
      </c>
      <c r="P21" s="2">
        <v>176</v>
      </c>
      <c r="Q21" s="2">
        <v>838</v>
      </c>
      <c r="R21" s="2">
        <v>382</v>
      </c>
      <c r="S21" s="2">
        <v>247</v>
      </c>
      <c r="T21" s="2">
        <v>249</v>
      </c>
      <c r="U21" s="2">
        <v>231</v>
      </c>
      <c r="V21" s="2">
        <v>34</v>
      </c>
      <c r="W21" s="2">
        <v>51</v>
      </c>
      <c r="Y21" s="2" t="s">
        <v>1</v>
      </c>
    </row>
    <row r="22" spans="1:25" x14ac:dyDescent="0.2">
      <c r="A22" s="2">
        <v>17</v>
      </c>
      <c r="B22" s="2" t="s">
        <v>1391</v>
      </c>
      <c r="C22" s="19">
        <f>DATE(87,7,5)</f>
        <v>31963</v>
      </c>
      <c r="D22" s="2">
        <v>1615</v>
      </c>
      <c r="E22" s="2">
        <v>663</v>
      </c>
      <c r="F22" s="2">
        <v>96</v>
      </c>
      <c r="G22" s="2">
        <v>104</v>
      </c>
      <c r="H22" s="2">
        <v>1706</v>
      </c>
      <c r="I22" s="2">
        <v>357</v>
      </c>
      <c r="J22" s="2">
        <v>344</v>
      </c>
      <c r="K22" s="2">
        <v>440</v>
      </c>
      <c r="L22" s="2">
        <v>254</v>
      </c>
      <c r="M22" s="2">
        <v>39</v>
      </c>
      <c r="O22" s="2">
        <v>210</v>
      </c>
      <c r="P22" s="2">
        <v>165</v>
      </c>
      <c r="Q22" s="2">
        <v>1010</v>
      </c>
      <c r="R22" s="2">
        <v>1670</v>
      </c>
      <c r="S22" s="2">
        <v>139</v>
      </c>
      <c r="T22" s="2">
        <v>435</v>
      </c>
      <c r="U22" s="2">
        <v>713</v>
      </c>
      <c r="V22" s="2">
        <v>45</v>
      </c>
      <c r="W22" s="2">
        <v>118</v>
      </c>
      <c r="Y22" s="2" t="s">
        <v>1</v>
      </c>
    </row>
    <row r="23" spans="1:25" x14ac:dyDescent="0.2">
      <c r="A23" s="2">
        <v>19</v>
      </c>
      <c r="B23" s="2" t="s">
        <v>1041</v>
      </c>
      <c r="C23" s="19">
        <f>DATE(87,7,18)</f>
        <v>31976</v>
      </c>
      <c r="D23" s="8" t="s">
        <v>1039</v>
      </c>
      <c r="E23" s="2">
        <v>523</v>
      </c>
      <c r="F23" s="2">
        <v>66</v>
      </c>
      <c r="G23" s="2">
        <v>68</v>
      </c>
      <c r="H23" s="2">
        <v>1680</v>
      </c>
      <c r="I23" s="2">
        <v>357</v>
      </c>
      <c r="J23" s="2">
        <v>342</v>
      </c>
      <c r="K23" s="2">
        <v>438</v>
      </c>
      <c r="L23" s="2">
        <v>270</v>
      </c>
      <c r="M23" s="2">
        <v>96</v>
      </c>
      <c r="O23" s="2">
        <v>222</v>
      </c>
      <c r="P23" s="2">
        <v>170</v>
      </c>
      <c r="Q23" s="2">
        <v>520</v>
      </c>
      <c r="R23" s="2">
        <v>557</v>
      </c>
      <c r="S23" s="2">
        <v>169</v>
      </c>
      <c r="T23" s="2">
        <v>121</v>
      </c>
      <c r="U23" s="2">
        <v>460</v>
      </c>
      <c r="V23" s="2">
        <v>22</v>
      </c>
      <c r="W23" s="2">
        <v>36</v>
      </c>
      <c r="Y23" s="2" t="s">
        <v>1</v>
      </c>
    </row>
    <row r="24" spans="1:25" x14ac:dyDescent="0.2">
      <c r="A24" s="2">
        <v>20</v>
      </c>
      <c r="B24" s="2" t="s">
        <v>1384</v>
      </c>
      <c r="C24" s="19">
        <f>DATE(87,7,18)</f>
        <v>31976</v>
      </c>
      <c r="D24" s="2">
        <v>1100</v>
      </c>
      <c r="E24" s="2">
        <v>567</v>
      </c>
      <c r="F24" s="2">
        <v>96</v>
      </c>
      <c r="G24" s="2">
        <v>98</v>
      </c>
      <c r="H24" s="2">
        <v>1690</v>
      </c>
      <c r="I24" s="2">
        <v>357</v>
      </c>
      <c r="J24" s="2">
        <v>342</v>
      </c>
      <c r="K24" s="2">
        <v>510</v>
      </c>
      <c r="L24" s="2">
        <v>786</v>
      </c>
      <c r="M24" s="2">
        <v>343</v>
      </c>
      <c r="O24" s="2">
        <v>264</v>
      </c>
      <c r="P24" s="2">
        <v>171</v>
      </c>
      <c r="Q24" s="2">
        <v>632</v>
      </c>
      <c r="R24" s="2">
        <v>653</v>
      </c>
      <c r="S24" s="2">
        <v>1060</v>
      </c>
      <c r="T24" s="2">
        <v>433</v>
      </c>
      <c r="U24" s="2">
        <v>575</v>
      </c>
      <c r="V24" s="2">
        <v>52</v>
      </c>
      <c r="W24" s="2">
        <v>468</v>
      </c>
      <c r="Y24" s="2" t="s">
        <v>1</v>
      </c>
    </row>
    <row r="25" spans="1:25" x14ac:dyDescent="0.2">
      <c r="A25" s="2">
        <v>27</v>
      </c>
      <c r="B25" s="2" t="s">
        <v>1392</v>
      </c>
      <c r="C25" s="19">
        <f>DATE(87,7,20)</f>
        <v>31978</v>
      </c>
      <c r="D25" s="2">
        <v>1900</v>
      </c>
      <c r="E25" s="2">
        <v>541</v>
      </c>
      <c r="F25" s="2">
        <v>87</v>
      </c>
      <c r="G25" s="2">
        <v>84</v>
      </c>
      <c r="H25" s="2">
        <v>1666</v>
      </c>
      <c r="I25" s="2">
        <v>366</v>
      </c>
      <c r="J25" s="2">
        <v>346</v>
      </c>
      <c r="K25" s="2">
        <v>456</v>
      </c>
      <c r="L25" s="2">
        <v>272</v>
      </c>
      <c r="M25" s="2">
        <v>386</v>
      </c>
      <c r="O25" s="2">
        <v>220</v>
      </c>
      <c r="P25" s="2">
        <v>175</v>
      </c>
      <c r="Q25" s="2">
        <v>657</v>
      </c>
      <c r="R25" s="2">
        <v>309</v>
      </c>
      <c r="S25" s="2">
        <v>519</v>
      </c>
      <c r="T25" s="2">
        <v>646</v>
      </c>
      <c r="U25" s="2">
        <v>93</v>
      </c>
      <c r="V25" s="2">
        <v>65</v>
      </c>
      <c r="W25" s="2">
        <v>119</v>
      </c>
      <c r="Y25" s="2" t="s">
        <v>1</v>
      </c>
    </row>
    <row r="26" spans="1:25" x14ac:dyDescent="0.2">
      <c r="A26" s="2">
        <v>29</v>
      </c>
      <c r="B26" s="2" t="s">
        <v>1393</v>
      </c>
      <c r="C26" s="19">
        <f>DATE(87,7,21)</f>
        <v>31979</v>
      </c>
      <c r="D26" s="2">
        <v>1100</v>
      </c>
      <c r="E26" s="2">
        <v>533</v>
      </c>
      <c r="F26" s="2">
        <v>70</v>
      </c>
      <c r="G26" s="2">
        <v>68</v>
      </c>
      <c r="H26" s="2">
        <v>1662</v>
      </c>
      <c r="I26" s="2">
        <v>361</v>
      </c>
      <c r="J26" s="2">
        <v>344</v>
      </c>
      <c r="K26" s="2">
        <v>442</v>
      </c>
      <c r="L26" s="2">
        <v>291</v>
      </c>
      <c r="M26" s="2">
        <v>164</v>
      </c>
      <c r="O26" s="2">
        <v>205</v>
      </c>
      <c r="P26" s="2">
        <v>174</v>
      </c>
      <c r="Q26" s="2">
        <v>509</v>
      </c>
      <c r="R26" s="2">
        <v>125</v>
      </c>
      <c r="S26" s="2">
        <v>468</v>
      </c>
      <c r="T26" s="2">
        <v>145</v>
      </c>
      <c r="U26" s="2">
        <v>127</v>
      </c>
      <c r="V26" s="2">
        <v>36</v>
      </c>
      <c r="W26" s="2">
        <v>51</v>
      </c>
      <c r="Y26" s="2" t="s">
        <v>1</v>
      </c>
    </row>
    <row r="27" spans="1:25" x14ac:dyDescent="0.2">
      <c r="A27" s="2">
        <v>31</v>
      </c>
      <c r="B27" s="2" t="s">
        <v>1380</v>
      </c>
      <c r="C27" s="19">
        <f>DATE(87,7,22)</f>
        <v>31980</v>
      </c>
      <c r="D27" s="8" t="s">
        <v>1039</v>
      </c>
      <c r="E27" s="2">
        <v>522</v>
      </c>
      <c r="F27" s="2">
        <v>63</v>
      </c>
      <c r="G27" s="2">
        <v>60</v>
      </c>
      <c r="H27" s="2">
        <v>1659</v>
      </c>
      <c r="I27" s="2">
        <v>362</v>
      </c>
      <c r="J27" s="2">
        <v>346</v>
      </c>
      <c r="K27" s="2">
        <v>435</v>
      </c>
      <c r="L27" s="2">
        <v>266</v>
      </c>
      <c r="M27" s="2">
        <v>43</v>
      </c>
      <c r="O27" s="2">
        <v>196</v>
      </c>
      <c r="P27" s="2">
        <v>172</v>
      </c>
      <c r="Q27" s="2">
        <v>496</v>
      </c>
      <c r="R27" s="2">
        <v>126</v>
      </c>
      <c r="S27" s="2">
        <v>400</v>
      </c>
      <c r="T27" s="2">
        <v>105</v>
      </c>
      <c r="U27" s="2">
        <v>141</v>
      </c>
      <c r="V27" s="2">
        <v>18</v>
      </c>
      <c r="W27" s="2">
        <v>21</v>
      </c>
      <c r="Y27" s="2" t="s">
        <v>1</v>
      </c>
    </row>
    <row r="28" spans="1:25" x14ac:dyDescent="0.2">
      <c r="A28" s="2">
        <v>32</v>
      </c>
      <c r="B28" s="2" t="s">
        <v>1383</v>
      </c>
      <c r="C28" s="19">
        <f>DATE(87,7,22)</f>
        <v>31980</v>
      </c>
      <c r="D28" s="2">
        <v>1100</v>
      </c>
      <c r="E28" s="2">
        <v>519</v>
      </c>
      <c r="F28" s="2">
        <v>66</v>
      </c>
      <c r="G28" s="2">
        <v>65</v>
      </c>
      <c r="H28" s="2">
        <v>1666</v>
      </c>
      <c r="I28" s="2">
        <v>360</v>
      </c>
      <c r="J28" s="2">
        <v>345</v>
      </c>
      <c r="K28" s="2">
        <v>450</v>
      </c>
      <c r="L28" s="2">
        <v>434</v>
      </c>
      <c r="M28" s="2">
        <v>128</v>
      </c>
      <c r="O28" s="2">
        <v>212</v>
      </c>
      <c r="P28" s="2">
        <v>168</v>
      </c>
      <c r="Q28" s="2">
        <v>444</v>
      </c>
      <c r="R28" s="2">
        <v>95</v>
      </c>
      <c r="S28" s="2">
        <v>379</v>
      </c>
      <c r="T28" s="2">
        <v>67</v>
      </c>
      <c r="U28" s="2">
        <v>123</v>
      </c>
      <c r="V28" s="2">
        <v>19</v>
      </c>
      <c r="W28" s="2">
        <v>20</v>
      </c>
      <c r="Y28" s="2" t="s">
        <v>1</v>
      </c>
    </row>
    <row r="29" spans="1:25" x14ac:dyDescent="0.2">
      <c r="A29" s="2">
        <v>33</v>
      </c>
      <c r="B29" s="2" t="s">
        <v>1394</v>
      </c>
      <c r="C29" s="19">
        <f>DATE(87,7,22)</f>
        <v>31980</v>
      </c>
      <c r="D29" s="2">
        <v>1900</v>
      </c>
      <c r="E29" s="2">
        <v>591</v>
      </c>
      <c r="F29" s="2">
        <v>80</v>
      </c>
      <c r="G29" s="2">
        <v>79</v>
      </c>
      <c r="H29" s="2">
        <v>1680</v>
      </c>
      <c r="I29" s="2">
        <v>361</v>
      </c>
      <c r="J29" s="2">
        <v>344</v>
      </c>
      <c r="K29" s="2">
        <v>448</v>
      </c>
      <c r="L29" s="2">
        <v>272</v>
      </c>
      <c r="M29" s="2">
        <v>292</v>
      </c>
      <c r="O29" s="2">
        <v>220</v>
      </c>
      <c r="P29" s="2">
        <v>131</v>
      </c>
      <c r="Q29" s="2">
        <v>600</v>
      </c>
      <c r="R29" s="2">
        <v>253</v>
      </c>
      <c r="S29" s="2">
        <v>506</v>
      </c>
      <c r="T29" s="2">
        <v>157</v>
      </c>
      <c r="U29" s="2">
        <v>110</v>
      </c>
      <c r="V29" s="2">
        <v>26</v>
      </c>
      <c r="W29" s="2">
        <v>38</v>
      </c>
      <c r="Y29" s="2" t="s">
        <v>1</v>
      </c>
    </row>
    <row r="30" spans="1:25" x14ac:dyDescent="0.2">
      <c r="A30" s="2">
        <v>34</v>
      </c>
      <c r="B30" s="2" t="s">
        <v>1395</v>
      </c>
      <c r="C30" s="19">
        <f>DATE(87,7,23)</f>
        <v>31981</v>
      </c>
      <c r="D30" s="8" t="s">
        <v>1039</v>
      </c>
      <c r="E30" s="2">
        <v>552</v>
      </c>
      <c r="F30" s="2">
        <v>76</v>
      </c>
      <c r="G30" s="2">
        <v>70</v>
      </c>
      <c r="H30" s="2">
        <v>1673</v>
      </c>
      <c r="I30" s="2">
        <v>360</v>
      </c>
      <c r="J30" s="2">
        <v>344</v>
      </c>
      <c r="K30" s="2">
        <v>493</v>
      </c>
      <c r="L30" s="2">
        <v>262</v>
      </c>
      <c r="M30" s="2">
        <v>44</v>
      </c>
      <c r="O30" s="2">
        <v>212</v>
      </c>
      <c r="P30" s="2">
        <v>171</v>
      </c>
      <c r="Q30" s="2">
        <v>559</v>
      </c>
      <c r="R30" s="2">
        <v>248</v>
      </c>
      <c r="S30" s="2">
        <v>437</v>
      </c>
      <c r="T30" s="2">
        <v>168</v>
      </c>
      <c r="U30" s="2">
        <v>204</v>
      </c>
      <c r="V30" s="2">
        <v>21</v>
      </c>
      <c r="W30" s="2">
        <v>30</v>
      </c>
      <c r="Y30" s="2" t="s">
        <v>1</v>
      </c>
    </row>
    <row r="31" spans="1:25" x14ac:dyDescent="0.2">
      <c r="A31" s="2">
        <v>35</v>
      </c>
      <c r="B31" s="2" t="s">
        <v>1396</v>
      </c>
      <c r="C31" s="19">
        <f>DATE(87,7,23)</f>
        <v>31981</v>
      </c>
      <c r="D31" s="2">
        <v>1100</v>
      </c>
      <c r="E31" s="2">
        <v>543</v>
      </c>
      <c r="F31" s="2">
        <v>82</v>
      </c>
      <c r="G31" s="2">
        <v>80</v>
      </c>
      <c r="H31" s="2">
        <v>1667</v>
      </c>
      <c r="I31" s="2">
        <v>359</v>
      </c>
      <c r="J31" s="2">
        <v>344</v>
      </c>
      <c r="K31" s="2">
        <v>455</v>
      </c>
      <c r="L31" s="2">
        <v>330</v>
      </c>
      <c r="M31" s="2">
        <v>124</v>
      </c>
      <c r="O31" s="2">
        <v>207</v>
      </c>
      <c r="P31" s="2">
        <v>172</v>
      </c>
      <c r="Q31" s="2">
        <v>617</v>
      </c>
      <c r="R31" s="2">
        <v>336</v>
      </c>
      <c r="S31" s="2">
        <v>369</v>
      </c>
      <c r="T31" s="2">
        <v>301</v>
      </c>
      <c r="U31" s="2">
        <v>150</v>
      </c>
      <c r="V31" s="2">
        <v>43</v>
      </c>
      <c r="W31" s="2">
        <v>101</v>
      </c>
      <c r="Y31" s="2" t="s">
        <v>1</v>
      </c>
    </row>
    <row r="32" spans="1:25" x14ac:dyDescent="0.2">
      <c r="A32" s="2">
        <v>36</v>
      </c>
      <c r="B32" s="2" t="s">
        <v>1397</v>
      </c>
      <c r="C32" s="19">
        <f>DATE(87,7,23)</f>
        <v>31981</v>
      </c>
      <c r="D32" s="2">
        <v>1900</v>
      </c>
      <c r="E32" s="2">
        <v>566</v>
      </c>
      <c r="F32" s="2">
        <v>88</v>
      </c>
      <c r="G32" s="2">
        <v>88</v>
      </c>
      <c r="H32" s="2">
        <v>1667</v>
      </c>
      <c r="I32" s="2">
        <v>361</v>
      </c>
      <c r="J32" s="2">
        <v>344</v>
      </c>
      <c r="K32" s="2">
        <v>443</v>
      </c>
      <c r="L32" s="2">
        <v>268</v>
      </c>
      <c r="M32" s="2">
        <v>328</v>
      </c>
      <c r="O32" s="2">
        <v>214</v>
      </c>
      <c r="P32" s="2">
        <v>170</v>
      </c>
      <c r="Q32" s="2">
        <v>619</v>
      </c>
      <c r="R32" s="2">
        <v>409</v>
      </c>
      <c r="S32" s="2">
        <v>466</v>
      </c>
      <c r="T32" s="2">
        <v>193</v>
      </c>
      <c r="U32" s="2">
        <v>104</v>
      </c>
      <c r="V32" s="2">
        <v>28</v>
      </c>
      <c r="W32" s="2">
        <v>49</v>
      </c>
      <c r="Y32" s="2" t="s">
        <v>1</v>
      </c>
    </row>
    <row r="33" spans="1:25" x14ac:dyDescent="0.2">
      <c r="A33" s="2">
        <v>37</v>
      </c>
      <c r="B33" s="2" t="s">
        <v>1398</v>
      </c>
      <c r="C33" s="19">
        <f>DATE(87,7,24)</f>
        <v>31982</v>
      </c>
      <c r="D33" s="8" t="s">
        <v>1039</v>
      </c>
      <c r="E33" s="2">
        <v>538</v>
      </c>
      <c r="F33" s="2">
        <v>78</v>
      </c>
      <c r="G33" s="2">
        <v>77</v>
      </c>
      <c r="H33" s="2">
        <v>1675</v>
      </c>
      <c r="I33" s="2">
        <v>360</v>
      </c>
      <c r="J33" s="2">
        <v>345</v>
      </c>
      <c r="K33" s="2">
        <v>480</v>
      </c>
      <c r="L33" s="2">
        <v>993</v>
      </c>
      <c r="M33" s="2">
        <v>45</v>
      </c>
      <c r="N33" s="2">
        <v>9</v>
      </c>
      <c r="O33" s="2">
        <v>218</v>
      </c>
      <c r="P33" s="2">
        <v>170</v>
      </c>
      <c r="Q33" s="2">
        <v>586</v>
      </c>
      <c r="R33" s="2">
        <v>179</v>
      </c>
      <c r="S33" s="2">
        <v>508</v>
      </c>
      <c r="T33" s="2">
        <v>783</v>
      </c>
      <c r="U33" s="2">
        <v>146</v>
      </c>
      <c r="V33" s="2">
        <v>98</v>
      </c>
      <c r="W33" s="2">
        <v>71</v>
      </c>
      <c r="Y33" s="2" t="s">
        <v>1</v>
      </c>
    </row>
    <row r="34" spans="1:25" x14ac:dyDescent="0.2">
      <c r="A34" s="2">
        <v>38</v>
      </c>
      <c r="B34" s="2" t="s">
        <v>1399</v>
      </c>
      <c r="C34" s="19">
        <f>DATE(87,7,24)</f>
        <v>31982</v>
      </c>
      <c r="D34" s="2">
        <v>1100</v>
      </c>
      <c r="E34" s="2">
        <v>531</v>
      </c>
      <c r="F34" s="2">
        <v>79</v>
      </c>
      <c r="G34" s="2">
        <v>77</v>
      </c>
      <c r="H34" s="2">
        <v>1667</v>
      </c>
      <c r="I34" s="2">
        <v>360</v>
      </c>
      <c r="J34" s="2">
        <v>346</v>
      </c>
      <c r="K34" s="2">
        <v>451</v>
      </c>
      <c r="L34" s="2">
        <v>263</v>
      </c>
      <c r="M34" s="2">
        <v>115</v>
      </c>
      <c r="O34" s="2">
        <v>216</v>
      </c>
      <c r="P34" s="2">
        <v>172</v>
      </c>
      <c r="Q34" s="2">
        <v>543</v>
      </c>
      <c r="R34" s="2">
        <v>125</v>
      </c>
      <c r="S34" s="2">
        <v>416</v>
      </c>
      <c r="T34" s="2">
        <v>172</v>
      </c>
      <c r="U34" s="2">
        <v>119</v>
      </c>
      <c r="V34" s="2">
        <v>32</v>
      </c>
      <c r="W34" s="2">
        <v>49</v>
      </c>
      <c r="Y34" s="2" t="s">
        <v>1</v>
      </c>
    </row>
    <row r="35" spans="1:25" x14ac:dyDescent="0.2">
      <c r="A35" s="2">
        <v>39</v>
      </c>
      <c r="B35" s="2" t="s">
        <v>1400</v>
      </c>
      <c r="C35" s="19">
        <f>DATE(87,7,24)</f>
        <v>31982</v>
      </c>
      <c r="D35" s="2">
        <v>1900</v>
      </c>
      <c r="E35" s="2">
        <v>513</v>
      </c>
      <c r="F35" s="2">
        <v>90</v>
      </c>
      <c r="G35" s="2">
        <v>88</v>
      </c>
      <c r="H35" s="2">
        <v>1665</v>
      </c>
      <c r="I35" s="2">
        <v>365</v>
      </c>
      <c r="J35" s="2">
        <v>346</v>
      </c>
      <c r="K35" s="2">
        <v>454</v>
      </c>
      <c r="L35" s="2">
        <v>282</v>
      </c>
      <c r="M35" s="2">
        <v>330</v>
      </c>
      <c r="O35" s="2">
        <v>227</v>
      </c>
      <c r="P35" s="2">
        <v>175</v>
      </c>
      <c r="Q35" s="2">
        <v>624</v>
      </c>
      <c r="R35" s="2">
        <v>263</v>
      </c>
      <c r="S35" s="2">
        <v>737</v>
      </c>
      <c r="T35" s="2">
        <v>797</v>
      </c>
      <c r="U35" s="2">
        <v>100</v>
      </c>
      <c r="V35" s="2">
        <v>54</v>
      </c>
      <c r="W35" s="2">
        <v>101</v>
      </c>
      <c r="Y35" s="2" t="s">
        <v>1</v>
      </c>
    </row>
    <row r="36" spans="1:25" x14ac:dyDescent="0.2">
      <c r="A36" s="2">
        <v>40</v>
      </c>
      <c r="B36" s="2" t="s">
        <v>1401</v>
      </c>
      <c r="C36" s="19">
        <f>DATE(87,7,25)</f>
        <v>31983</v>
      </c>
      <c r="D36" s="8" t="s">
        <v>1039</v>
      </c>
      <c r="E36" s="2">
        <v>425</v>
      </c>
      <c r="F36" s="2">
        <v>95</v>
      </c>
      <c r="G36" s="2">
        <v>100</v>
      </c>
      <c r="H36" s="2">
        <v>1677</v>
      </c>
      <c r="I36" s="2">
        <v>365</v>
      </c>
      <c r="J36" s="2">
        <v>346</v>
      </c>
      <c r="K36" s="2">
        <v>461</v>
      </c>
      <c r="L36" s="2">
        <v>369</v>
      </c>
      <c r="M36" s="2">
        <v>48</v>
      </c>
      <c r="N36" s="2">
        <v>10</v>
      </c>
      <c r="O36" s="2">
        <v>216</v>
      </c>
      <c r="P36" s="2">
        <v>174</v>
      </c>
      <c r="Q36" s="2">
        <v>746</v>
      </c>
      <c r="R36" s="2">
        <v>340</v>
      </c>
      <c r="S36" s="2">
        <v>524</v>
      </c>
      <c r="T36" s="2">
        <v>738</v>
      </c>
      <c r="U36" s="2">
        <v>197</v>
      </c>
      <c r="V36" s="2">
        <v>89</v>
      </c>
      <c r="W36" s="2">
        <v>156</v>
      </c>
      <c r="Y36" s="2" t="s">
        <v>1</v>
      </c>
    </row>
    <row r="37" spans="1:25" x14ac:dyDescent="0.2">
      <c r="A37" s="2">
        <v>41</v>
      </c>
      <c r="B37" s="2" t="s">
        <v>1402</v>
      </c>
      <c r="C37" s="19">
        <f>DATE(87,7,25)</f>
        <v>31983</v>
      </c>
      <c r="D37" s="2">
        <v>1100</v>
      </c>
      <c r="E37" s="2">
        <v>528</v>
      </c>
      <c r="F37" s="2">
        <v>91</v>
      </c>
      <c r="G37" s="2">
        <v>91</v>
      </c>
      <c r="H37" s="2">
        <v>1675</v>
      </c>
      <c r="I37" s="2">
        <v>362</v>
      </c>
      <c r="J37" s="2">
        <v>346</v>
      </c>
      <c r="K37" s="2">
        <v>452</v>
      </c>
      <c r="L37" s="2">
        <v>342</v>
      </c>
      <c r="M37" s="2">
        <v>151</v>
      </c>
      <c r="N37" s="2">
        <v>15</v>
      </c>
      <c r="O37" s="2">
        <v>248</v>
      </c>
      <c r="P37" s="2">
        <v>175</v>
      </c>
      <c r="Q37" s="2">
        <v>692</v>
      </c>
      <c r="R37" s="2">
        <v>203</v>
      </c>
      <c r="S37" s="2">
        <v>478</v>
      </c>
      <c r="T37" s="2">
        <v>373</v>
      </c>
      <c r="U37" s="2">
        <v>149</v>
      </c>
      <c r="V37" s="2">
        <v>56</v>
      </c>
      <c r="W37" s="2">
        <v>97</v>
      </c>
      <c r="Y37" s="2" t="s">
        <v>1</v>
      </c>
    </row>
    <row r="38" spans="1:25" x14ac:dyDescent="0.2">
      <c r="A38" s="2">
        <v>42</v>
      </c>
      <c r="B38" s="2" t="s">
        <v>1403</v>
      </c>
      <c r="C38" s="19">
        <f>DATE(87,7,25)</f>
        <v>31983</v>
      </c>
      <c r="D38" s="2">
        <v>1900</v>
      </c>
      <c r="E38" s="2">
        <v>526</v>
      </c>
      <c r="F38" s="2">
        <v>87</v>
      </c>
      <c r="G38" s="2">
        <v>86</v>
      </c>
      <c r="H38" s="2">
        <v>1676</v>
      </c>
      <c r="I38" s="2">
        <v>362</v>
      </c>
      <c r="J38" s="2">
        <v>346</v>
      </c>
      <c r="K38" s="2">
        <v>458</v>
      </c>
      <c r="L38" s="2">
        <v>271</v>
      </c>
      <c r="M38" s="2">
        <v>371</v>
      </c>
      <c r="N38" s="2">
        <v>10</v>
      </c>
      <c r="O38" s="2">
        <v>230</v>
      </c>
      <c r="P38" s="2">
        <v>175</v>
      </c>
      <c r="Q38" s="2">
        <v>775</v>
      </c>
      <c r="R38" s="2">
        <v>191</v>
      </c>
      <c r="S38" s="2">
        <v>753</v>
      </c>
      <c r="T38" s="2">
        <v>391</v>
      </c>
      <c r="U38" s="2">
        <v>65</v>
      </c>
      <c r="V38" s="2">
        <v>51</v>
      </c>
      <c r="W38" s="2">
        <v>95</v>
      </c>
      <c r="Y38" s="2" t="s">
        <v>1</v>
      </c>
    </row>
    <row r="39" spans="1:25" x14ac:dyDescent="0.2">
      <c r="A39" s="2">
        <v>43</v>
      </c>
      <c r="B39" s="2" t="s">
        <v>1404</v>
      </c>
      <c r="C39" s="19">
        <f>DATE(87,7,26)</f>
        <v>31984</v>
      </c>
      <c r="D39" s="8" t="s">
        <v>1039</v>
      </c>
      <c r="E39" s="2">
        <v>527</v>
      </c>
      <c r="F39" s="2">
        <v>82</v>
      </c>
      <c r="G39" s="2">
        <v>81</v>
      </c>
      <c r="H39" s="2">
        <v>1683</v>
      </c>
      <c r="I39" s="2">
        <v>360</v>
      </c>
      <c r="J39" s="2">
        <v>345</v>
      </c>
      <c r="K39" s="2">
        <v>453</v>
      </c>
      <c r="L39" s="2">
        <v>459</v>
      </c>
      <c r="M39" s="2">
        <v>46</v>
      </c>
      <c r="O39" s="2">
        <v>242</v>
      </c>
      <c r="P39" s="2">
        <v>175</v>
      </c>
      <c r="Q39" s="2">
        <v>865</v>
      </c>
      <c r="R39" s="2">
        <v>142</v>
      </c>
      <c r="S39" s="2">
        <v>444</v>
      </c>
      <c r="T39" s="2">
        <v>397</v>
      </c>
      <c r="U39" s="2">
        <v>130</v>
      </c>
      <c r="V39" s="2">
        <v>52</v>
      </c>
      <c r="W39" s="2">
        <v>76</v>
      </c>
      <c r="Y39" s="2" t="s">
        <v>1</v>
      </c>
    </row>
    <row r="40" spans="1:25" x14ac:dyDescent="0.2">
      <c r="A40" s="2">
        <v>44</v>
      </c>
      <c r="B40" s="2" t="s">
        <v>1405</v>
      </c>
      <c r="C40" s="19">
        <f>DATE(87,7,26)</f>
        <v>31984</v>
      </c>
      <c r="D40" s="2">
        <v>1100</v>
      </c>
      <c r="E40" s="2">
        <v>578</v>
      </c>
      <c r="F40" s="2">
        <v>171</v>
      </c>
      <c r="G40" s="2">
        <v>96</v>
      </c>
      <c r="H40" s="2">
        <v>1684</v>
      </c>
      <c r="I40" s="2">
        <v>359</v>
      </c>
      <c r="J40" s="8" t="s">
        <v>1406</v>
      </c>
      <c r="L40" s="2">
        <v>402</v>
      </c>
      <c r="M40" s="2">
        <v>161</v>
      </c>
      <c r="O40" s="2">
        <v>234</v>
      </c>
      <c r="P40" s="2">
        <v>175</v>
      </c>
      <c r="Q40" s="2">
        <v>827</v>
      </c>
      <c r="R40" s="2">
        <v>167</v>
      </c>
      <c r="S40" s="2">
        <v>3880</v>
      </c>
      <c r="T40" s="2">
        <v>318</v>
      </c>
      <c r="U40" s="2">
        <v>149</v>
      </c>
      <c r="V40" s="2">
        <v>42</v>
      </c>
      <c r="W40" s="2">
        <v>69</v>
      </c>
      <c r="Y40" s="2" t="s">
        <v>1</v>
      </c>
    </row>
    <row r="41" spans="1:25" x14ac:dyDescent="0.2">
      <c r="A41" s="2">
        <v>45</v>
      </c>
      <c r="B41" s="2" t="s">
        <v>1407</v>
      </c>
      <c r="C41" s="19">
        <f>DATE(87,7,26)</f>
        <v>31984</v>
      </c>
      <c r="D41" s="2">
        <v>1900</v>
      </c>
      <c r="E41" s="2">
        <v>520</v>
      </c>
      <c r="F41" s="2">
        <v>69</v>
      </c>
      <c r="G41" s="2">
        <v>70</v>
      </c>
      <c r="H41" s="2">
        <v>1678</v>
      </c>
      <c r="I41" s="2">
        <v>362</v>
      </c>
      <c r="J41" s="2">
        <v>347</v>
      </c>
      <c r="K41" s="2">
        <v>444</v>
      </c>
      <c r="L41" s="2">
        <v>270</v>
      </c>
      <c r="M41" s="2">
        <v>372</v>
      </c>
      <c r="N41" s="2">
        <v>8</v>
      </c>
      <c r="O41" s="2">
        <v>224</v>
      </c>
      <c r="P41" s="2">
        <v>172</v>
      </c>
      <c r="Q41" s="2">
        <v>714</v>
      </c>
      <c r="R41" s="2">
        <v>157</v>
      </c>
      <c r="S41" s="2">
        <v>757</v>
      </c>
      <c r="T41" s="2">
        <v>310</v>
      </c>
      <c r="U41" s="2">
        <v>91</v>
      </c>
      <c r="V41" s="2">
        <v>42</v>
      </c>
      <c r="W41" s="2">
        <v>50</v>
      </c>
      <c r="Y41" s="2" t="s">
        <v>1</v>
      </c>
    </row>
    <row r="42" spans="1:25" x14ac:dyDescent="0.2">
      <c r="A42" s="2">
        <v>46</v>
      </c>
      <c r="B42" s="2" t="s">
        <v>1408</v>
      </c>
      <c r="C42" s="19">
        <f>DATE(87,7,27)</f>
        <v>31985</v>
      </c>
      <c r="D42" s="8" t="s">
        <v>1039</v>
      </c>
      <c r="E42" s="2">
        <v>519</v>
      </c>
      <c r="F42" s="2">
        <v>73</v>
      </c>
      <c r="G42" s="2">
        <v>71</v>
      </c>
      <c r="H42" s="2">
        <v>1675</v>
      </c>
      <c r="I42" s="2">
        <v>362</v>
      </c>
      <c r="J42" s="2">
        <v>346</v>
      </c>
      <c r="K42" s="2">
        <v>450</v>
      </c>
      <c r="L42" s="2">
        <v>261</v>
      </c>
      <c r="M42" s="2">
        <v>42</v>
      </c>
      <c r="O42" s="2">
        <v>204</v>
      </c>
      <c r="P42" s="2">
        <v>180</v>
      </c>
      <c r="Q42" s="2">
        <v>689</v>
      </c>
      <c r="R42" s="2">
        <v>174</v>
      </c>
      <c r="S42" s="2">
        <v>412</v>
      </c>
      <c r="T42" s="2">
        <v>501</v>
      </c>
      <c r="U42" s="2">
        <v>149</v>
      </c>
      <c r="V42" s="2">
        <v>51</v>
      </c>
      <c r="W42" s="2">
        <v>67</v>
      </c>
      <c r="Y42" s="2" t="s">
        <v>1</v>
      </c>
    </row>
    <row r="43" spans="1:25" x14ac:dyDescent="0.2">
      <c r="A43" s="2">
        <v>47</v>
      </c>
      <c r="B43" s="2" t="s">
        <v>1385</v>
      </c>
      <c r="C43" s="19">
        <f>DATE(87,7,27)</f>
        <v>31985</v>
      </c>
      <c r="D43" s="2">
        <v>1100</v>
      </c>
      <c r="E43" s="2">
        <v>526</v>
      </c>
      <c r="F43" s="2">
        <v>88</v>
      </c>
      <c r="G43" s="2">
        <v>83</v>
      </c>
      <c r="H43" s="2">
        <v>1677</v>
      </c>
      <c r="I43" s="2">
        <v>362</v>
      </c>
      <c r="J43" s="2">
        <v>345</v>
      </c>
      <c r="K43" s="2">
        <v>460</v>
      </c>
      <c r="L43" s="2">
        <v>266</v>
      </c>
      <c r="M43" s="2">
        <v>131</v>
      </c>
      <c r="O43" s="2">
        <v>217</v>
      </c>
      <c r="P43" s="2">
        <v>175</v>
      </c>
      <c r="Q43" s="2">
        <v>681</v>
      </c>
      <c r="R43" s="2">
        <v>229</v>
      </c>
      <c r="S43" s="2">
        <v>489</v>
      </c>
      <c r="T43" s="2">
        <v>311</v>
      </c>
      <c r="U43" s="2">
        <v>144</v>
      </c>
      <c r="V43" s="2">
        <v>42</v>
      </c>
      <c r="W43" s="2">
        <v>51</v>
      </c>
      <c r="Y43" s="2" t="s">
        <v>1</v>
      </c>
    </row>
    <row r="44" spans="1:25" x14ac:dyDescent="0.2">
      <c r="A44" s="2">
        <v>48</v>
      </c>
      <c r="B44" s="2" t="s">
        <v>1409</v>
      </c>
      <c r="C44" s="19">
        <f>DATE(87,7,27)</f>
        <v>31985</v>
      </c>
      <c r="D44" s="2">
        <v>1900</v>
      </c>
      <c r="E44" s="2">
        <v>512</v>
      </c>
      <c r="F44" s="2">
        <v>75</v>
      </c>
      <c r="G44" s="2">
        <v>72</v>
      </c>
      <c r="H44" s="2">
        <v>1678</v>
      </c>
      <c r="I44" s="2">
        <v>362</v>
      </c>
      <c r="J44" s="2">
        <v>344</v>
      </c>
      <c r="K44" s="2">
        <v>462</v>
      </c>
      <c r="L44" s="2">
        <v>265</v>
      </c>
      <c r="M44" s="2">
        <v>327</v>
      </c>
      <c r="N44" s="2">
        <v>12</v>
      </c>
      <c r="O44" s="2">
        <v>226</v>
      </c>
      <c r="P44" s="2">
        <v>173</v>
      </c>
      <c r="Q44" s="2">
        <v>697</v>
      </c>
      <c r="R44" s="2">
        <v>178</v>
      </c>
      <c r="S44" s="2">
        <v>566</v>
      </c>
      <c r="T44" s="2">
        <v>274</v>
      </c>
      <c r="U44" s="2">
        <v>101</v>
      </c>
      <c r="V44" s="2">
        <v>42</v>
      </c>
      <c r="W44" s="2">
        <v>63</v>
      </c>
      <c r="Y44" s="2" t="s">
        <v>1</v>
      </c>
    </row>
    <row r="45" spans="1:25" x14ac:dyDescent="0.2">
      <c r="A45" s="2">
        <v>49</v>
      </c>
      <c r="B45" s="2" t="s">
        <v>1410</v>
      </c>
      <c r="C45" s="19">
        <f>DATE(87,7,28)</f>
        <v>31986</v>
      </c>
      <c r="D45" s="8" t="s">
        <v>1039</v>
      </c>
      <c r="E45" s="2">
        <v>507</v>
      </c>
      <c r="F45" s="2">
        <v>83</v>
      </c>
      <c r="G45" s="2">
        <v>76</v>
      </c>
      <c r="H45" s="2">
        <v>1681</v>
      </c>
      <c r="I45" s="2">
        <v>368</v>
      </c>
      <c r="J45" s="2">
        <v>344</v>
      </c>
      <c r="K45" s="2">
        <v>460</v>
      </c>
      <c r="L45" s="2">
        <v>261</v>
      </c>
      <c r="M45" s="2">
        <v>42</v>
      </c>
      <c r="O45" s="2">
        <v>209</v>
      </c>
      <c r="P45" s="2">
        <v>174</v>
      </c>
      <c r="Q45" s="2">
        <v>796</v>
      </c>
      <c r="R45" s="2">
        <v>282</v>
      </c>
      <c r="S45" s="2">
        <v>430</v>
      </c>
      <c r="T45" s="2">
        <v>564</v>
      </c>
      <c r="U45" s="2">
        <v>190</v>
      </c>
      <c r="V45" s="2">
        <v>65</v>
      </c>
      <c r="W45" s="2">
        <v>130</v>
      </c>
      <c r="Y45" s="2" t="s">
        <v>1</v>
      </c>
    </row>
    <row r="46" spans="1:25" x14ac:dyDescent="0.2">
      <c r="A46" s="2">
        <v>50</v>
      </c>
      <c r="B46" s="2" t="s">
        <v>1411</v>
      </c>
      <c r="C46" s="19">
        <f>DATE(87,7,28)</f>
        <v>31986</v>
      </c>
      <c r="D46" s="2">
        <v>1100</v>
      </c>
      <c r="E46" s="2">
        <v>513</v>
      </c>
      <c r="F46" s="2">
        <v>81</v>
      </c>
      <c r="G46" s="2">
        <v>79</v>
      </c>
      <c r="H46" s="2">
        <v>1682</v>
      </c>
      <c r="I46" s="2">
        <v>362</v>
      </c>
      <c r="J46" s="2">
        <v>345</v>
      </c>
      <c r="K46" s="2">
        <v>445</v>
      </c>
      <c r="L46" s="2">
        <v>265</v>
      </c>
      <c r="M46" s="2">
        <v>147</v>
      </c>
      <c r="O46" s="2">
        <v>214</v>
      </c>
      <c r="P46" s="2">
        <v>174</v>
      </c>
      <c r="Q46" s="2">
        <v>679</v>
      </c>
      <c r="R46" s="2">
        <v>155</v>
      </c>
      <c r="S46" s="2">
        <v>356</v>
      </c>
      <c r="T46" s="2">
        <v>244</v>
      </c>
      <c r="U46" s="2">
        <v>185</v>
      </c>
      <c r="V46" s="2">
        <v>39</v>
      </c>
      <c r="W46" s="2">
        <v>59</v>
      </c>
    </row>
    <row r="47" spans="1:25" x14ac:dyDescent="0.2">
      <c r="A47" s="2">
        <v>51</v>
      </c>
      <c r="B47" s="2" t="s">
        <v>1412</v>
      </c>
      <c r="C47" s="19">
        <f>DATE(87,7,28)</f>
        <v>31986</v>
      </c>
      <c r="D47" s="2">
        <v>1900</v>
      </c>
      <c r="E47" s="2">
        <v>650</v>
      </c>
      <c r="F47" s="2">
        <v>218</v>
      </c>
      <c r="G47" s="2">
        <v>236</v>
      </c>
      <c r="H47" s="2">
        <v>1672</v>
      </c>
      <c r="I47" s="2">
        <v>364</v>
      </c>
      <c r="J47" s="2">
        <v>346</v>
      </c>
      <c r="K47" s="2">
        <v>455</v>
      </c>
      <c r="L47" s="2">
        <v>271</v>
      </c>
      <c r="M47" s="2">
        <v>350</v>
      </c>
      <c r="O47" s="2">
        <v>226</v>
      </c>
      <c r="P47" s="2">
        <v>171</v>
      </c>
      <c r="Q47" s="2">
        <v>750</v>
      </c>
      <c r="R47" s="2">
        <v>1580</v>
      </c>
      <c r="S47" s="2">
        <v>1170</v>
      </c>
      <c r="T47" s="2">
        <v>278</v>
      </c>
      <c r="U47" s="2">
        <v>365</v>
      </c>
      <c r="V47" s="2">
        <v>60</v>
      </c>
      <c r="W47" s="2">
        <v>157</v>
      </c>
    </row>
    <row r="48" spans="1:25" x14ac:dyDescent="0.2">
      <c r="A48" s="2">
        <v>52</v>
      </c>
      <c r="B48" s="2" t="s">
        <v>1413</v>
      </c>
      <c r="C48" s="19">
        <f>DATE(87,7,29)</f>
        <v>31987</v>
      </c>
      <c r="D48" s="8" t="s">
        <v>1039</v>
      </c>
      <c r="E48" s="2">
        <v>520</v>
      </c>
      <c r="F48" s="2">
        <v>84</v>
      </c>
      <c r="G48" s="2">
        <v>100</v>
      </c>
      <c r="H48" s="2">
        <v>1684</v>
      </c>
      <c r="I48" s="2">
        <v>363</v>
      </c>
      <c r="J48" s="2">
        <v>346</v>
      </c>
      <c r="K48" s="2">
        <v>447</v>
      </c>
      <c r="L48" s="2">
        <v>296</v>
      </c>
      <c r="M48" s="2">
        <v>45</v>
      </c>
      <c r="O48" s="2">
        <v>216</v>
      </c>
      <c r="P48" s="2">
        <v>172</v>
      </c>
      <c r="Q48" s="2">
        <v>717</v>
      </c>
      <c r="R48" s="2">
        <v>228</v>
      </c>
      <c r="S48" s="2">
        <v>521</v>
      </c>
      <c r="T48" s="2">
        <v>366</v>
      </c>
      <c r="U48" s="2">
        <v>192</v>
      </c>
      <c r="V48" s="2">
        <v>45</v>
      </c>
      <c r="W48" s="2">
        <v>58</v>
      </c>
    </row>
    <row r="49" spans="1:23" x14ac:dyDescent="0.2">
      <c r="A49" s="2">
        <v>53</v>
      </c>
      <c r="B49" s="2" t="s">
        <v>1414</v>
      </c>
      <c r="C49" s="19">
        <f>DATE(87,7,29)</f>
        <v>31987</v>
      </c>
      <c r="D49" s="2">
        <v>1100</v>
      </c>
      <c r="E49" s="2">
        <v>530</v>
      </c>
      <c r="F49" s="2">
        <v>84</v>
      </c>
      <c r="G49" s="2">
        <v>87</v>
      </c>
      <c r="H49" s="2">
        <v>1682</v>
      </c>
      <c r="I49" s="2">
        <v>364</v>
      </c>
      <c r="J49" s="2">
        <v>340</v>
      </c>
      <c r="K49" s="2">
        <v>496</v>
      </c>
      <c r="L49" s="2">
        <v>405</v>
      </c>
      <c r="M49" s="2">
        <v>136</v>
      </c>
      <c r="O49" s="2">
        <v>271</v>
      </c>
      <c r="P49" s="2">
        <v>171</v>
      </c>
      <c r="Q49" s="2">
        <v>720</v>
      </c>
      <c r="R49" s="2">
        <v>108</v>
      </c>
      <c r="S49" s="2">
        <v>267</v>
      </c>
      <c r="T49" s="2">
        <v>268</v>
      </c>
      <c r="U49" s="2">
        <v>132</v>
      </c>
      <c r="V49" s="2">
        <v>34</v>
      </c>
      <c r="W49" s="2">
        <v>38</v>
      </c>
    </row>
    <row r="50" spans="1:23" x14ac:dyDescent="0.2">
      <c r="A50" s="2">
        <v>54</v>
      </c>
      <c r="B50" s="2" t="s">
        <v>1415</v>
      </c>
      <c r="C50" s="19">
        <f>DATE(87,7,29)</f>
        <v>31987</v>
      </c>
      <c r="D50" s="2">
        <v>1900</v>
      </c>
      <c r="E50" s="2">
        <v>550</v>
      </c>
      <c r="F50" s="2">
        <v>86</v>
      </c>
      <c r="H50" s="2">
        <v>1672</v>
      </c>
      <c r="I50" s="2">
        <v>364</v>
      </c>
      <c r="J50" s="2">
        <v>346</v>
      </c>
      <c r="K50" s="2">
        <v>488</v>
      </c>
      <c r="L50" s="2">
        <v>1780</v>
      </c>
      <c r="M50" s="2">
        <v>314</v>
      </c>
      <c r="O50" s="2">
        <v>246</v>
      </c>
      <c r="P50" s="2">
        <v>172</v>
      </c>
      <c r="Q50" s="2">
        <v>741</v>
      </c>
      <c r="R50" s="2">
        <v>286</v>
      </c>
      <c r="S50" s="2">
        <v>627</v>
      </c>
      <c r="T50" s="2">
        <v>399</v>
      </c>
      <c r="U50" s="2">
        <v>149</v>
      </c>
      <c r="V50" s="2">
        <v>57</v>
      </c>
      <c r="W50" s="2">
        <v>71</v>
      </c>
    </row>
    <row r="51" spans="1:23" x14ac:dyDescent="0.2">
      <c r="A51" s="2">
        <v>55</v>
      </c>
      <c r="B51" s="2" t="s">
        <v>1167</v>
      </c>
      <c r="C51" s="19">
        <f>DATE(87,7,30)</f>
        <v>31988</v>
      </c>
      <c r="D51" s="8" t="s">
        <v>1039</v>
      </c>
      <c r="E51" s="2">
        <v>540</v>
      </c>
      <c r="F51" s="2">
        <v>92</v>
      </c>
      <c r="G51" s="2">
        <v>81</v>
      </c>
      <c r="H51" s="2">
        <v>1680</v>
      </c>
      <c r="I51" s="2">
        <v>364</v>
      </c>
      <c r="J51" s="2">
        <v>347</v>
      </c>
      <c r="K51" s="2">
        <v>448</v>
      </c>
      <c r="L51" s="2">
        <v>337</v>
      </c>
      <c r="M51" s="2">
        <v>46</v>
      </c>
      <c r="O51" s="2">
        <v>245</v>
      </c>
      <c r="P51" s="2">
        <v>170</v>
      </c>
      <c r="Q51" s="2">
        <v>667</v>
      </c>
      <c r="R51" s="2">
        <v>178</v>
      </c>
      <c r="S51" s="2">
        <v>255</v>
      </c>
      <c r="T51" s="2">
        <v>514</v>
      </c>
      <c r="U51" s="2">
        <v>156</v>
      </c>
      <c r="V51" s="2">
        <v>43</v>
      </c>
      <c r="W51" s="2">
        <v>57</v>
      </c>
    </row>
    <row r="52" spans="1:23" x14ac:dyDescent="0.2">
      <c r="A52" s="2">
        <v>56</v>
      </c>
      <c r="B52" s="2" t="s">
        <v>1168</v>
      </c>
      <c r="C52" s="19">
        <f>DATE(87,7,30)</f>
        <v>31988</v>
      </c>
      <c r="D52" s="2">
        <v>1100</v>
      </c>
      <c r="E52" s="2">
        <v>521</v>
      </c>
      <c r="F52" s="2">
        <v>87</v>
      </c>
      <c r="G52" s="2">
        <v>86</v>
      </c>
      <c r="H52" s="2">
        <v>1676</v>
      </c>
      <c r="I52" s="2">
        <v>363</v>
      </c>
      <c r="J52" s="2">
        <v>372</v>
      </c>
      <c r="K52" s="2">
        <v>1666</v>
      </c>
      <c r="L52" s="2">
        <v>796</v>
      </c>
      <c r="M52" s="2">
        <v>150</v>
      </c>
      <c r="O52" s="2">
        <v>366</v>
      </c>
      <c r="P52" s="2">
        <v>170</v>
      </c>
      <c r="Q52" s="2">
        <v>632</v>
      </c>
      <c r="R52" s="2">
        <v>269</v>
      </c>
      <c r="S52" s="2">
        <v>420</v>
      </c>
      <c r="T52" s="2">
        <v>295</v>
      </c>
      <c r="U52" s="2">
        <v>226</v>
      </c>
      <c r="V52" s="2">
        <v>41</v>
      </c>
      <c r="W52" s="2">
        <v>63</v>
      </c>
    </row>
    <row r="53" spans="1:23" x14ac:dyDescent="0.2">
      <c r="A53" s="2">
        <v>57</v>
      </c>
      <c r="B53" s="2" t="s">
        <v>1160</v>
      </c>
      <c r="C53" s="19">
        <f>DATE(87,7,30)</f>
        <v>31988</v>
      </c>
      <c r="D53" s="2">
        <v>1900</v>
      </c>
      <c r="E53" s="2">
        <v>541</v>
      </c>
      <c r="F53" s="2">
        <v>74</v>
      </c>
      <c r="G53" s="2">
        <v>75</v>
      </c>
      <c r="H53" s="2">
        <v>1676</v>
      </c>
      <c r="I53" s="2">
        <v>364</v>
      </c>
      <c r="J53" s="2">
        <v>348</v>
      </c>
      <c r="K53" s="2">
        <v>448</v>
      </c>
      <c r="L53" s="2">
        <v>368</v>
      </c>
      <c r="M53" s="2">
        <v>352</v>
      </c>
      <c r="N53" s="2">
        <v>10</v>
      </c>
      <c r="O53" s="2">
        <v>329</v>
      </c>
      <c r="P53" s="2">
        <v>171</v>
      </c>
      <c r="Q53" s="2">
        <v>742</v>
      </c>
      <c r="R53" s="2">
        <v>239</v>
      </c>
      <c r="S53" s="2">
        <v>673</v>
      </c>
      <c r="T53" s="2">
        <v>440</v>
      </c>
      <c r="U53" s="2">
        <v>124</v>
      </c>
      <c r="V53" s="2">
        <v>40</v>
      </c>
      <c r="W53" s="2">
        <v>56</v>
      </c>
    </row>
    <row r="54" spans="1:23" x14ac:dyDescent="0.2">
      <c r="A54" s="2">
        <v>58</v>
      </c>
      <c r="B54" s="2" t="s">
        <v>1169</v>
      </c>
      <c r="C54" s="19">
        <f>DATE(87,7,31)</f>
        <v>31989</v>
      </c>
      <c r="D54" s="8" t="s">
        <v>1039</v>
      </c>
      <c r="E54" s="2">
        <v>552</v>
      </c>
      <c r="F54" s="2">
        <v>86</v>
      </c>
      <c r="G54" s="2">
        <v>72</v>
      </c>
      <c r="H54" s="2">
        <v>1677</v>
      </c>
      <c r="I54" s="2">
        <v>362</v>
      </c>
      <c r="J54" s="2">
        <v>349</v>
      </c>
      <c r="K54" s="2">
        <v>450</v>
      </c>
      <c r="L54" s="2">
        <v>331</v>
      </c>
      <c r="M54" s="2">
        <v>48</v>
      </c>
      <c r="O54" s="2">
        <v>250</v>
      </c>
      <c r="P54" s="2">
        <v>169</v>
      </c>
      <c r="Q54" s="2">
        <v>759</v>
      </c>
      <c r="R54" s="2">
        <v>179</v>
      </c>
      <c r="S54" s="2">
        <v>355</v>
      </c>
      <c r="T54" s="2">
        <v>297</v>
      </c>
      <c r="U54" s="2">
        <v>203</v>
      </c>
      <c r="V54" s="2">
        <v>41</v>
      </c>
      <c r="W54" s="2">
        <v>70</v>
      </c>
    </row>
    <row r="55" spans="1:23" x14ac:dyDescent="0.2">
      <c r="A55" s="2">
        <v>59</v>
      </c>
      <c r="B55" s="2" t="s">
        <v>1416</v>
      </c>
      <c r="C55" s="19">
        <f>DATE(87,7,31)</f>
        <v>31989</v>
      </c>
      <c r="D55" s="2">
        <v>1100</v>
      </c>
      <c r="E55" s="2">
        <v>540</v>
      </c>
      <c r="F55" s="2">
        <v>74</v>
      </c>
      <c r="G55" s="2">
        <v>80</v>
      </c>
      <c r="H55" s="2">
        <v>1670</v>
      </c>
      <c r="I55" s="2">
        <v>359</v>
      </c>
      <c r="J55" s="2">
        <v>342</v>
      </c>
      <c r="K55" s="2">
        <v>453</v>
      </c>
      <c r="L55" s="2">
        <v>263</v>
      </c>
      <c r="M55" s="2">
        <v>131</v>
      </c>
      <c r="N55" s="2">
        <v>12</v>
      </c>
      <c r="O55" s="2">
        <v>212</v>
      </c>
      <c r="P55" s="2">
        <v>174</v>
      </c>
      <c r="Q55" s="2">
        <v>621</v>
      </c>
      <c r="R55" s="2">
        <v>138</v>
      </c>
      <c r="S55" s="2">
        <v>159</v>
      </c>
      <c r="T55" s="2">
        <v>224</v>
      </c>
      <c r="U55" s="2">
        <v>162</v>
      </c>
      <c r="V55" s="2">
        <v>29</v>
      </c>
      <c r="W55" s="2">
        <v>33</v>
      </c>
    </row>
    <row r="56" spans="1:23" x14ac:dyDescent="0.2">
      <c r="A56" s="2">
        <v>60</v>
      </c>
      <c r="B56" s="2" t="s">
        <v>1417</v>
      </c>
      <c r="C56" s="19">
        <f>DATE(87,7,31)</f>
        <v>31989</v>
      </c>
      <c r="D56" s="2">
        <v>1900</v>
      </c>
      <c r="E56" s="2">
        <v>589</v>
      </c>
      <c r="F56" s="2">
        <v>79</v>
      </c>
      <c r="G56" s="2">
        <v>80</v>
      </c>
      <c r="H56" s="2">
        <v>1675</v>
      </c>
      <c r="I56" s="2">
        <v>363</v>
      </c>
      <c r="J56" s="2">
        <v>345</v>
      </c>
      <c r="K56" s="2">
        <v>451</v>
      </c>
      <c r="L56" s="2">
        <v>268</v>
      </c>
      <c r="M56" s="2">
        <v>325</v>
      </c>
      <c r="N56" s="2">
        <v>7</v>
      </c>
      <c r="O56" s="2">
        <v>226</v>
      </c>
      <c r="P56" s="2">
        <v>174</v>
      </c>
      <c r="Q56" s="2">
        <v>771</v>
      </c>
      <c r="R56" s="2">
        <v>380</v>
      </c>
      <c r="S56" s="2">
        <v>168</v>
      </c>
      <c r="T56" s="2">
        <v>356</v>
      </c>
      <c r="U56" s="2">
        <v>255</v>
      </c>
      <c r="V56" s="2">
        <v>31</v>
      </c>
      <c r="W56" s="2">
        <v>54</v>
      </c>
    </row>
    <row r="57" spans="1:23" x14ac:dyDescent="0.2">
      <c r="A57" s="2">
        <v>61</v>
      </c>
      <c r="B57" s="2" t="s">
        <v>1418</v>
      </c>
      <c r="C57" s="19">
        <f>DATE(87,8,1)</f>
        <v>31990</v>
      </c>
      <c r="D57" s="8" t="s">
        <v>1039</v>
      </c>
      <c r="E57" s="2">
        <v>535</v>
      </c>
      <c r="F57" s="2">
        <v>108</v>
      </c>
      <c r="G57" s="2">
        <v>81</v>
      </c>
      <c r="H57" s="2">
        <v>1669</v>
      </c>
      <c r="I57" s="2">
        <v>363</v>
      </c>
      <c r="J57" s="2">
        <v>340</v>
      </c>
      <c r="K57" s="2">
        <v>455</v>
      </c>
      <c r="L57" s="2">
        <v>424</v>
      </c>
      <c r="M57" s="2">
        <v>47</v>
      </c>
      <c r="N57" s="2">
        <v>13</v>
      </c>
      <c r="O57" s="2">
        <v>224</v>
      </c>
      <c r="P57" s="2">
        <v>171</v>
      </c>
      <c r="Q57" s="2">
        <v>578</v>
      </c>
      <c r="R57" s="2">
        <v>293</v>
      </c>
      <c r="S57" s="2">
        <v>176</v>
      </c>
      <c r="T57" s="2">
        <v>237</v>
      </c>
      <c r="U57" s="2">
        <v>235</v>
      </c>
      <c r="V57" s="2">
        <v>42</v>
      </c>
      <c r="W57" s="2">
        <v>52</v>
      </c>
    </row>
    <row r="58" spans="1:23" x14ac:dyDescent="0.2">
      <c r="A58" s="2">
        <v>62</v>
      </c>
      <c r="B58" s="2" t="s">
        <v>1063</v>
      </c>
      <c r="C58" s="19">
        <f>DATE(87,8,1)</f>
        <v>31990</v>
      </c>
      <c r="D58" s="2">
        <v>1100</v>
      </c>
      <c r="E58" s="2">
        <v>536</v>
      </c>
      <c r="F58" s="2">
        <v>126</v>
      </c>
      <c r="G58" s="2">
        <v>132</v>
      </c>
      <c r="H58" s="2">
        <v>1670</v>
      </c>
      <c r="I58" s="2">
        <v>360</v>
      </c>
      <c r="J58" s="2">
        <v>339</v>
      </c>
      <c r="K58" s="2">
        <v>457</v>
      </c>
      <c r="L58" s="2">
        <v>267</v>
      </c>
      <c r="M58" s="2">
        <v>128</v>
      </c>
      <c r="O58" s="2">
        <v>221</v>
      </c>
      <c r="P58" s="2">
        <v>173</v>
      </c>
      <c r="Q58" s="2">
        <v>562</v>
      </c>
      <c r="R58" s="2">
        <v>441</v>
      </c>
      <c r="S58" s="2">
        <v>251</v>
      </c>
      <c r="T58" s="2">
        <v>141</v>
      </c>
      <c r="U58" s="2">
        <v>194</v>
      </c>
      <c r="V58" s="2">
        <v>33</v>
      </c>
      <c r="W58" s="2">
        <v>86</v>
      </c>
    </row>
    <row r="59" spans="1:23" x14ac:dyDescent="0.2">
      <c r="A59" s="2">
        <v>63</v>
      </c>
      <c r="B59" s="2" t="s">
        <v>1068</v>
      </c>
      <c r="C59" s="19">
        <f>DATE(87,8,1)</f>
        <v>31990</v>
      </c>
      <c r="D59" s="2">
        <v>1900</v>
      </c>
      <c r="E59" s="2">
        <v>501</v>
      </c>
      <c r="F59" s="2">
        <v>88</v>
      </c>
      <c r="G59" s="2">
        <v>87</v>
      </c>
      <c r="H59" s="2">
        <v>1671</v>
      </c>
      <c r="I59" s="2">
        <v>367</v>
      </c>
      <c r="J59" s="2">
        <v>347</v>
      </c>
      <c r="K59" s="2">
        <v>452</v>
      </c>
      <c r="L59" s="2">
        <v>336</v>
      </c>
      <c r="M59" s="2">
        <v>315</v>
      </c>
      <c r="O59" s="2">
        <v>241</v>
      </c>
      <c r="P59" s="2">
        <v>175</v>
      </c>
      <c r="Q59" s="2">
        <v>587</v>
      </c>
      <c r="R59" s="2">
        <v>183</v>
      </c>
      <c r="S59" s="2">
        <v>603</v>
      </c>
      <c r="T59" s="2">
        <v>214</v>
      </c>
      <c r="U59" s="2">
        <v>80</v>
      </c>
      <c r="V59" s="2">
        <v>48</v>
      </c>
      <c r="W59" s="2">
        <v>66</v>
      </c>
    </row>
    <row r="60" spans="1:23" x14ac:dyDescent="0.2">
      <c r="A60" s="2">
        <v>64</v>
      </c>
      <c r="B60" s="2" t="s">
        <v>1067</v>
      </c>
      <c r="C60" s="19">
        <f>DATE(87,8,2)</f>
        <v>31991</v>
      </c>
      <c r="D60" s="8" t="s">
        <v>1039</v>
      </c>
      <c r="E60" s="2">
        <v>530</v>
      </c>
      <c r="F60" s="2">
        <v>93</v>
      </c>
      <c r="G60" s="2">
        <v>92</v>
      </c>
      <c r="H60" s="2">
        <v>1671</v>
      </c>
      <c r="I60" s="2">
        <v>366</v>
      </c>
      <c r="J60" s="2">
        <v>347</v>
      </c>
      <c r="K60" s="2">
        <v>457</v>
      </c>
      <c r="L60" s="2">
        <v>261</v>
      </c>
      <c r="M60" s="2">
        <v>46</v>
      </c>
      <c r="O60" s="2">
        <v>229</v>
      </c>
      <c r="P60" s="2">
        <v>171</v>
      </c>
      <c r="Q60" s="2">
        <v>718</v>
      </c>
      <c r="R60" s="2">
        <v>302</v>
      </c>
      <c r="S60" s="2">
        <v>433</v>
      </c>
      <c r="T60" s="2">
        <v>299</v>
      </c>
      <c r="U60" s="2">
        <v>290</v>
      </c>
      <c r="V60" s="2">
        <v>42</v>
      </c>
      <c r="W60" s="2">
        <v>74</v>
      </c>
    </row>
    <row r="61" spans="1:23" x14ac:dyDescent="0.2">
      <c r="A61" s="2">
        <v>72</v>
      </c>
      <c r="B61" s="2" t="s">
        <v>1419</v>
      </c>
      <c r="C61" s="19">
        <f>DATE(87,8,21)</f>
        <v>32010</v>
      </c>
      <c r="D61" s="2">
        <v>1900</v>
      </c>
      <c r="E61" s="2">
        <v>558</v>
      </c>
      <c r="F61" s="2">
        <v>77</v>
      </c>
      <c r="G61" s="2">
        <v>78</v>
      </c>
      <c r="H61" s="2">
        <v>1681</v>
      </c>
      <c r="I61" s="2">
        <v>356</v>
      </c>
      <c r="J61" s="2">
        <v>345</v>
      </c>
      <c r="K61" s="2">
        <v>468</v>
      </c>
      <c r="L61" s="2">
        <v>261</v>
      </c>
      <c r="M61" s="2">
        <v>56</v>
      </c>
      <c r="O61" s="2">
        <v>209</v>
      </c>
      <c r="P61" s="2">
        <v>170</v>
      </c>
      <c r="Q61" s="2">
        <v>783</v>
      </c>
      <c r="R61" s="2">
        <v>319</v>
      </c>
      <c r="S61" s="2">
        <v>280</v>
      </c>
      <c r="T61" s="2">
        <v>339</v>
      </c>
      <c r="U61" s="2">
        <v>1400</v>
      </c>
      <c r="V61" s="2">
        <v>67</v>
      </c>
      <c r="W61" s="2">
        <v>139</v>
      </c>
    </row>
    <row r="62" spans="1:23" x14ac:dyDescent="0.2">
      <c r="A62" s="2">
        <v>74</v>
      </c>
      <c r="B62" s="2" t="s">
        <v>1420</v>
      </c>
      <c r="C62" s="19">
        <f>DATE(87,8,22)</f>
        <v>32011</v>
      </c>
      <c r="D62" s="2">
        <v>1100</v>
      </c>
      <c r="E62" s="2">
        <v>620</v>
      </c>
      <c r="F62" s="2">
        <v>86</v>
      </c>
      <c r="G62" s="2">
        <v>82</v>
      </c>
      <c r="H62" s="2">
        <v>1680</v>
      </c>
      <c r="I62" s="2">
        <v>355</v>
      </c>
      <c r="J62" s="2">
        <v>346</v>
      </c>
      <c r="K62" s="2">
        <v>501</v>
      </c>
      <c r="L62" s="2">
        <v>1024</v>
      </c>
      <c r="M62" s="2">
        <v>332</v>
      </c>
      <c r="O62" s="2">
        <v>247</v>
      </c>
      <c r="P62" s="2">
        <v>174</v>
      </c>
      <c r="Q62" s="2">
        <v>970</v>
      </c>
      <c r="R62" s="2">
        <v>493</v>
      </c>
      <c r="S62" s="2">
        <v>244</v>
      </c>
      <c r="T62" s="2">
        <v>404</v>
      </c>
      <c r="U62" s="2">
        <v>614</v>
      </c>
      <c r="V62" s="2">
        <v>56</v>
      </c>
      <c r="W62" s="2">
        <v>103</v>
      </c>
    </row>
    <row r="63" spans="1:23" x14ac:dyDescent="0.2">
      <c r="A63" s="2">
        <v>78</v>
      </c>
      <c r="B63" s="2" t="s">
        <v>355</v>
      </c>
      <c r="C63" s="19">
        <f>DATE(87,8,24)</f>
        <v>32013</v>
      </c>
      <c r="D63" s="2">
        <v>1900</v>
      </c>
      <c r="E63" s="2">
        <v>560</v>
      </c>
      <c r="F63" s="2">
        <v>87</v>
      </c>
      <c r="G63" s="2">
        <v>88</v>
      </c>
      <c r="H63" s="2">
        <v>1681</v>
      </c>
      <c r="I63" s="2">
        <v>364</v>
      </c>
      <c r="J63" s="2">
        <v>346</v>
      </c>
      <c r="K63" s="2">
        <v>568</v>
      </c>
      <c r="L63" s="2">
        <v>663</v>
      </c>
      <c r="M63" s="2">
        <v>55</v>
      </c>
      <c r="N63" s="2">
        <v>12</v>
      </c>
      <c r="O63" s="2">
        <v>252</v>
      </c>
      <c r="P63" s="2">
        <v>170</v>
      </c>
      <c r="Q63" s="2">
        <v>709</v>
      </c>
      <c r="R63" s="2">
        <v>688</v>
      </c>
      <c r="S63" s="2">
        <v>297</v>
      </c>
      <c r="T63" s="2">
        <v>305</v>
      </c>
      <c r="U63" s="2">
        <v>1320</v>
      </c>
      <c r="V63" s="2">
        <v>44</v>
      </c>
      <c r="W63" s="2">
        <v>63</v>
      </c>
    </row>
    <row r="64" spans="1:23" x14ac:dyDescent="0.2">
      <c r="A64" s="2">
        <v>80</v>
      </c>
      <c r="B64" s="2" t="s">
        <v>1421</v>
      </c>
      <c r="C64" s="19">
        <f>DATE(87,8,25)</f>
        <v>32014</v>
      </c>
      <c r="D64" s="2">
        <v>1100</v>
      </c>
      <c r="E64" s="2">
        <v>585</v>
      </c>
      <c r="F64" s="2">
        <v>83</v>
      </c>
      <c r="G64" s="2">
        <v>83</v>
      </c>
      <c r="H64" s="2">
        <v>1686</v>
      </c>
      <c r="I64" s="2">
        <v>356</v>
      </c>
      <c r="J64" s="2">
        <v>344</v>
      </c>
      <c r="K64" s="2">
        <v>455</v>
      </c>
      <c r="L64" s="2">
        <v>486</v>
      </c>
      <c r="M64" s="2">
        <v>264</v>
      </c>
      <c r="O64" s="2">
        <v>227</v>
      </c>
      <c r="P64" s="2">
        <v>177</v>
      </c>
      <c r="Q64" s="2">
        <v>583</v>
      </c>
      <c r="R64" s="2">
        <v>1010</v>
      </c>
      <c r="S64" s="2">
        <v>187</v>
      </c>
      <c r="T64" s="2">
        <v>199</v>
      </c>
      <c r="U64" s="2">
        <v>656</v>
      </c>
      <c r="V64" s="2">
        <v>47</v>
      </c>
      <c r="W64" s="2">
        <v>66</v>
      </c>
    </row>
    <row r="65" spans="1:23" x14ac:dyDescent="0.2">
      <c r="A65" s="2">
        <v>87</v>
      </c>
      <c r="B65" s="2" t="s">
        <v>1422</v>
      </c>
      <c r="C65" s="19">
        <f>DATE(87,8,27)</f>
        <v>32016</v>
      </c>
      <c r="D65" s="2">
        <v>1900</v>
      </c>
      <c r="E65" s="2">
        <v>565</v>
      </c>
      <c r="F65" s="2">
        <v>144</v>
      </c>
      <c r="G65" s="2">
        <v>94</v>
      </c>
      <c r="H65" s="2">
        <v>1697</v>
      </c>
      <c r="I65" s="2">
        <v>357</v>
      </c>
      <c r="J65" s="2">
        <v>344</v>
      </c>
      <c r="K65" s="2">
        <v>457</v>
      </c>
      <c r="L65" s="2">
        <v>272</v>
      </c>
      <c r="M65" s="2">
        <v>48</v>
      </c>
      <c r="O65" s="2">
        <v>217</v>
      </c>
      <c r="P65" s="2">
        <v>178</v>
      </c>
      <c r="Q65" s="2">
        <v>626</v>
      </c>
      <c r="R65" s="2">
        <v>249</v>
      </c>
      <c r="S65" s="2">
        <v>337</v>
      </c>
      <c r="T65" s="2">
        <v>233</v>
      </c>
      <c r="U65" s="2">
        <v>1350</v>
      </c>
      <c r="V65" s="2">
        <v>33</v>
      </c>
      <c r="W65" s="2">
        <v>59</v>
      </c>
    </row>
    <row r="66" spans="1:23" x14ac:dyDescent="0.2">
      <c r="A66" s="2">
        <v>89</v>
      </c>
      <c r="B66" s="2" t="s">
        <v>1423</v>
      </c>
      <c r="C66" s="19">
        <f>DATE(87,8,28)</f>
        <v>32017</v>
      </c>
      <c r="D66" s="2">
        <v>1100</v>
      </c>
      <c r="E66" s="2">
        <v>584</v>
      </c>
      <c r="F66" s="2">
        <v>96</v>
      </c>
      <c r="G66" s="2">
        <v>97</v>
      </c>
      <c r="H66" s="2">
        <v>1699</v>
      </c>
      <c r="I66" s="2">
        <v>355</v>
      </c>
      <c r="J66" s="2">
        <v>345</v>
      </c>
      <c r="K66" s="2">
        <v>468</v>
      </c>
      <c r="L66" s="2">
        <v>286</v>
      </c>
      <c r="M66" s="2">
        <v>271</v>
      </c>
      <c r="N66" s="2">
        <v>5</v>
      </c>
      <c r="O66" s="2">
        <v>234</v>
      </c>
      <c r="P66" s="2">
        <v>178</v>
      </c>
      <c r="Q66" s="2">
        <v>649</v>
      </c>
      <c r="R66" s="2">
        <v>253</v>
      </c>
      <c r="S66" s="2">
        <v>205</v>
      </c>
      <c r="T66" s="2">
        <v>190</v>
      </c>
      <c r="U66" s="2">
        <v>369</v>
      </c>
      <c r="V66" s="2">
        <v>24</v>
      </c>
      <c r="W66" s="2">
        <v>44</v>
      </c>
    </row>
    <row r="67" spans="1:23" x14ac:dyDescent="0.2">
      <c r="A67" s="2">
        <v>96</v>
      </c>
      <c r="B67" s="2" t="s">
        <v>1424</v>
      </c>
      <c r="C67" s="19">
        <f>DATE(87,8,30)</f>
        <v>32019</v>
      </c>
      <c r="D67" s="2">
        <v>1900</v>
      </c>
      <c r="E67" s="2">
        <v>542</v>
      </c>
      <c r="F67" s="2">
        <v>100</v>
      </c>
      <c r="G67" s="2">
        <v>100</v>
      </c>
      <c r="H67" s="2">
        <v>1719</v>
      </c>
      <c r="I67" s="2">
        <v>357</v>
      </c>
      <c r="J67" s="2">
        <v>345</v>
      </c>
      <c r="K67" s="2">
        <v>473</v>
      </c>
      <c r="L67" s="2">
        <v>305</v>
      </c>
      <c r="M67" s="2">
        <v>56</v>
      </c>
      <c r="O67" s="2">
        <v>219</v>
      </c>
      <c r="P67" s="2">
        <v>178</v>
      </c>
      <c r="Q67" s="2">
        <v>1560</v>
      </c>
      <c r="R67" s="2">
        <v>356</v>
      </c>
      <c r="S67" s="2">
        <v>485</v>
      </c>
      <c r="T67" s="2">
        <v>930</v>
      </c>
      <c r="U67" s="2">
        <v>1110</v>
      </c>
      <c r="V67" s="2">
        <v>125</v>
      </c>
      <c r="W67" s="2">
        <v>209</v>
      </c>
    </row>
    <row r="68" spans="1:23" x14ac:dyDescent="0.2">
      <c r="A68" s="2">
        <v>97</v>
      </c>
      <c r="B68" s="2" t="s">
        <v>1425</v>
      </c>
      <c r="C68" s="19">
        <f>DATE(87,8,31)</f>
        <v>32020</v>
      </c>
      <c r="D68" s="2">
        <v>1100</v>
      </c>
      <c r="E68" s="2">
        <v>520</v>
      </c>
      <c r="F68" s="2">
        <v>96</v>
      </c>
      <c r="G68" s="2">
        <v>102</v>
      </c>
      <c r="H68" s="2">
        <v>1712</v>
      </c>
      <c r="I68" s="2">
        <v>354</v>
      </c>
      <c r="L68" s="2">
        <v>294</v>
      </c>
      <c r="M68" s="2">
        <v>370</v>
      </c>
      <c r="O68" s="2">
        <v>233</v>
      </c>
      <c r="P68" s="2">
        <v>174</v>
      </c>
      <c r="Q68" s="2">
        <v>1370</v>
      </c>
      <c r="R68" s="2">
        <v>354</v>
      </c>
      <c r="S68" s="2">
        <v>201</v>
      </c>
      <c r="T68" s="2">
        <v>674</v>
      </c>
      <c r="U68" s="2">
        <v>542</v>
      </c>
      <c r="V68" s="2">
        <v>96</v>
      </c>
      <c r="W68" s="2">
        <v>129</v>
      </c>
    </row>
    <row r="69" spans="1:23" x14ac:dyDescent="0.2">
      <c r="A69" s="2">
        <v>98</v>
      </c>
      <c r="B69" s="2" t="s">
        <v>1426</v>
      </c>
      <c r="C69" s="19">
        <f>DATE(87,9,2)</f>
        <v>32022</v>
      </c>
      <c r="D69" s="2">
        <v>1900</v>
      </c>
      <c r="E69" s="2">
        <v>550</v>
      </c>
      <c r="F69" s="2">
        <v>105</v>
      </c>
      <c r="G69" s="2">
        <v>112</v>
      </c>
      <c r="H69" s="2">
        <v>1710</v>
      </c>
      <c r="I69" s="2">
        <v>357</v>
      </c>
      <c r="J69" s="2">
        <v>344</v>
      </c>
      <c r="K69" s="2">
        <v>463</v>
      </c>
      <c r="L69" s="2">
        <v>316</v>
      </c>
      <c r="M69" s="2">
        <v>56</v>
      </c>
      <c r="N69" s="2">
        <v>15</v>
      </c>
      <c r="O69" s="2">
        <v>233</v>
      </c>
      <c r="P69" s="2">
        <v>174</v>
      </c>
      <c r="Q69" s="2">
        <v>1380</v>
      </c>
      <c r="R69" s="2">
        <v>445</v>
      </c>
      <c r="S69" s="2">
        <v>508</v>
      </c>
      <c r="T69" s="2">
        <v>791</v>
      </c>
      <c r="U69" s="2">
        <v>824</v>
      </c>
      <c r="V69" s="2">
        <v>89</v>
      </c>
      <c r="W69" s="2">
        <v>176</v>
      </c>
    </row>
    <row r="70" spans="1:23" x14ac:dyDescent="0.2">
      <c r="A70" s="2">
        <v>99</v>
      </c>
      <c r="B70" s="2" t="s">
        <v>1427</v>
      </c>
      <c r="C70" s="19">
        <f>DATE(87,9,3)</f>
        <v>32023</v>
      </c>
      <c r="D70" s="2">
        <v>1100</v>
      </c>
      <c r="E70" s="2">
        <v>544</v>
      </c>
      <c r="F70" s="2">
        <v>112</v>
      </c>
      <c r="G70" s="2">
        <v>118</v>
      </c>
      <c r="H70" s="2">
        <v>1713</v>
      </c>
      <c r="I70" s="2">
        <v>354</v>
      </c>
      <c r="J70" s="2">
        <v>342</v>
      </c>
      <c r="K70" s="2">
        <v>466</v>
      </c>
      <c r="L70" s="2">
        <v>287</v>
      </c>
      <c r="M70" s="2">
        <v>361</v>
      </c>
      <c r="O70" s="2">
        <v>244</v>
      </c>
      <c r="P70" s="2">
        <v>174</v>
      </c>
      <c r="Q70" s="2">
        <v>1690</v>
      </c>
      <c r="R70" s="2">
        <v>407</v>
      </c>
      <c r="S70" s="2">
        <v>233</v>
      </c>
      <c r="T70" s="2">
        <v>930</v>
      </c>
      <c r="U70" s="2">
        <v>537</v>
      </c>
      <c r="V70" s="2">
        <v>95</v>
      </c>
      <c r="W70" s="2">
        <v>180</v>
      </c>
    </row>
    <row r="71" spans="1:23" x14ac:dyDescent="0.2">
      <c r="A71" s="2">
        <v>100</v>
      </c>
      <c r="B71" s="2" t="s">
        <v>1428</v>
      </c>
      <c r="C71" s="19">
        <f>DATE(87,9,5)</f>
        <v>32025</v>
      </c>
      <c r="D71" s="2">
        <v>1900</v>
      </c>
      <c r="E71" s="2">
        <v>545</v>
      </c>
      <c r="F71" s="2">
        <v>121</v>
      </c>
      <c r="G71" s="2">
        <v>125</v>
      </c>
      <c r="H71" s="2">
        <v>1699</v>
      </c>
      <c r="I71" s="2">
        <v>358</v>
      </c>
      <c r="J71" s="2">
        <v>344</v>
      </c>
      <c r="K71" s="2">
        <v>475</v>
      </c>
      <c r="L71" s="2">
        <v>275</v>
      </c>
      <c r="M71" s="2">
        <v>55</v>
      </c>
      <c r="O71" s="2">
        <v>262</v>
      </c>
      <c r="P71" s="2">
        <v>174</v>
      </c>
      <c r="Q71" s="2">
        <v>1100</v>
      </c>
      <c r="R71" s="2">
        <v>197</v>
      </c>
      <c r="S71" s="2">
        <v>401</v>
      </c>
      <c r="T71" s="2">
        <v>595</v>
      </c>
      <c r="U71" s="2">
        <v>662</v>
      </c>
      <c r="V71" s="2">
        <v>76</v>
      </c>
      <c r="W71" s="2">
        <v>134</v>
      </c>
    </row>
    <row r="72" spans="1:23" x14ac:dyDescent="0.2">
      <c r="A72" s="2">
        <v>103</v>
      </c>
      <c r="B72" s="2" t="s">
        <v>1429</v>
      </c>
      <c r="C72" s="19">
        <f>DATE(87,9,8)</f>
        <v>32028</v>
      </c>
      <c r="D72" s="2">
        <v>1900</v>
      </c>
      <c r="E72" s="2">
        <v>528</v>
      </c>
      <c r="F72" s="2">
        <v>100</v>
      </c>
      <c r="G72" s="2">
        <v>74</v>
      </c>
      <c r="H72" s="2">
        <v>1691</v>
      </c>
      <c r="I72" s="2">
        <v>358</v>
      </c>
      <c r="J72" s="2">
        <v>342</v>
      </c>
      <c r="K72" s="2">
        <v>471</v>
      </c>
      <c r="L72" s="2">
        <v>284</v>
      </c>
      <c r="M72" s="2">
        <v>436</v>
      </c>
      <c r="O72" s="2">
        <v>250</v>
      </c>
      <c r="P72" s="2">
        <v>179</v>
      </c>
      <c r="Q72" s="2">
        <v>630</v>
      </c>
      <c r="R72" s="2">
        <v>242</v>
      </c>
      <c r="S72" s="2">
        <v>302</v>
      </c>
      <c r="T72" s="2">
        <v>224</v>
      </c>
      <c r="U72" s="2">
        <v>549</v>
      </c>
      <c r="V72" s="2">
        <v>34</v>
      </c>
      <c r="W72" s="2">
        <v>78</v>
      </c>
    </row>
    <row r="73" spans="1:23" x14ac:dyDescent="0.2">
      <c r="A73" s="2">
        <v>109</v>
      </c>
      <c r="B73" s="2" t="s">
        <v>1430</v>
      </c>
      <c r="C73" s="19">
        <f>DATE(87,9,11)</f>
        <v>32031</v>
      </c>
      <c r="D73" s="2">
        <v>1900</v>
      </c>
      <c r="E73" s="2">
        <v>527</v>
      </c>
      <c r="F73" s="2">
        <v>109</v>
      </c>
      <c r="G73" s="2">
        <v>113</v>
      </c>
      <c r="H73" s="2">
        <v>1694</v>
      </c>
      <c r="I73" s="2">
        <v>360</v>
      </c>
      <c r="J73" s="2">
        <v>344</v>
      </c>
      <c r="K73" s="2">
        <v>483</v>
      </c>
      <c r="L73" s="2">
        <v>283</v>
      </c>
      <c r="M73" s="2">
        <v>318</v>
      </c>
      <c r="N73" s="2">
        <v>7</v>
      </c>
      <c r="O73" s="2">
        <v>275</v>
      </c>
      <c r="P73" s="2">
        <v>175</v>
      </c>
      <c r="Q73" s="2">
        <v>767</v>
      </c>
      <c r="R73" s="2">
        <v>395</v>
      </c>
      <c r="S73" s="2">
        <v>335</v>
      </c>
      <c r="T73" s="2">
        <v>438</v>
      </c>
      <c r="U73" s="2">
        <v>519</v>
      </c>
      <c r="V73" s="2">
        <v>60</v>
      </c>
      <c r="W73" s="2">
        <v>117</v>
      </c>
    </row>
    <row r="74" spans="1:23" x14ac:dyDescent="0.2">
      <c r="A74" s="2">
        <v>111</v>
      </c>
      <c r="B74" s="2" t="s">
        <v>1431</v>
      </c>
      <c r="C74" s="19">
        <f>DATE(87,9,12)</f>
        <v>32032</v>
      </c>
      <c r="D74" s="2">
        <v>1100</v>
      </c>
      <c r="E74" s="2">
        <v>539</v>
      </c>
      <c r="F74" s="2">
        <v>110</v>
      </c>
      <c r="G74" s="2">
        <v>110</v>
      </c>
      <c r="H74" s="2">
        <v>1690</v>
      </c>
      <c r="I74" s="2">
        <v>359</v>
      </c>
      <c r="J74" s="2">
        <v>343</v>
      </c>
      <c r="K74" s="2">
        <v>480</v>
      </c>
      <c r="L74" s="2">
        <v>285</v>
      </c>
      <c r="M74" s="2">
        <v>58</v>
      </c>
      <c r="N74" s="2">
        <v>7</v>
      </c>
      <c r="O74" s="2">
        <v>259</v>
      </c>
      <c r="P74" s="2">
        <v>176</v>
      </c>
      <c r="Q74" s="2">
        <v>708</v>
      </c>
      <c r="R74" s="2">
        <v>329</v>
      </c>
      <c r="S74" s="2">
        <v>375</v>
      </c>
      <c r="T74" s="2">
        <v>405</v>
      </c>
      <c r="U74" s="2">
        <v>675</v>
      </c>
      <c r="V74" s="2">
        <v>70</v>
      </c>
      <c r="W74" s="2">
        <v>148</v>
      </c>
    </row>
    <row r="75" spans="1:23" x14ac:dyDescent="0.2">
      <c r="A75" s="2">
        <v>115</v>
      </c>
      <c r="B75" s="2" t="s">
        <v>1432</v>
      </c>
      <c r="C75" s="19">
        <f>DATE(87,9,14)</f>
        <v>32034</v>
      </c>
      <c r="D75" s="2">
        <v>1900</v>
      </c>
      <c r="E75" s="2">
        <v>575</v>
      </c>
      <c r="F75" s="2">
        <v>137</v>
      </c>
      <c r="G75" s="2">
        <v>172</v>
      </c>
      <c r="H75" s="2">
        <v>1719</v>
      </c>
      <c r="I75" s="2">
        <v>359</v>
      </c>
      <c r="J75" s="2">
        <v>345</v>
      </c>
      <c r="K75" s="2">
        <v>485</v>
      </c>
      <c r="L75" s="2">
        <v>274</v>
      </c>
      <c r="M75" s="2">
        <v>57</v>
      </c>
      <c r="N75" s="2">
        <v>16</v>
      </c>
      <c r="O75" s="2">
        <v>252</v>
      </c>
      <c r="P75" s="2">
        <v>175</v>
      </c>
      <c r="Q75" s="2">
        <v>953</v>
      </c>
      <c r="R75" s="2">
        <v>232</v>
      </c>
      <c r="S75" s="2">
        <v>445</v>
      </c>
      <c r="T75" s="2">
        <v>443</v>
      </c>
      <c r="U75" s="2">
        <v>413</v>
      </c>
      <c r="V75" s="2">
        <v>67</v>
      </c>
      <c r="W75" s="2">
        <v>101</v>
      </c>
    </row>
    <row r="76" spans="1:23" x14ac:dyDescent="0.2">
      <c r="A76" s="2">
        <v>117</v>
      </c>
      <c r="B76" s="2" t="s">
        <v>1433</v>
      </c>
      <c r="C76" s="19">
        <f>DATE(87,9,15)</f>
        <v>32035</v>
      </c>
      <c r="D76" s="2">
        <v>1100</v>
      </c>
      <c r="E76" s="2">
        <v>567</v>
      </c>
      <c r="F76" s="2">
        <v>130</v>
      </c>
      <c r="G76" s="2">
        <v>118</v>
      </c>
      <c r="H76" s="2">
        <v>1699</v>
      </c>
      <c r="I76" s="2">
        <v>357</v>
      </c>
      <c r="J76" s="2">
        <v>346</v>
      </c>
      <c r="K76" s="2">
        <v>474</v>
      </c>
      <c r="L76" s="2">
        <v>278</v>
      </c>
      <c r="M76" s="2">
        <v>336</v>
      </c>
      <c r="O76" s="2">
        <v>258</v>
      </c>
      <c r="P76" s="2">
        <v>174</v>
      </c>
      <c r="Q76" s="2">
        <v>931</v>
      </c>
      <c r="R76" s="2">
        <v>199</v>
      </c>
      <c r="S76" s="2">
        <v>717</v>
      </c>
      <c r="T76" s="2">
        <v>528</v>
      </c>
      <c r="U76" s="2">
        <v>404</v>
      </c>
      <c r="V76" s="2">
        <v>78</v>
      </c>
      <c r="W76" s="2">
        <v>151</v>
      </c>
    </row>
    <row r="79" spans="1:23" x14ac:dyDescent="0.2">
      <c r="E79" s="8" t="s">
        <v>117</v>
      </c>
      <c r="F79" s="8" t="s">
        <v>118</v>
      </c>
      <c r="G79" s="8" t="s">
        <v>118</v>
      </c>
      <c r="H79" s="8" t="s">
        <v>123</v>
      </c>
      <c r="I79" s="8" t="s">
        <v>134</v>
      </c>
      <c r="J79" s="8" t="s">
        <v>138</v>
      </c>
      <c r="K79" s="8" t="s">
        <v>136</v>
      </c>
      <c r="L79" s="8" t="s">
        <v>130</v>
      </c>
      <c r="M79" s="8" t="s">
        <v>133</v>
      </c>
      <c r="N79" s="8" t="s">
        <v>127</v>
      </c>
      <c r="O79" s="8" t="s">
        <v>121</v>
      </c>
      <c r="P79" s="8" t="s">
        <v>112</v>
      </c>
      <c r="Q79" s="8" t="s">
        <v>126</v>
      </c>
      <c r="R79" s="8" t="s">
        <v>122</v>
      </c>
      <c r="S79" s="8" t="s">
        <v>113</v>
      </c>
      <c r="T79" s="8" t="s">
        <v>131</v>
      </c>
      <c r="U79" s="8" t="s">
        <v>129</v>
      </c>
      <c r="V79" s="8" t="s">
        <v>149</v>
      </c>
      <c r="W79" s="8" t="s">
        <v>151</v>
      </c>
    </row>
    <row r="80" spans="1:23" x14ac:dyDescent="0.2">
      <c r="E80" s="8" t="s">
        <v>266</v>
      </c>
      <c r="F80" s="8" t="s">
        <v>266</v>
      </c>
      <c r="G80" s="8" t="s">
        <v>266</v>
      </c>
      <c r="H80" s="8" t="s">
        <v>266</v>
      </c>
      <c r="I80" s="8" t="s">
        <v>371</v>
      </c>
      <c r="J80" s="8" t="s">
        <v>266</v>
      </c>
      <c r="K80" s="8" t="s">
        <v>144</v>
      </c>
      <c r="L80" s="8" t="s">
        <v>144</v>
      </c>
      <c r="M80" s="8" t="s">
        <v>144</v>
      </c>
      <c r="N80" s="8" t="s">
        <v>144</v>
      </c>
      <c r="O80" s="8" t="s">
        <v>144</v>
      </c>
      <c r="P80" s="8" t="s">
        <v>144</v>
      </c>
      <c r="Q80" s="8" t="s">
        <v>144</v>
      </c>
      <c r="R80" s="8" t="s">
        <v>144</v>
      </c>
      <c r="S80" s="8" t="s">
        <v>144</v>
      </c>
      <c r="T80" s="8" t="s">
        <v>144</v>
      </c>
      <c r="U80" s="8" t="s">
        <v>144</v>
      </c>
      <c r="V80" s="8" t="s">
        <v>144</v>
      </c>
      <c r="W80" s="8" t="s">
        <v>144</v>
      </c>
    </row>
    <row r="82" spans="2:23" x14ac:dyDescent="0.2">
      <c r="B82" s="2" t="s">
        <v>529</v>
      </c>
      <c r="C82" s="7">
        <f t="shared" ref="C82:W82" si="0">AVERAGE(C7:C76)</f>
        <v>31986.614285714284</v>
      </c>
      <c r="D82" s="4">
        <f t="shared" si="0"/>
        <v>1517.9411764705883</v>
      </c>
      <c r="E82" s="4">
        <f t="shared" si="0"/>
        <v>545.58571428571429</v>
      </c>
      <c r="F82" s="4">
        <f t="shared" si="0"/>
        <v>94.742857142857147</v>
      </c>
      <c r="G82" s="4">
        <f t="shared" si="0"/>
        <v>93.05797101449275</v>
      </c>
      <c r="H82" s="4">
        <f t="shared" si="0"/>
        <v>1681.8714285714286</v>
      </c>
      <c r="I82" s="4">
        <f t="shared" si="0"/>
        <v>362.32857142857142</v>
      </c>
      <c r="J82" s="4">
        <f t="shared" si="0"/>
        <v>344.75</v>
      </c>
      <c r="K82" s="4">
        <f t="shared" si="0"/>
        <v>486.29411764705884</v>
      </c>
      <c r="L82" s="4">
        <f t="shared" si="0"/>
        <v>603.91428571428571</v>
      </c>
      <c r="M82" s="4">
        <f t="shared" si="0"/>
        <v>199.55714285714285</v>
      </c>
      <c r="N82" s="4">
        <f t="shared" si="0"/>
        <v>12.5</v>
      </c>
      <c r="O82" s="4">
        <f t="shared" si="0"/>
        <v>247.35714285714286</v>
      </c>
      <c r="P82" s="4">
        <f t="shared" si="0"/>
        <v>172.04285714285714</v>
      </c>
      <c r="Q82" s="4">
        <f t="shared" si="0"/>
        <v>750.07142857142856</v>
      </c>
      <c r="R82" s="4">
        <f t="shared" si="0"/>
        <v>377.5</v>
      </c>
      <c r="S82" s="4">
        <f t="shared" si="0"/>
        <v>454.14285714285717</v>
      </c>
      <c r="T82" s="4">
        <f t="shared" si="0"/>
        <v>361.6142857142857</v>
      </c>
      <c r="U82" s="4">
        <f t="shared" si="0"/>
        <v>333</v>
      </c>
      <c r="V82" s="4">
        <f t="shared" si="0"/>
        <v>56.042857142857144</v>
      </c>
      <c r="W82" s="4">
        <f t="shared" si="0"/>
        <v>108</v>
      </c>
    </row>
    <row r="83" spans="2:23" x14ac:dyDescent="0.2">
      <c r="B83" s="2" t="s">
        <v>1078</v>
      </c>
      <c r="D83" s="4">
        <f t="shared" ref="D83:W83" si="1">STDEV(D7:D76)</f>
        <v>399.92021263070478</v>
      </c>
      <c r="E83" s="4">
        <f t="shared" si="1"/>
        <v>36.918041957099639</v>
      </c>
      <c r="F83" s="4">
        <f t="shared" si="1"/>
        <v>25.557939697352342</v>
      </c>
      <c r="G83" s="4">
        <f t="shared" si="1"/>
        <v>28.706365382432789</v>
      </c>
      <c r="H83" s="4">
        <f t="shared" si="1"/>
        <v>13.566712703591126</v>
      </c>
      <c r="I83" s="4">
        <f t="shared" si="1"/>
        <v>7.7697321099276824</v>
      </c>
      <c r="J83" s="4">
        <f t="shared" si="1"/>
        <v>3.8493069738726318</v>
      </c>
      <c r="K83" s="4">
        <f t="shared" si="1"/>
        <v>150.28262516860707</v>
      </c>
      <c r="L83" s="4">
        <f t="shared" si="1"/>
        <v>1797.6050068528752</v>
      </c>
      <c r="M83" s="4">
        <f t="shared" si="1"/>
        <v>154.29236652709045</v>
      </c>
      <c r="N83" s="4">
        <f t="shared" si="1"/>
        <v>7.4727575407715392</v>
      </c>
      <c r="O83" s="4">
        <f t="shared" si="1"/>
        <v>78.165939376911183</v>
      </c>
      <c r="P83" s="4">
        <f t="shared" si="1"/>
        <v>5.8220861699738231</v>
      </c>
      <c r="Q83" s="4">
        <f t="shared" si="1"/>
        <v>227.76356425211679</v>
      </c>
      <c r="R83" s="4">
        <f t="shared" si="1"/>
        <v>296.00101595987024</v>
      </c>
      <c r="S83" s="4">
        <f t="shared" si="1"/>
        <v>493.43561275382973</v>
      </c>
      <c r="T83" s="4">
        <f t="shared" si="1"/>
        <v>199.10519343761538</v>
      </c>
      <c r="U83" s="4">
        <f t="shared" si="1"/>
        <v>305.25423348222955</v>
      </c>
      <c r="V83" s="4">
        <f t="shared" si="1"/>
        <v>39.709611042035291</v>
      </c>
      <c r="W83" s="4">
        <f t="shared" si="1"/>
        <v>106.37900522952444</v>
      </c>
    </row>
    <row r="84" spans="2:23" x14ac:dyDescent="0.2">
      <c r="B84" s="2" t="s">
        <v>365</v>
      </c>
      <c r="D84" s="4">
        <f t="shared" ref="D84:W84" si="2">COUNTA(D7:D76)</f>
        <v>70</v>
      </c>
      <c r="E84" s="4">
        <f t="shared" si="2"/>
        <v>70</v>
      </c>
      <c r="F84" s="4">
        <f t="shared" si="2"/>
        <v>70</v>
      </c>
      <c r="G84" s="4">
        <f t="shared" si="2"/>
        <v>69</v>
      </c>
      <c r="H84" s="4">
        <f t="shared" si="2"/>
        <v>70</v>
      </c>
      <c r="I84" s="4">
        <f t="shared" si="2"/>
        <v>70</v>
      </c>
      <c r="J84" s="4">
        <f t="shared" si="2"/>
        <v>69</v>
      </c>
      <c r="K84" s="4">
        <f t="shared" si="2"/>
        <v>68</v>
      </c>
      <c r="L84" s="4">
        <f t="shared" si="2"/>
        <v>70</v>
      </c>
      <c r="M84" s="4">
        <f t="shared" si="2"/>
        <v>70</v>
      </c>
      <c r="N84" s="4">
        <f t="shared" si="2"/>
        <v>20</v>
      </c>
      <c r="O84" s="4">
        <f t="shared" si="2"/>
        <v>70</v>
      </c>
      <c r="P84" s="4">
        <f t="shared" si="2"/>
        <v>70</v>
      </c>
      <c r="Q84" s="4">
        <f t="shared" si="2"/>
        <v>70</v>
      </c>
      <c r="R84" s="4">
        <f t="shared" si="2"/>
        <v>70</v>
      </c>
      <c r="S84" s="4">
        <f t="shared" si="2"/>
        <v>70</v>
      </c>
      <c r="T84" s="4">
        <f t="shared" si="2"/>
        <v>70</v>
      </c>
      <c r="U84" s="4">
        <f t="shared" si="2"/>
        <v>70</v>
      </c>
      <c r="V84" s="4">
        <f t="shared" si="2"/>
        <v>70</v>
      </c>
      <c r="W84" s="4">
        <f t="shared" si="2"/>
        <v>70</v>
      </c>
    </row>
  </sheetData>
  <pageMargins left="0.5" right="0.5" top="0.75" bottom="0.75" header="0.5" footer="0.5"/>
  <pageSetup orientation="portrait" horizontalDpi="0" verticalDpi="0" copies="0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2"/>
  <sheetViews>
    <sheetView showOutlineSymbols="0" defaultGridColor="0" colorId="9" workbookViewId="0">
      <selection activeCell="A33" sqref="A33"/>
    </sheetView>
  </sheetViews>
  <sheetFormatPr defaultColWidth="8.6640625" defaultRowHeight="15" x14ac:dyDescent="0.2"/>
  <cols>
    <col min="1" max="16384" width="8.6640625" style="2"/>
  </cols>
  <sheetData>
    <row r="1" spans="1:13" ht="18" x14ac:dyDescent="0.25">
      <c r="A1" s="18" t="s">
        <v>1434</v>
      </c>
      <c r="M1" s="2" t="s">
        <v>1</v>
      </c>
    </row>
    <row r="2" spans="1:13" x14ac:dyDescent="0.2">
      <c r="M2" s="2" t="s">
        <v>1</v>
      </c>
    </row>
    <row r="3" spans="1:13" x14ac:dyDescent="0.2">
      <c r="A3" s="2" t="s">
        <v>253</v>
      </c>
      <c r="B3" s="8" t="s">
        <v>138</v>
      </c>
      <c r="C3" s="8" t="s">
        <v>136</v>
      </c>
      <c r="D3" s="8" t="s">
        <v>130</v>
      </c>
      <c r="E3" s="8" t="s">
        <v>125</v>
      </c>
      <c r="F3" s="8" t="s">
        <v>133</v>
      </c>
      <c r="G3" s="8" t="s">
        <v>127</v>
      </c>
      <c r="H3" s="8" t="s">
        <v>121</v>
      </c>
      <c r="I3" s="8" t="s">
        <v>112</v>
      </c>
      <c r="J3" s="8" t="s">
        <v>142</v>
      </c>
      <c r="K3" s="8" t="s">
        <v>140</v>
      </c>
      <c r="M3" s="2" t="s">
        <v>1</v>
      </c>
    </row>
    <row r="4" spans="1:13" x14ac:dyDescent="0.2">
      <c r="B4" s="8" t="s">
        <v>266</v>
      </c>
      <c r="C4" s="8" t="s">
        <v>144</v>
      </c>
      <c r="D4" s="8" t="s">
        <v>144</v>
      </c>
      <c r="E4" s="8" t="s">
        <v>144</v>
      </c>
      <c r="F4" s="8" t="s">
        <v>144</v>
      </c>
      <c r="G4" s="8" t="s">
        <v>144</v>
      </c>
      <c r="H4" s="8" t="s">
        <v>144</v>
      </c>
      <c r="I4" s="8" t="s">
        <v>144</v>
      </c>
      <c r="J4" s="8" t="s">
        <v>144</v>
      </c>
      <c r="K4" s="8" t="s">
        <v>144</v>
      </c>
      <c r="M4" s="2" t="s">
        <v>1</v>
      </c>
    </row>
    <row r="5" spans="1:13" x14ac:dyDescent="0.2">
      <c r="M5" s="2" t="s">
        <v>1</v>
      </c>
    </row>
    <row r="6" spans="1:13" x14ac:dyDescent="0.2">
      <c r="M6" s="2" t="s">
        <v>1</v>
      </c>
    </row>
    <row r="7" spans="1:13" x14ac:dyDescent="0.2">
      <c r="A7" s="7">
        <f>DATE(80,10,27)</f>
        <v>29521</v>
      </c>
      <c r="D7" s="4">
        <v>195.8</v>
      </c>
      <c r="E7" s="4">
        <v>29.46</v>
      </c>
      <c r="F7" s="4">
        <v>23.47</v>
      </c>
      <c r="G7" s="4">
        <v>57.2</v>
      </c>
      <c r="H7" s="4">
        <v>157.5</v>
      </c>
      <c r="J7" s="4">
        <v>9.27</v>
      </c>
      <c r="K7" s="4">
        <v>79.58</v>
      </c>
      <c r="M7" s="2" t="s">
        <v>1</v>
      </c>
    </row>
    <row r="8" spans="1:13" x14ac:dyDescent="0.2">
      <c r="A8" s="7">
        <f>DATE(80,11,2)</f>
        <v>29527</v>
      </c>
      <c r="D8" s="4">
        <v>180.9</v>
      </c>
      <c r="E8" s="4">
        <v>31.61</v>
      </c>
      <c r="F8" s="4">
        <v>21.49</v>
      </c>
      <c r="G8" s="4">
        <v>43.12</v>
      </c>
      <c r="H8" s="4">
        <v>170.5</v>
      </c>
      <c r="J8" s="4">
        <v>13.32</v>
      </c>
      <c r="K8" s="4">
        <v>93.98</v>
      </c>
      <c r="M8" s="2" t="s">
        <v>1</v>
      </c>
    </row>
    <row r="9" spans="1:13" x14ac:dyDescent="0.2">
      <c r="A9" s="7">
        <f>DATE(80,11,12)</f>
        <v>29537</v>
      </c>
      <c r="D9" s="4">
        <v>189.9</v>
      </c>
      <c r="E9" s="4">
        <v>16.68</v>
      </c>
      <c r="F9" s="4">
        <v>20.9</v>
      </c>
      <c r="G9" s="4">
        <v>42.09</v>
      </c>
      <c r="H9" s="4">
        <v>175.2</v>
      </c>
      <c r="J9" s="4">
        <v>25.11</v>
      </c>
      <c r="K9" s="4">
        <v>100.14</v>
      </c>
      <c r="M9" s="2" t="s">
        <v>1</v>
      </c>
    </row>
    <row r="10" spans="1:13" x14ac:dyDescent="0.2">
      <c r="A10" s="7">
        <f>DATE(80,11,14)</f>
        <v>29539</v>
      </c>
      <c r="D10" s="4">
        <v>192.1</v>
      </c>
      <c r="E10" s="4">
        <v>9.76</v>
      </c>
      <c r="F10" s="4">
        <v>21.18</v>
      </c>
      <c r="G10" s="4">
        <v>41.35</v>
      </c>
      <c r="H10" s="4">
        <v>168.2</v>
      </c>
      <c r="J10" s="4">
        <v>19.11</v>
      </c>
      <c r="K10" s="4">
        <v>101.4</v>
      </c>
      <c r="M10" s="2" t="s">
        <v>1</v>
      </c>
    </row>
    <row r="11" spans="1:13" x14ac:dyDescent="0.2">
      <c r="A11" s="7">
        <f>DATE(81,11,2)</f>
        <v>29892</v>
      </c>
      <c r="B11" s="4">
        <v>331</v>
      </c>
      <c r="C11" s="4">
        <v>348.5</v>
      </c>
      <c r="D11" s="4">
        <v>202.6</v>
      </c>
      <c r="E11" s="4">
        <v>1.59</v>
      </c>
      <c r="F11" s="4">
        <v>23.89</v>
      </c>
      <c r="G11" s="4">
        <v>55.3</v>
      </c>
      <c r="H11" s="4">
        <v>184.6</v>
      </c>
      <c r="I11" s="4">
        <v>155.6</v>
      </c>
      <c r="J11" s="4">
        <v>45.93</v>
      </c>
      <c r="K11" s="4">
        <v>141.41</v>
      </c>
      <c r="M11" s="2" t="s">
        <v>1</v>
      </c>
    </row>
    <row r="12" spans="1:13" x14ac:dyDescent="0.2">
      <c r="A12" s="7">
        <f>DATE(81,11,9)</f>
        <v>29899</v>
      </c>
      <c r="B12" s="4">
        <v>332.9</v>
      </c>
      <c r="C12" s="4">
        <v>343.1</v>
      </c>
      <c r="D12" s="4">
        <v>196.7</v>
      </c>
      <c r="E12" s="4">
        <v>8.6950000000000003</v>
      </c>
      <c r="F12" s="4">
        <v>21.94</v>
      </c>
      <c r="G12" s="4">
        <v>37.61</v>
      </c>
      <c r="H12" s="4">
        <v>222.2</v>
      </c>
      <c r="I12" s="4">
        <v>156.1</v>
      </c>
      <c r="J12" s="4">
        <v>18.86</v>
      </c>
      <c r="K12" s="4">
        <v>94.4</v>
      </c>
      <c r="M12" s="2" t="s">
        <v>1</v>
      </c>
    </row>
    <row r="13" spans="1:13" x14ac:dyDescent="0.2">
      <c r="A13" s="7">
        <f>DATE(81,11,18)</f>
        <v>29908</v>
      </c>
      <c r="B13" s="4">
        <v>330.2</v>
      </c>
      <c r="C13" s="4">
        <v>344.2</v>
      </c>
      <c r="D13" s="4">
        <v>203.2</v>
      </c>
      <c r="E13" s="4">
        <v>1.8049999999999999</v>
      </c>
      <c r="F13" s="4">
        <v>22.21</v>
      </c>
      <c r="G13" s="4">
        <v>38.340000000000003</v>
      </c>
      <c r="H13" s="4">
        <v>187.2</v>
      </c>
      <c r="I13" s="4">
        <v>155.4</v>
      </c>
      <c r="J13" s="4">
        <v>23.97</v>
      </c>
      <c r="K13" s="4">
        <v>113.49</v>
      </c>
      <c r="M13" s="2" t="s">
        <v>1</v>
      </c>
    </row>
    <row r="14" spans="1:13" x14ac:dyDescent="0.2">
      <c r="A14" s="7">
        <f>DATE(81,11,30)</f>
        <v>29920</v>
      </c>
      <c r="B14" s="4">
        <v>328.3</v>
      </c>
      <c r="C14" s="4">
        <v>341.4</v>
      </c>
      <c r="D14" s="4">
        <v>197.4</v>
      </c>
      <c r="E14" s="4">
        <v>29.45</v>
      </c>
      <c r="F14" s="4">
        <v>24.54</v>
      </c>
      <c r="G14" s="4">
        <v>48.12</v>
      </c>
      <c r="I14" s="4">
        <v>154.69999999999999</v>
      </c>
      <c r="J14" s="4">
        <v>30.3</v>
      </c>
      <c r="K14" s="4">
        <v>111.37</v>
      </c>
      <c r="M14" s="2" t="s">
        <v>1</v>
      </c>
    </row>
    <row r="15" spans="1:13" x14ac:dyDescent="0.2">
      <c r="A15" s="7">
        <f>DATE(81,12,1)</f>
        <v>29921</v>
      </c>
      <c r="B15" s="4">
        <v>330.7</v>
      </c>
      <c r="C15" s="4">
        <v>341</v>
      </c>
      <c r="D15" s="4">
        <v>199.9</v>
      </c>
      <c r="E15" s="4">
        <v>5.4249999999999998</v>
      </c>
      <c r="F15" s="4">
        <v>22.76</v>
      </c>
      <c r="G15" s="4">
        <v>35.39</v>
      </c>
      <c r="I15" s="4">
        <v>153.1</v>
      </c>
      <c r="J15" s="4">
        <v>33.840000000000003</v>
      </c>
      <c r="K15" s="4">
        <v>110.61</v>
      </c>
      <c r="M15" s="2" t="s">
        <v>1</v>
      </c>
    </row>
    <row r="16" spans="1:13" x14ac:dyDescent="0.2">
      <c r="A16" s="7">
        <f>DATE(81,12,2)</f>
        <v>29922</v>
      </c>
      <c r="B16" s="4">
        <v>335.3</v>
      </c>
      <c r="C16" s="4">
        <v>339.8</v>
      </c>
      <c r="D16" s="4">
        <v>192.6</v>
      </c>
      <c r="E16" s="4">
        <v>8.0649999999999995</v>
      </c>
      <c r="F16" s="4">
        <v>20.98</v>
      </c>
      <c r="G16" s="4">
        <v>30.3</v>
      </c>
      <c r="I16" s="4">
        <v>153.30000000000001</v>
      </c>
      <c r="J16" s="4">
        <v>12.18</v>
      </c>
      <c r="K16" s="4">
        <v>71.319999999999993</v>
      </c>
      <c r="M16" s="2" t="s">
        <v>1</v>
      </c>
    </row>
    <row r="17" spans="1:13" x14ac:dyDescent="0.2">
      <c r="A17" s="7">
        <f>DATE(82,5,4)</f>
        <v>30075</v>
      </c>
      <c r="B17" s="4">
        <v>336.8</v>
      </c>
      <c r="C17" s="4">
        <v>347.7</v>
      </c>
      <c r="D17" s="4">
        <v>214.3</v>
      </c>
      <c r="E17" s="4">
        <v>0.27500000000000002</v>
      </c>
      <c r="F17" s="4">
        <v>23.15</v>
      </c>
      <c r="G17" s="4">
        <v>33.049999999999997</v>
      </c>
      <c r="H17" s="4">
        <v>174.2</v>
      </c>
      <c r="I17" s="4">
        <v>144.6</v>
      </c>
      <c r="J17" s="4">
        <v>14.64</v>
      </c>
      <c r="K17" s="4">
        <v>93.68</v>
      </c>
      <c r="M17" s="2" t="s">
        <v>1</v>
      </c>
    </row>
    <row r="18" spans="1:13" x14ac:dyDescent="0.2">
      <c r="A18" s="7">
        <f>DATE(82,6,7)</f>
        <v>30109</v>
      </c>
      <c r="B18" s="4">
        <v>332.3</v>
      </c>
      <c r="C18" s="4">
        <v>346.5</v>
      </c>
      <c r="D18" s="4">
        <v>204.9</v>
      </c>
      <c r="E18" s="4">
        <v>13.44</v>
      </c>
      <c r="F18" s="4">
        <v>24.32</v>
      </c>
      <c r="G18" s="4">
        <v>36.18</v>
      </c>
      <c r="I18" s="4">
        <v>145.9</v>
      </c>
      <c r="J18" s="4">
        <v>11.12</v>
      </c>
      <c r="K18" s="4">
        <v>86.39</v>
      </c>
      <c r="M18" s="2" t="s">
        <v>1</v>
      </c>
    </row>
    <row r="19" spans="1:13" x14ac:dyDescent="0.2">
      <c r="A19" s="7">
        <f>DATE(82,6,18)</f>
        <v>30120</v>
      </c>
      <c r="B19" s="4">
        <v>333.3</v>
      </c>
      <c r="C19" s="4">
        <v>347.3</v>
      </c>
      <c r="D19" s="4">
        <v>212.4</v>
      </c>
      <c r="E19" s="4">
        <v>5.29</v>
      </c>
      <c r="F19" s="4">
        <v>23.61</v>
      </c>
      <c r="G19" s="4">
        <v>38.68</v>
      </c>
      <c r="H19" s="4">
        <v>213.4</v>
      </c>
      <c r="I19" s="4">
        <v>176.4</v>
      </c>
      <c r="J19" s="4">
        <v>11.61</v>
      </c>
      <c r="K19" s="4">
        <v>76.239999999999995</v>
      </c>
      <c r="M19" s="2" t="s">
        <v>1</v>
      </c>
    </row>
    <row r="20" spans="1:13" x14ac:dyDescent="0.2">
      <c r="A20" s="7">
        <f>DATE(82,7,22)</f>
        <v>30154</v>
      </c>
      <c r="B20" s="4">
        <v>339.6</v>
      </c>
      <c r="C20" s="4">
        <v>360.8</v>
      </c>
      <c r="D20" s="4">
        <v>221.4</v>
      </c>
      <c r="E20" s="4">
        <v>5.2</v>
      </c>
      <c r="F20" s="4">
        <v>24.19</v>
      </c>
      <c r="G20" s="4">
        <v>38.35</v>
      </c>
      <c r="H20" s="4">
        <v>188.2</v>
      </c>
      <c r="I20" s="4">
        <v>155.80000000000001</v>
      </c>
      <c r="J20" s="4">
        <v>12.68</v>
      </c>
      <c r="K20" s="4">
        <v>74.540000000000006</v>
      </c>
      <c r="M20" s="2" t="s">
        <v>1</v>
      </c>
    </row>
    <row r="21" spans="1:13" x14ac:dyDescent="0.2">
      <c r="A21" s="7">
        <f>DATE(82,8,3)</f>
        <v>30166</v>
      </c>
      <c r="B21" s="4">
        <v>338.8</v>
      </c>
      <c r="C21" s="4">
        <v>355.9</v>
      </c>
      <c r="D21" s="4">
        <v>216.1</v>
      </c>
      <c r="E21" s="4">
        <v>1.25</v>
      </c>
      <c r="F21" s="4">
        <v>23.52</v>
      </c>
      <c r="G21" s="4">
        <v>32.18</v>
      </c>
      <c r="H21" s="4">
        <v>208.3</v>
      </c>
      <c r="I21" s="4">
        <v>163.80000000000001</v>
      </c>
      <c r="J21" s="4">
        <v>10.67</v>
      </c>
      <c r="K21" s="4">
        <v>79.209999999999994</v>
      </c>
      <c r="M21" s="2" t="s">
        <v>1</v>
      </c>
    </row>
    <row r="22" spans="1:13" x14ac:dyDescent="0.2">
      <c r="A22" s="7">
        <f>DATE(82,8,16)</f>
        <v>30179</v>
      </c>
      <c r="B22" s="4">
        <v>330.3</v>
      </c>
      <c r="C22" s="4">
        <v>347.1</v>
      </c>
      <c r="D22" s="4">
        <v>210.9</v>
      </c>
      <c r="E22" s="4">
        <v>1.42</v>
      </c>
      <c r="F22" s="4">
        <v>23.2</v>
      </c>
      <c r="G22" s="4">
        <v>34.479999999999997</v>
      </c>
      <c r="H22" s="4">
        <v>172</v>
      </c>
      <c r="I22" s="4">
        <v>151.19999999999999</v>
      </c>
      <c r="K22" s="4">
        <v>51.56</v>
      </c>
      <c r="M22" s="2" t="s">
        <v>1</v>
      </c>
    </row>
    <row r="23" spans="1:13" x14ac:dyDescent="0.2">
      <c r="M23" s="2" t="s">
        <v>1</v>
      </c>
    </row>
    <row r="24" spans="1:13" x14ac:dyDescent="0.2">
      <c r="M24" s="2" t="s">
        <v>1</v>
      </c>
    </row>
    <row r="25" spans="1:13" x14ac:dyDescent="0.2">
      <c r="A25" s="19" t="s">
        <v>601</v>
      </c>
      <c r="M25" s="2" t="s">
        <v>1</v>
      </c>
    </row>
    <row r="26" spans="1:13" x14ac:dyDescent="0.2">
      <c r="A26" s="7">
        <f>AVERAGE(A7)</f>
        <v>29521</v>
      </c>
      <c r="D26" s="4">
        <f>AVERAGE(D7)</f>
        <v>195.8</v>
      </c>
      <c r="E26" s="4">
        <f>AVERAGE(E7)</f>
        <v>29.46</v>
      </c>
      <c r="F26" s="4">
        <f>AVERAGE(F7)</f>
        <v>23.47</v>
      </c>
      <c r="G26" s="4">
        <f>AVERAGE(G7)</f>
        <v>57.2</v>
      </c>
      <c r="H26" s="4">
        <f>AVERAGE(H7)</f>
        <v>157.5</v>
      </c>
      <c r="J26" s="4">
        <f>AVERAGE(J7)</f>
        <v>9.27</v>
      </c>
      <c r="K26" s="4">
        <f>AVERAGE(K7)</f>
        <v>79.58</v>
      </c>
      <c r="M26" s="2" t="s">
        <v>1</v>
      </c>
    </row>
    <row r="27" spans="1:13" x14ac:dyDescent="0.2">
      <c r="A27" s="7">
        <f>AVERAGE(A8:A10)</f>
        <v>29534.333333333332</v>
      </c>
      <c r="D27" s="4">
        <f>AVERAGE(D8:D10)</f>
        <v>187.63333333333333</v>
      </c>
      <c r="E27" s="4">
        <f>AVERAGE(E8:E10)</f>
        <v>19.349999999999998</v>
      </c>
      <c r="F27" s="4">
        <f>AVERAGE(F8:F10)</f>
        <v>21.19</v>
      </c>
      <c r="G27" s="4">
        <f>AVERAGE(G8:G10)</f>
        <v>42.186666666666667</v>
      </c>
      <c r="H27" s="4">
        <f>AVERAGE(H8:H10)</f>
        <v>171.29999999999998</v>
      </c>
      <c r="J27" s="4">
        <f>AVERAGE(J8:J10)</f>
        <v>19.18</v>
      </c>
      <c r="K27" s="4">
        <f>AVERAGE(K8:K10)</f>
        <v>98.506666666666661</v>
      </c>
      <c r="M27" s="2" t="s">
        <v>1</v>
      </c>
    </row>
    <row r="28" spans="1:13" x14ac:dyDescent="0.2">
      <c r="A28" s="7">
        <f t="shared" ref="A28:K28" si="0">AVERAGE(A11:A14)</f>
        <v>29904.75</v>
      </c>
      <c r="B28" s="4">
        <f t="shared" si="0"/>
        <v>330.59999999999997</v>
      </c>
      <c r="C28" s="4">
        <f t="shared" si="0"/>
        <v>344.29999999999995</v>
      </c>
      <c r="D28" s="4">
        <f t="shared" si="0"/>
        <v>199.97499999999999</v>
      </c>
      <c r="E28" s="4">
        <f t="shared" si="0"/>
        <v>10.385</v>
      </c>
      <c r="F28" s="4">
        <f t="shared" si="0"/>
        <v>23.144999999999996</v>
      </c>
      <c r="G28" s="4">
        <f t="shared" si="0"/>
        <v>44.842500000000001</v>
      </c>
      <c r="H28" s="4">
        <f t="shared" si="0"/>
        <v>198</v>
      </c>
      <c r="I28" s="4">
        <f t="shared" si="0"/>
        <v>155.44999999999999</v>
      </c>
      <c r="J28" s="4">
        <f t="shared" si="0"/>
        <v>29.764999999999997</v>
      </c>
      <c r="K28" s="4">
        <f t="shared" si="0"/>
        <v>115.1675</v>
      </c>
      <c r="M28" s="2" t="s">
        <v>1</v>
      </c>
    </row>
    <row r="29" spans="1:13" x14ac:dyDescent="0.2">
      <c r="A29" s="7">
        <f t="shared" ref="A29:G29" si="1">AVERAGE(A15:A16)</f>
        <v>29921.5</v>
      </c>
      <c r="B29" s="4">
        <f t="shared" si="1"/>
        <v>333</v>
      </c>
      <c r="C29" s="4">
        <f t="shared" si="1"/>
        <v>340.4</v>
      </c>
      <c r="D29" s="4">
        <f t="shared" si="1"/>
        <v>196.25</v>
      </c>
      <c r="E29" s="4">
        <f t="shared" si="1"/>
        <v>6.7449999999999992</v>
      </c>
      <c r="F29" s="4">
        <f t="shared" si="1"/>
        <v>21.87</v>
      </c>
      <c r="G29" s="4">
        <f t="shared" si="1"/>
        <v>32.844999999999999</v>
      </c>
      <c r="I29" s="4">
        <f>AVERAGE(I15:I16)</f>
        <v>153.19999999999999</v>
      </c>
      <c r="J29" s="4">
        <f>AVERAGE(J15:J16)</f>
        <v>23.01</v>
      </c>
      <c r="K29" s="4">
        <f>AVERAGE(K15:K16)</f>
        <v>90.965000000000003</v>
      </c>
      <c r="M29" s="2" t="s">
        <v>1</v>
      </c>
    </row>
    <row r="30" spans="1:13" x14ac:dyDescent="0.2">
      <c r="A30" s="7">
        <f t="shared" ref="A30:K30" si="2">AVERAGE(A17)</f>
        <v>30075</v>
      </c>
      <c r="B30" s="4">
        <f t="shared" si="2"/>
        <v>336.8</v>
      </c>
      <c r="C30" s="4">
        <f t="shared" si="2"/>
        <v>347.7</v>
      </c>
      <c r="D30" s="4">
        <f t="shared" si="2"/>
        <v>214.3</v>
      </c>
      <c r="E30" s="4">
        <f t="shared" si="2"/>
        <v>0.27500000000000002</v>
      </c>
      <c r="F30" s="4">
        <f t="shared" si="2"/>
        <v>23.15</v>
      </c>
      <c r="G30" s="4">
        <f t="shared" si="2"/>
        <v>33.049999999999997</v>
      </c>
      <c r="H30" s="4">
        <f t="shared" si="2"/>
        <v>174.2</v>
      </c>
      <c r="I30" s="4">
        <f t="shared" si="2"/>
        <v>144.6</v>
      </c>
      <c r="J30" s="4">
        <f t="shared" si="2"/>
        <v>14.64</v>
      </c>
      <c r="K30" s="4">
        <f t="shared" si="2"/>
        <v>93.68</v>
      </c>
      <c r="M30" s="2" t="s">
        <v>1</v>
      </c>
    </row>
    <row r="31" spans="1:13" x14ac:dyDescent="0.2">
      <c r="A31" s="7">
        <f t="shared" ref="A31:K31" si="3">AVERAGE(A18:A19)</f>
        <v>30114.5</v>
      </c>
      <c r="B31" s="4">
        <f t="shared" si="3"/>
        <v>332.8</v>
      </c>
      <c r="C31" s="4">
        <f t="shared" si="3"/>
        <v>346.9</v>
      </c>
      <c r="D31" s="4">
        <f t="shared" si="3"/>
        <v>208.65</v>
      </c>
      <c r="E31" s="4">
        <f t="shared" si="3"/>
        <v>9.3650000000000002</v>
      </c>
      <c r="F31" s="4">
        <f t="shared" si="3"/>
        <v>23.965</v>
      </c>
      <c r="G31" s="4">
        <f t="shared" si="3"/>
        <v>37.43</v>
      </c>
      <c r="H31" s="4">
        <f t="shared" si="3"/>
        <v>213.4</v>
      </c>
      <c r="I31" s="4">
        <f t="shared" si="3"/>
        <v>161.15</v>
      </c>
      <c r="J31" s="4">
        <f t="shared" si="3"/>
        <v>11.364999999999998</v>
      </c>
      <c r="K31" s="4">
        <f t="shared" si="3"/>
        <v>81.314999999999998</v>
      </c>
      <c r="M31" s="2" t="s">
        <v>1</v>
      </c>
    </row>
    <row r="32" spans="1:13" x14ac:dyDescent="0.2">
      <c r="A32" s="7">
        <f t="shared" ref="A32:K32" si="4">AVERAGE(A20)</f>
        <v>30154</v>
      </c>
      <c r="B32" s="4">
        <f t="shared" si="4"/>
        <v>339.6</v>
      </c>
      <c r="C32" s="4">
        <f t="shared" si="4"/>
        <v>360.8</v>
      </c>
      <c r="D32" s="4">
        <f t="shared" si="4"/>
        <v>221.4</v>
      </c>
      <c r="E32" s="4">
        <f t="shared" si="4"/>
        <v>5.2</v>
      </c>
      <c r="F32" s="4">
        <f t="shared" si="4"/>
        <v>24.19</v>
      </c>
      <c r="G32" s="4">
        <f t="shared" si="4"/>
        <v>38.35</v>
      </c>
      <c r="H32" s="4">
        <f t="shared" si="4"/>
        <v>188.2</v>
      </c>
      <c r="I32" s="4">
        <f t="shared" si="4"/>
        <v>155.80000000000001</v>
      </c>
      <c r="J32" s="4">
        <f t="shared" si="4"/>
        <v>12.68</v>
      </c>
      <c r="K32" s="4">
        <f t="shared" si="4"/>
        <v>74.540000000000006</v>
      </c>
      <c r="M32" s="2" t="s">
        <v>1</v>
      </c>
    </row>
    <row r="33" spans="1:13" x14ac:dyDescent="0.2">
      <c r="A33" s="7">
        <f t="shared" ref="A33:K33" si="5">AVERAGE(A21:A22)</f>
        <v>30172.5</v>
      </c>
      <c r="B33" s="4">
        <f t="shared" si="5"/>
        <v>334.55</v>
      </c>
      <c r="C33" s="4">
        <f t="shared" si="5"/>
        <v>351.5</v>
      </c>
      <c r="D33" s="4">
        <f t="shared" si="5"/>
        <v>213.5</v>
      </c>
      <c r="E33" s="4">
        <f t="shared" si="5"/>
        <v>1.335</v>
      </c>
      <c r="F33" s="4">
        <f t="shared" si="5"/>
        <v>23.36</v>
      </c>
      <c r="G33" s="4">
        <f t="shared" si="5"/>
        <v>33.33</v>
      </c>
      <c r="H33" s="4">
        <f t="shared" si="5"/>
        <v>190.15</v>
      </c>
      <c r="I33" s="4">
        <f t="shared" si="5"/>
        <v>157.5</v>
      </c>
      <c r="J33" s="4">
        <f t="shared" si="5"/>
        <v>10.67</v>
      </c>
      <c r="K33" s="4">
        <f t="shared" si="5"/>
        <v>65.384999999999991</v>
      </c>
      <c r="M33" s="2" t="s">
        <v>1</v>
      </c>
    </row>
    <row r="34" spans="1:13" x14ac:dyDescent="0.2">
      <c r="M34" s="2" t="s">
        <v>1</v>
      </c>
    </row>
    <row r="35" spans="1:13" x14ac:dyDescent="0.2">
      <c r="M35" s="2" t="s">
        <v>1</v>
      </c>
    </row>
    <row r="36" spans="1:13" x14ac:dyDescent="0.2">
      <c r="A36" s="19" t="s">
        <v>277</v>
      </c>
      <c r="M36" s="2" t="s">
        <v>1</v>
      </c>
    </row>
    <row r="37" spans="1:13" x14ac:dyDescent="0.2">
      <c r="A37" s="7">
        <v>29521</v>
      </c>
      <c r="M37" s="2" t="s">
        <v>1</v>
      </c>
    </row>
    <row r="38" spans="1:13" x14ac:dyDescent="0.2">
      <c r="A38" s="7">
        <v>29534.333333333332</v>
      </c>
      <c r="D38" s="4">
        <v>5.9340823497263111</v>
      </c>
      <c r="E38" s="4">
        <v>11.167018402420585</v>
      </c>
      <c r="F38" s="4">
        <v>0.29512709126747411</v>
      </c>
      <c r="G38" s="4">
        <v>0.88895069229588508</v>
      </c>
      <c r="H38" s="4">
        <v>3.5679125549822546</v>
      </c>
      <c r="J38" s="4">
        <v>5.8953116965941676</v>
      </c>
      <c r="K38" s="4">
        <v>3.9705079439957469</v>
      </c>
      <c r="M38" s="2" t="s">
        <v>1</v>
      </c>
    </row>
    <row r="39" spans="1:13" x14ac:dyDescent="0.2">
      <c r="A39" s="7">
        <v>29904.75</v>
      </c>
      <c r="B39" s="4">
        <v>1.9061304607327729</v>
      </c>
      <c r="C39" s="4">
        <v>3.0276503540974917</v>
      </c>
      <c r="D39" s="4">
        <v>3.3984064893221158</v>
      </c>
      <c r="E39" s="4">
        <v>13.131371469373132</v>
      </c>
      <c r="F39" s="4">
        <v>1.2685030547854428</v>
      </c>
      <c r="G39" s="4">
        <v>8.4595680543788205</v>
      </c>
      <c r="H39" s="4">
        <v>20.998095151703641</v>
      </c>
      <c r="I39" s="4">
        <v>0.5802298395176404</v>
      </c>
      <c r="J39" s="4">
        <v>11.748680777006413</v>
      </c>
      <c r="K39" s="4">
        <v>19.469573484456888</v>
      </c>
      <c r="M39" s="2" t="s">
        <v>1</v>
      </c>
    </row>
    <row r="40" spans="1:13" x14ac:dyDescent="0.2">
      <c r="A40" s="7">
        <v>29921.5</v>
      </c>
      <c r="B40" s="4">
        <v>3.2526911934581184</v>
      </c>
      <c r="C40" s="4">
        <v>0.84852813742385702</v>
      </c>
      <c r="D40" s="4">
        <v>5.1618795026617965</v>
      </c>
      <c r="E40" s="4">
        <v>1.8667619023324855</v>
      </c>
      <c r="F40" s="4">
        <v>1.2586500705120547</v>
      </c>
      <c r="G40" s="4">
        <v>3.5991735162395271</v>
      </c>
      <c r="I40" s="4">
        <v>0.1414213562373095</v>
      </c>
      <c r="J40" s="4">
        <v>15.31593288050062</v>
      </c>
      <c r="K40" s="4">
        <v>27.782225432819452</v>
      </c>
      <c r="M40" s="2" t="s">
        <v>1</v>
      </c>
    </row>
    <row r="41" spans="1:13" x14ac:dyDescent="0.2">
      <c r="A41" s="7">
        <v>30075</v>
      </c>
      <c r="M41" s="2" t="s">
        <v>1</v>
      </c>
    </row>
    <row r="42" spans="1:13" x14ac:dyDescent="0.2">
      <c r="A42" s="7">
        <v>30114.5</v>
      </c>
      <c r="B42" s="4">
        <v>0.70710678118654757</v>
      </c>
      <c r="C42" s="4">
        <v>0.56568542494923801</v>
      </c>
      <c r="D42" s="4">
        <v>5.3033008588991066</v>
      </c>
      <c r="E42" s="4">
        <v>5.7629202666703625</v>
      </c>
      <c r="F42" s="4">
        <v>0.5020458146424488</v>
      </c>
      <c r="G42" s="4">
        <v>1.7677669529663689</v>
      </c>
      <c r="I42" s="4">
        <v>21.5667568261897</v>
      </c>
      <c r="J42" s="4">
        <v>0.34648232278140828</v>
      </c>
      <c r="K42" s="4">
        <v>7.1771338290434574</v>
      </c>
      <c r="M42" s="2" t="s">
        <v>1</v>
      </c>
    </row>
    <row r="43" spans="1:13" x14ac:dyDescent="0.2">
      <c r="A43" s="7">
        <v>30154</v>
      </c>
      <c r="M43" s="2" t="s">
        <v>1</v>
      </c>
    </row>
    <row r="44" spans="1:13" x14ac:dyDescent="0.2">
      <c r="A44" s="7">
        <v>30172.5</v>
      </c>
      <c r="B44" s="4">
        <v>6.0104076400856536</v>
      </c>
      <c r="C44" s="4">
        <v>6.2225396744416184</v>
      </c>
      <c r="D44" s="4">
        <v>3.676955262170047</v>
      </c>
      <c r="E44" s="4">
        <v>0.12020815280171308</v>
      </c>
      <c r="F44" s="4">
        <v>0.22627416997969521</v>
      </c>
      <c r="G44" s="4">
        <v>1.6263455967290592</v>
      </c>
      <c r="H44" s="4">
        <v>25.667976157071674</v>
      </c>
      <c r="I44" s="4">
        <v>8.909545442950499</v>
      </c>
      <c r="K44" s="4">
        <v>19.551502499808038</v>
      </c>
      <c r="M44" s="2" t="s">
        <v>1</v>
      </c>
    </row>
    <row r="45" spans="1:13" x14ac:dyDescent="0.2">
      <c r="M45" s="2" t="s">
        <v>1</v>
      </c>
    </row>
    <row r="47" spans="1:13" x14ac:dyDescent="0.2">
      <c r="A47" s="19" t="s">
        <v>279</v>
      </c>
    </row>
    <row r="48" spans="1:13" x14ac:dyDescent="0.2">
      <c r="A48" s="7">
        <v>29521</v>
      </c>
      <c r="B48" s="4">
        <v>1</v>
      </c>
      <c r="C48" s="4">
        <v>1</v>
      </c>
      <c r="D48" s="4">
        <v>1</v>
      </c>
      <c r="E48" s="4">
        <v>1</v>
      </c>
      <c r="F48" s="4">
        <v>1</v>
      </c>
      <c r="G48" s="4">
        <v>1</v>
      </c>
      <c r="H48" s="4">
        <v>1</v>
      </c>
      <c r="I48" s="4">
        <v>1</v>
      </c>
      <c r="J48" s="4">
        <v>1</v>
      </c>
      <c r="K48" s="4">
        <v>1</v>
      </c>
    </row>
    <row r="49" spans="1:11" x14ac:dyDescent="0.2">
      <c r="A49" s="7">
        <v>29534.333333333332</v>
      </c>
      <c r="B49" s="4">
        <v>0</v>
      </c>
      <c r="C49" s="4">
        <v>0</v>
      </c>
      <c r="D49" s="4">
        <v>3</v>
      </c>
      <c r="E49" s="4">
        <v>3</v>
      </c>
      <c r="F49" s="4">
        <v>3</v>
      </c>
      <c r="G49" s="4">
        <v>3</v>
      </c>
      <c r="H49" s="4">
        <v>3</v>
      </c>
      <c r="I49" s="4">
        <v>0</v>
      </c>
      <c r="J49" s="4">
        <v>3</v>
      </c>
      <c r="K49" s="4">
        <v>3</v>
      </c>
    </row>
    <row r="50" spans="1:11" x14ac:dyDescent="0.2">
      <c r="A50" s="7">
        <v>29904.75</v>
      </c>
      <c r="B50" s="4">
        <v>4</v>
      </c>
      <c r="C50" s="4">
        <v>4</v>
      </c>
      <c r="D50" s="4">
        <v>4</v>
      </c>
      <c r="E50" s="4">
        <v>4</v>
      </c>
      <c r="F50" s="4">
        <v>4</v>
      </c>
      <c r="G50" s="4">
        <v>4</v>
      </c>
      <c r="H50" s="4">
        <v>3</v>
      </c>
      <c r="I50" s="4">
        <v>4</v>
      </c>
      <c r="J50" s="4">
        <v>4</v>
      </c>
      <c r="K50" s="4">
        <v>4</v>
      </c>
    </row>
    <row r="51" spans="1:11" x14ac:dyDescent="0.2">
      <c r="A51" s="7">
        <v>29921.5</v>
      </c>
      <c r="B51" s="4">
        <v>2</v>
      </c>
      <c r="C51" s="4">
        <v>2</v>
      </c>
      <c r="D51" s="4">
        <v>2</v>
      </c>
      <c r="E51" s="4">
        <v>2</v>
      </c>
      <c r="F51" s="4">
        <v>2</v>
      </c>
      <c r="G51" s="4">
        <v>2</v>
      </c>
      <c r="H51" s="4">
        <v>0</v>
      </c>
      <c r="I51" s="4">
        <v>2</v>
      </c>
      <c r="J51" s="4">
        <v>2</v>
      </c>
      <c r="K51" s="4">
        <v>2</v>
      </c>
    </row>
    <row r="52" spans="1:11" x14ac:dyDescent="0.2">
      <c r="A52" s="7">
        <v>30075</v>
      </c>
      <c r="B52" s="4">
        <v>1</v>
      </c>
      <c r="C52" s="4">
        <v>1</v>
      </c>
      <c r="D52" s="4">
        <v>1</v>
      </c>
      <c r="E52" s="4">
        <v>1</v>
      </c>
      <c r="F52" s="4">
        <v>1</v>
      </c>
      <c r="G52" s="4">
        <v>1</v>
      </c>
      <c r="H52" s="4">
        <v>1</v>
      </c>
      <c r="I52" s="4">
        <v>1</v>
      </c>
      <c r="J52" s="4">
        <v>1</v>
      </c>
      <c r="K52" s="4">
        <v>1</v>
      </c>
    </row>
    <row r="53" spans="1:11" x14ac:dyDescent="0.2">
      <c r="A53" s="7">
        <v>30114.5</v>
      </c>
      <c r="B53" s="4">
        <v>2</v>
      </c>
      <c r="C53" s="4">
        <v>2</v>
      </c>
      <c r="D53" s="4">
        <v>2</v>
      </c>
      <c r="E53" s="4">
        <v>2</v>
      </c>
      <c r="F53" s="4">
        <v>2</v>
      </c>
      <c r="G53" s="4">
        <v>2</v>
      </c>
      <c r="H53" s="4">
        <v>1</v>
      </c>
      <c r="I53" s="4">
        <v>2</v>
      </c>
      <c r="J53" s="4">
        <v>2</v>
      </c>
      <c r="K53" s="4">
        <v>2</v>
      </c>
    </row>
    <row r="54" spans="1:11" x14ac:dyDescent="0.2">
      <c r="A54" s="7">
        <v>30154</v>
      </c>
      <c r="B54" s="4">
        <v>1</v>
      </c>
      <c r="C54" s="4">
        <v>1</v>
      </c>
      <c r="D54" s="4">
        <v>1</v>
      </c>
      <c r="E54" s="4">
        <v>1</v>
      </c>
      <c r="F54" s="4">
        <v>1</v>
      </c>
      <c r="G54" s="4">
        <v>1</v>
      </c>
      <c r="H54" s="4">
        <v>1</v>
      </c>
      <c r="I54" s="4">
        <v>1</v>
      </c>
      <c r="J54" s="4">
        <v>1</v>
      </c>
      <c r="K54" s="4">
        <v>1</v>
      </c>
    </row>
    <row r="55" spans="1:11" x14ac:dyDescent="0.2">
      <c r="A55" s="7">
        <v>30172.5</v>
      </c>
      <c r="B55" s="4">
        <v>2</v>
      </c>
      <c r="C55" s="4">
        <v>2</v>
      </c>
      <c r="D55" s="4">
        <v>2</v>
      </c>
      <c r="E55" s="4">
        <v>2</v>
      </c>
      <c r="F55" s="4">
        <v>2</v>
      </c>
      <c r="G55" s="4">
        <v>2</v>
      </c>
      <c r="H55" s="4">
        <v>2</v>
      </c>
      <c r="I55" s="4">
        <v>2</v>
      </c>
      <c r="J55" s="4">
        <v>1</v>
      </c>
      <c r="K55" s="4">
        <v>2</v>
      </c>
    </row>
    <row r="58" spans="1:11" x14ac:dyDescent="0.2">
      <c r="A58" s="2" t="s">
        <v>1435</v>
      </c>
    </row>
    <row r="60" spans="1:11" x14ac:dyDescent="0.2">
      <c r="A60" s="7">
        <f t="shared" ref="A60:K60" si="6">AVERAGE(A26:A33)</f>
        <v>29924.697916666664</v>
      </c>
      <c r="B60" s="4">
        <f t="shared" si="6"/>
        <v>334.55833333333328</v>
      </c>
      <c r="C60" s="4">
        <f t="shared" si="6"/>
        <v>348.59999999999991</v>
      </c>
      <c r="D60" s="4">
        <f t="shared" si="6"/>
        <v>204.68854166666668</v>
      </c>
      <c r="E60" s="4">
        <f t="shared" si="6"/>
        <v>10.264374999999999</v>
      </c>
      <c r="F60" s="4">
        <f t="shared" si="6"/>
        <v>23.042499999999997</v>
      </c>
      <c r="G60" s="4">
        <f t="shared" si="6"/>
        <v>39.904270833333335</v>
      </c>
      <c r="H60" s="4">
        <f t="shared" si="6"/>
        <v>184.67857142857142</v>
      </c>
      <c r="I60" s="4">
        <f t="shared" si="6"/>
        <v>154.61666666666667</v>
      </c>
      <c r="J60" s="4">
        <f t="shared" si="6"/>
        <v>16.322499999999998</v>
      </c>
      <c r="K60" s="4">
        <f t="shared" si="6"/>
        <v>87.392395833333325</v>
      </c>
    </row>
    <row r="61" spans="1:11" x14ac:dyDescent="0.2">
      <c r="A61" s="4">
        <f t="shared" ref="A61:K61" si="7">STDEV(A26:A33)</f>
        <v>264.133496255674</v>
      </c>
      <c r="B61" s="4">
        <f t="shared" si="7"/>
        <v>3.2134742361915349</v>
      </c>
      <c r="C61" s="4">
        <f t="shared" si="7"/>
        <v>7.0239589976024375</v>
      </c>
      <c r="D61" s="4">
        <f t="shared" si="7"/>
        <v>11.515831870974656</v>
      </c>
      <c r="E61" s="4">
        <f t="shared" si="7"/>
        <v>9.7789808983714792</v>
      </c>
      <c r="F61" s="4">
        <f t="shared" si="7"/>
        <v>1.01979689854682</v>
      </c>
      <c r="G61" s="4">
        <f t="shared" si="7"/>
        <v>8.2575578348764296</v>
      </c>
      <c r="H61" s="4">
        <f t="shared" si="7"/>
        <v>18.583950448860826</v>
      </c>
      <c r="I61" s="4">
        <f t="shared" si="7"/>
        <v>5.5755418271829607</v>
      </c>
      <c r="J61" s="4">
        <f t="shared" si="7"/>
        <v>7.1309456395548096</v>
      </c>
      <c r="K61" s="4">
        <f t="shared" si="7"/>
        <v>15.559832505101308</v>
      </c>
    </row>
    <row r="62" spans="1:11" x14ac:dyDescent="0.2">
      <c r="A62" s="2">
        <f t="shared" ref="A62:K62" si="8">COUNTA(A26:A33)</f>
        <v>8</v>
      </c>
      <c r="B62" s="2">
        <f t="shared" si="8"/>
        <v>6</v>
      </c>
      <c r="C62" s="2">
        <f t="shared" si="8"/>
        <v>6</v>
      </c>
      <c r="D62" s="2">
        <f t="shared" si="8"/>
        <v>8</v>
      </c>
      <c r="E62" s="2">
        <f t="shared" si="8"/>
        <v>8</v>
      </c>
      <c r="F62" s="2">
        <f t="shared" si="8"/>
        <v>8</v>
      </c>
      <c r="G62" s="2">
        <f t="shared" si="8"/>
        <v>8</v>
      </c>
      <c r="H62" s="2">
        <f t="shared" si="8"/>
        <v>7</v>
      </c>
      <c r="I62" s="2">
        <f t="shared" si="8"/>
        <v>6</v>
      </c>
      <c r="J62" s="2">
        <f t="shared" si="8"/>
        <v>8</v>
      </c>
      <c r="K62" s="2">
        <f t="shared" si="8"/>
        <v>8</v>
      </c>
    </row>
  </sheetData>
  <pageMargins left="0.5" right="0.5" top="0.75" bottom="0.75" header="0.5" footer="0.5"/>
  <pageSetup orientation="portrait" horizontalDpi="0" verticalDpi="0" copies="0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7"/>
  <sheetViews>
    <sheetView showOutlineSymbols="0" defaultGridColor="0" colorId="9" workbookViewId="0">
      <selection activeCell="A5" sqref="A5"/>
    </sheetView>
  </sheetViews>
  <sheetFormatPr defaultColWidth="8.6640625" defaultRowHeight="15" x14ac:dyDescent="0.2"/>
  <cols>
    <col min="1" max="16384" width="8.6640625" style="2"/>
  </cols>
  <sheetData>
    <row r="1" spans="1:33" ht="18" x14ac:dyDescent="0.25">
      <c r="A1" s="18" t="s">
        <v>1436</v>
      </c>
      <c r="T1" s="2" t="s">
        <v>277</v>
      </c>
      <c r="AG1" s="2" t="s">
        <v>1</v>
      </c>
    </row>
    <row r="2" spans="1:33" x14ac:dyDescent="0.2">
      <c r="C2" s="2" t="s">
        <v>283</v>
      </c>
      <c r="AG2" s="2" t="s">
        <v>1</v>
      </c>
    </row>
    <row r="3" spans="1:33" x14ac:dyDescent="0.2">
      <c r="B3" s="8" t="s">
        <v>287</v>
      </c>
      <c r="C3" s="8" t="s">
        <v>1437</v>
      </c>
      <c r="D3" s="8" t="s">
        <v>117</v>
      </c>
      <c r="E3" s="8" t="s">
        <v>118</v>
      </c>
      <c r="F3" s="8" t="s">
        <v>118</v>
      </c>
      <c r="G3" s="8" t="s">
        <v>123</v>
      </c>
      <c r="H3" s="8" t="s">
        <v>134</v>
      </c>
      <c r="I3" s="8" t="s">
        <v>138</v>
      </c>
      <c r="J3" s="8" t="s">
        <v>136</v>
      </c>
      <c r="K3" s="8" t="s">
        <v>130</v>
      </c>
      <c r="L3" s="8" t="s">
        <v>133</v>
      </c>
      <c r="M3" s="8" t="s">
        <v>127</v>
      </c>
      <c r="N3" s="8" t="s">
        <v>121</v>
      </c>
      <c r="O3" s="8" t="s">
        <v>112</v>
      </c>
      <c r="P3" s="8" t="s">
        <v>148</v>
      </c>
      <c r="Q3" s="8" t="s">
        <v>115</v>
      </c>
      <c r="R3" s="8" t="s">
        <v>133</v>
      </c>
      <c r="T3" s="8" t="s">
        <v>117</v>
      </c>
      <c r="U3" s="8" t="s">
        <v>118</v>
      </c>
      <c r="V3" s="8" t="s">
        <v>118</v>
      </c>
      <c r="W3" s="8" t="s">
        <v>123</v>
      </c>
      <c r="X3" s="8" t="s">
        <v>134</v>
      </c>
      <c r="Y3" s="8" t="s">
        <v>138</v>
      </c>
      <c r="Z3" s="8" t="s">
        <v>136</v>
      </c>
      <c r="AA3" s="8" t="s">
        <v>130</v>
      </c>
      <c r="AB3" s="8" t="s">
        <v>133</v>
      </c>
      <c r="AC3" s="8" t="s">
        <v>127</v>
      </c>
      <c r="AD3" s="8" t="s">
        <v>121</v>
      </c>
      <c r="AE3" s="8" t="s">
        <v>112</v>
      </c>
      <c r="AG3" s="2" t="s">
        <v>1</v>
      </c>
    </row>
    <row r="4" spans="1:33" x14ac:dyDescent="0.2">
      <c r="B4" s="15" t="s">
        <v>291</v>
      </c>
      <c r="D4" s="8" t="s">
        <v>266</v>
      </c>
      <c r="E4" s="8" t="s">
        <v>266</v>
      </c>
      <c r="F4" s="8" t="s">
        <v>266</v>
      </c>
      <c r="G4" s="8" t="s">
        <v>266</v>
      </c>
      <c r="H4" s="8" t="s">
        <v>371</v>
      </c>
      <c r="I4" s="8" t="s">
        <v>266</v>
      </c>
      <c r="J4" s="8" t="s">
        <v>144</v>
      </c>
      <c r="K4" s="8" t="s">
        <v>144</v>
      </c>
      <c r="L4" s="8" t="s">
        <v>144</v>
      </c>
      <c r="M4" s="8" t="s">
        <v>144</v>
      </c>
      <c r="N4" s="8" t="s">
        <v>144</v>
      </c>
      <c r="O4" s="8" t="s">
        <v>144</v>
      </c>
      <c r="P4" s="8" t="s">
        <v>144</v>
      </c>
      <c r="Q4" s="8" t="s">
        <v>144</v>
      </c>
      <c r="R4" s="8" t="s">
        <v>144</v>
      </c>
      <c r="T4" s="8" t="s">
        <v>266</v>
      </c>
      <c r="U4" s="8" t="s">
        <v>266</v>
      </c>
      <c r="V4" s="8" t="s">
        <v>266</v>
      </c>
      <c r="W4" s="8" t="s">
        <v>266</v>
      </c>
      <c r="X4" s="8" t="s">
        <v>371</v>
      </c>
      <c r="Y4" s="8" t="s">
        <v>266</v>
      </c>
      <c r="Z4" s="8" t="s">
        <v>144</v>
      </c>
      <c r="AA4" s="8" t="s">
        <v>144</v>
      </c>
      <c r="AB4" s="8" t="s">
        <v>144</v>
      </c>
      <c r="AC4" s="8" t="s">
        <v>144</v>
      </c>
      <c r="AD4" s="8" t="s">
        <v>144</v>
      </c>
      <c r="AE4" s="8" t="s">
        <v>144</v>
      </c>
      <c r="AG4" s="2" t="s">
        <v>1</v>
      </c>
    </row>
    <row r="5" spans="1:33" x14ac:dyDescent="0.2">
      <c r="AG5" s="2" t="s">
        <v>1</v>
      </c>
    </row>
    <row r="6" spans="1:33" x14ac:dyDescent="0.2">
      <c r="A6" s="7">
        <v>33193</v>
      </c>
      <c r="B6" s="4">
        <v>-5.4</v>
      </c>
      <c r="C6" s="4">
        <v>0.81</v>
      </c>
      <c r="D6" s="4">
        <v>509</v>
      </c>
      <c r="E6" s="4">
        <v>89.833333333333329</v>
      </c>
      <c r="F6" s="4">
        <v>99.666666666666671</v>
      </c>
      <c r="G6" s="4">
        <v>1781.3333333333333</v>
      </c>
      <c r="H6" s="4">
        <v>364</v>
      </c>
      <c r="I6" s="4">
        <v>340.96666666666664</v>
      </c>
      <c r="J6" s="4">
        <v>515.66666666666663</v>
      </c>
      <c r="K6" s="4">
        <v>289.33333333333331</v>
      </c>
      <c r="L6" s="4">
        <v>61.666666666666664</v>
      </c>
      <c r="M6" s="4">
        <v>22.5</v>
      </c>
      <c r="N6" s="4">
        <v>247</v>
      </c>
      <c r="O6" s="4">
        <v>162.33333333333334</v>
      </c>
      <c r="T6" s="4">
        <v>3.7749172176353749</v>
      </c>
      <c r="U6" s="4">
        <v>4.6457866215887851</v>
      </c>
      <c r="V6" s="4">
        <v>6.6583281184793925</v>
      </c>
      <c r="W6" s="4">
        <v>4.0414518843273806</v>
      </c>
      <c r="X6" s="4">
        <v>7</v>
      </c>
      <c r="Y6" s="4">
        <v>0.11547005383792516</v>
      </c>
      <c r="Z6" s="4">
        <v>2.3094010767585029</v>
      </c>
      <c r="AA6" s="4">
        <v>0.57735026918962573</v>
      </c>
      <c r="AB6" s="4">
        <v>2.0816659994661326</v>
      </c>
      <c r="AC6" s="4">
        <v>0.70710678118654757</v>
      </c>
      <c r="AD6" s="4">
        <v>5.5677643628300215</v>
      </c>
      <c r="AE6" s="4">
        <v>1.5275252316519468</v>
      </c>
      <c r="AG6" s="2" t="s">
        <v>1</v>
      </c>
    </row>
    <row r="7" spans="1:33" x14ac:dyDescent="0.2">
      <c r="A7" s="7">
        <v>33209</v>
      </c>
      <c r="B7" s="4">
        <v>-10.3</v>
      </c>
      <c r="C7" s="4">
        <v>18</v>
      </c>
      <c r="D7" s="4">
        <v>507.16666666666669</v>
      </c>
      <c r="E7" s="4">
        <v>82.666666666666671</v>
      </c>
      <c r="F7" s="4">
        <v>90</v>
      </c>
      <c r="G7" s="4">
        <v>1780</v>
      </c>
      <c r="H7" s="4">
        <v>361.16666666666669</v>
      </c>
      <c r="I7" s="4">
        <v>342.96666666666664</v>
      </c>
      <c r="J7" s="4">
        <v>526.5</v>
      </c>
      <c r="K7" s="4">
        <v>296.16666666666669</v>
      </c>
      <c r="L7" s="4">
        <v>64.333333333333329</v>
      </c>
      <c r="M7" s="4">
        <v>19</v>
      </c>
      <c r="N7" s="4">
        <v>243.16666666666666</v>
      </c>
      <c r="O7" s="4">
        <v>164.83333333333334</v>
      </c>
      <c r="T7" s="4">
        <v>3.8837267325770144</v>
      </c>
      <c r="U7" s="4">
        <v>1.1547005383792515</v>
      </c>
      <c r="V7" s="4">
        <v>0</v>
      </c>
      <c r="W7" s="4">
        <v>2</v>
      </c>
      <c r="X7" s="4">
        <v>4.1932485418030412</v>
      </c>
      <c r="Y7" s="4">
        <v>0.51316014394468845</v>
      </c>
      <c r="Z7" s="4">
        <v>5.634713834792322</v>
      </c>
      <c r="AA7" s="4">
        <v>1.0408329997330663</v>
      </c>
      <c r="AB7" s="4">
        <v>2.0816659994661326</v>
      </c>
      <c r="AC7" s="4">
        <v>4.5825756949558398</v>
      </c>
      <c r="AD7" s="4">
        <v>6.2915286960589585</v>
      </c>
      <c r="AE7" s="4">
        <v>0.28867513459481287</v>
      </c>
      <c r="AG7" s="2" t="s">
        <v>1</v>
      </c>
    </row>
    <row r="8" spans="1:33" x14ac:dyDescent="0.2">
      <c r="A8" s="7">
        <v>33335</v>
      </c>
      <c r="B8" s="4">
        <v>-10.5</v>
      </c>
      <c r="C8" s="4">
        <v>20</v>
      </c>
      <c r="D8" s="4">
        <v>558.33333333333337</v>
      </c>
      <c r="E8" s="4">
        <v>158.33333333333334</v>
      </c>
      <c r="F8" s="4">
        <v>175.5</v>
      </c>
      <c r="G8" s="4">
        <v>1819.1666666666667</v>
      </c>
      <c r="H8" s="4">
        <v>363</v>
      </c>
      <c r="I8" s="4">
        <v>342.56666666666666</v>
      </c>
      <c r="J8" s="4">
        <v>547</v>
      </c>
      <c r="K8" s="4">
        <v>330.66666666666669</v>
      </c>
      <c r="L8" s="4">
        <v>100.83333333333333</v>
      </c>
      <c r="M8" s="4">
        <v>51</v>
      </c>
      <c r="N8" s="4">
        <v>373.66666666666669</v>
      </c>
      <c r="O8" s="4">
        <v>162.83333333333334</v>
      </c>
      <c r="P8" s="4">
        <v>160.80000000000001</v>
      </c>
      <c r="Q8" s="4">
        <v>628</v>
      </c>
      <c r="R8" s="4">
        <v>67.599999999999994</v>
      </c>
      <c r="T8" s="4">
        <v>33.501243758005963</v>
      </c>
      <c r="U8" s="4">
        <v>7.9739158092704576</v>
      </c>
      <c r="V8" s="4">
        <v>9.5262794416288248</v>
      </c>
      <c r="W8" s="4">
        <v>0.28867513459481287</v>
      </c>
      <c r="X8" s="4">
        <v>1.7320508075688772</v>
      </c>
      <c r="Y8" s="4">
        <v>1.3650396819628847</v>
      </c>
      <c r="Z8" s="4">
        <v>17.349351572897472</v>
      </c>
      <c r="AE8" s="4">
        <v>1.0408329997330663</v>
      </c>
      <c r="AG8" s="2" t="s">
        <v>1</v>
      </c>
    </row>
    <row r="9" spans="1:33" x14ac:dyDescent="0.2">
      <c r="A9" s="7">
        <v>33350</v>
      </c>
      <c r="B9" s="4">
        <v>-19.3</v>
      </c>
      <c r="C9" s="4">
        <v>12</v>
      </c>
      <c r="D9" s="4">
        <v>528</v>
      </c>
      <c r="E9" s="4">
        <v>127.66666666666667</v>
      </c>
      <c r="F9" s="4">
        <v>145</v>
      </c>
      <c r="G9" s="4">
        <v>1807.3333333333333</v>
      </c>
      <c r="H9" s="4">
        <v>363</v>
      </c>
      <c r="I9" s="4">
        <v>340.9</v>
      </c>
      <c r="J9" s="4">
        <v>525.5</v>
      </c>
      <c r="K9" s="4">
        <v>296.83333333333331</v>
      </c>
      <c r="L9" s="4">
        <v>67.5</v>
      </c>
      <c r="M9" s="4">
        <v>22.333333333333332</v>
      </c>
      <c r="N9" s="4">
        <v>286.66666666666669</v>
      </c>
      <c r="O9" s="4">
        <v>163</v>
      </c>
      <c r="T9" s="4">
        <v>14.933184523068078</v>
      </c>
      <c r="U9" s="4">
        <v>16.165807537309522</v>
      </c>
      <c r="V9" s="4">
        <v>19.05255888325765</v>
      </c>
      <c r="W9" s="4">
        <v>9.8149545762236379</v>
      </c>
      <c r="X9" s="4">
        <v>1.7320508075688772</v>
      </c>
      <c r="Y9" s="4">
        <v>0.4</v>
      </c>
      <c r="Z9" s="4">
        <v>3.2787192621510002</v>
      </c>
      <c r="AA9" s="4">
        <v>5.9231185479722868</v>
      </c>
      <c r="AB9" s="4">
        <v>5.634713834792322</v>
      </c>
      <c r="AC9" s="4">
        <v>0.57735026918962573</v>
      </c>
      <c r="AD9" s="4">
        <v>37.819747927945436</v>
      </c>
      <c r="AE9" s="4">
        <v>1.7320508075688772</v>
      </c>
      <c r="AG9" s="2" t="s">
        <v>1</v>
      </c>
    </row>
    <row r="10" spans="1:33" x14ac:dyDescent="0.2">
      <c r="A10" s="7">
        <v>33394</v>
      </c>
      <c r="B10" s="4">
        <v>-10.9</v>
      </c>
      <c r="C10" s="4">
        <v>13</v>
      </c>
      <c r="D10" s="4">
        <v>504.83333333333331</v>
      </c>
      <c r="E10" s="4">
        <v>108.5</v>
      </c>
      <c r="F10" s="4">
        <v>120.66666666666667</v>
      </c>
      <c r="G10" s="4">
        <v>1794.6666666666667</v>
      </c>
      <c r="H10" s="4">
        <v>361.66666666666669</v>
      </c>
      <c r="I10" s="4">
        <v>342.21666666666664</v>
      </c>
      <c r="J10" s="4">
        <v>521.5</v>
      </c>
      <c r="K10" s="4">
        <v>290</v>
      </c>
      <c r="L10" s="4">
        <v>64.166666666666671</v>
      </c>
      <c r="M10" s="4">
        <v>24.333333333333332</v>
      </c>
      <c r="N10" s="4">
        <v>249.16666666666666</v>
      </c>
      <c r="O10" s="4">
        <v>162.83333333333334</v>
      </c>
      <c r="T10" s="4">
        <v>1.5275252316519468</v>
      </c>
      <c r="U10" s="4">
        <v>0.5</v>
      </c>
      <c r="V10" s="4">
        <v>2.0816659994661326</v>
      </c>
      <c r="W10" s="4">
        <v>1.5275252316519468</v>
      </c>
      <c r="X10" s="4">
        <v>1.1547005383792515</v>
      </c>
      <c r="Y10" s="4">
        <v>0.45368858629387332</v>
      </c>
      <c r="Z10" s="4">
        <v>3.0413812651491097</v>
      </c>
      <c r="AA10" s="4">
        <v>0.8660254037844386</v>
      </c>
      <c r="AB10" s="4">
        <v>4.368447474027052</v>
      </c>
      <c r="AC10" s="4">
        <v>2.3094010767585029</v>
      </c>
      <c r="AD10" s="4">
        <v>5.2993710318615488</v>
      </c>
      <c r="AE10" s="4">
        <v>1.2583057392117916</v>
      </c>
      <c r="AG10" s="2" t="s">
        <v>1</v>
      </c>
    </row>
    <row r="11" spans="1:33" x14ac:dyDescent="0.2">
      <c r="A11" s="7">
        <v>33464</v>
      </c>
      <c r="B11" s="4">
        <v>0.1</v>
      </c>
      <c r="C11" s="4">
        <v>12</v>
      </c>
      <c r="D11" s="4">
        <v>549.33333333333337</v>
      </c>
      <c r="E11" s="4">
        <v>53.666666666666664</v>
      </c>
      <c r="F11" s="4">
        <v>73.833333333333329</v>
      </c>
      <c r="G11" s="4">
        <v>1757.6666666666667</v>
      </c>
      <c r="H11" s="4">
        <v>358.5</v>
      </c>
      <c r="I11" s="4">
        <v>340.9</v>
      </c>
      <c r="J11" s="4">
        <v>523</v>
      </c>
      <c r="K11" s="4">
        <v>289</v>
      </c>
      <c r="L11" s="4">
        <v>64.333333333333329</v>
      </c>
      <c r="N11" s="4">
        <v>236</v>
      </c>
      <c r="O11" s="4">
        <v>161.66666666666666</v>
      </c>
      <c r="T11" s="4">
        <v>17.243356208503418</v>
      </c>
      <c r="U11" s="4">
        <v>7.8475049113290352</v>
      </c>
      <c r="V11" s="4">
        <v>11.026483271348727</v>
      </c>
      <c r="W11" s="4">
        <v>8.6071675557835707</v>
      </c>
      <c r="X11" s="4">
        <v>2.179449471770337</v>
      </c>
      <c r="Y11" s="4">
        <v>0</v>
      </c>
      <c r="Z11" s="4">
        <v>2</v>
      </c>
      <c r="AA11" s="4">
        <v>1.7320508075688772</v>
      </c>
      <c r="AB11" s="4">
        <v>2.0816659994661326</v>
      </c>
      <c r="AD11" s="4">
        <v>21.656407827707714</v>
      </c>
      <c r="AE11" s="4">
        <v>0.57735026918962573</v>
      </c>
      <c r="AG11" s="2" t="s">
        <v>1</v>
      </c>
    </row>
    <row r="12" spans="1:33" x14ac:dyDescent="0.2">
      <c r="A12" s="7">
        <v>33566</v>
      </c>
      <c r="B12" s="4">
        <v>-11.6</v>
      </c>
      <c r="C12" s="4">
        <v>8.5</v>
      </c>
      <c r="D12" s="4">
        <v>517.75</v>
      </c>
      <c r="E12" s="4">
        <v>80</v>
      </c>
      <c r="F12" s="4">
        <v>103</v>
      </c>
      <c r="G12" s="4">
        <v>1795.5</v>
      </c>
      <c r="H12" s="4">
        <v>354</v>
      </c>
      <c r="I12" s="4">
        <v>342</v>
      </c>
      <c r="J12" s="4">
        <v>536.5</v>
      </c>
      <c r="K12" s="4">
        <v>291.5</v>
      </c>
      <c r="L12" s="4">
        <v>61.5</v>
      </c>
      <c r="M12" s="4">
        <v>17.5</v>
      </c>
      <c r="N12" s="4">
        <v>226.5</v>
      </c>
      <c r="O12" s="4">
        <v>163.5</v>
      </c>
      <c r="T12" s="4">
        <v>3.8890872965260113</v>
      </c>
      <c r="U12" s="4">
        <v>1.4142135623730951</v>
      </c>
      <c r="V12" s="4">
        <v>1.4142135623730951</v>
      </c>
      <c r="W12" s="4">
        <v>0.70710678118654757</v>
      </c>
      <c r="X12" s="4">
        <v>1.4142135623730951</v>
      </c>
      <c r="Y12" s="4">
        <v>0.98994949366116658</v>
      </c>
      <c r="Z12" s="4">
        <v>0.70710678118654757</v>
      </c>
      <c r="AA12" s="4">
        <v>0.70710678118654757</v>
      </c>
      <c r="AB12" s="4">
        <v>0.70710678118654757</v>
      </c>
      <c r="AC12" s="4">
        <v>0.70710678118654757</v>
      </c>
      <c r="AD12" s="4">
        <v>2.1213203435596424</v>
      </c>
      <c r="AE12" s="4">
        <v>0.70710678118654757</v>
      </c>
      <c r="AG12" s="2" t="s">
        <v>1</v>
      </c>
    </row>
    <row r="13" spans="1:33" x14ac:dyDescent="0.2">
      <c r="A13" s="7">
        <v>33832</v>
      </c>
      <c r="B13" s="4">
        <v>3.4</v>
      </c>
      <c r="C13" s="4">
        <v>8</v>
      </c>
      <c r="D13" s="4">
        <v>508</v>
      </c>
      <c r="E13" s="4">
        <v>68.75</v>
      </c>
      <c r="F13" s="4">
        <v>72</v>
      </c>
      <c r="G13" s="4">
        <v>1779</v>
      </c>
      <c r="H13" s="4">
        <v>353.5</v>
      </c>
      <c r="I13" s="4">
        <v>343.7</v>
      </c>
      <c r="J13" s="4">
        <v>524.5</v>
      </c>
      <c r="K13" s="4">
        <v>291.5</v>
      </c>
      <c r="L13" s="4">
        <v>62.5</v>
      </c>
      <c r="N13" s="4">
        <v>230</v>
      </c>
      <c r="O13" s="4">
        <v>159.5</v>
      </c>
      <c r="T13" s="4">
        <v>2.8284271247461903</v>
      </c>
      <c r="U13" s="4">
        <v>8.1317279836452965</v>
      </c>
      <c r="V13" s="4">
        <v>5.6568542494923806</v>
      </c>
      <c r="W13" s="4">
        <v>4.2426406871192848</v>
      </c>
      <c r="X13" s="4">
        <v>2.1213203435596424</v>
      </c>
      <c r="Y13" s="4">
        <v>0.98994949366116658</v>
      </c>
      <c r="Z13" s="4">
        <v>0.70710678118654757</v>
      </c>
      <c r="AA13" s="4">
        <v>0.70710678118654757</v>
      </c>
      <c r="AB13" s="4">
        <v>0.70710678118654757</v>
      </c>
      <c r="AD13" s="4">
        <v>2.8284271247461903</v>
      </c>
      <c r="AE13" s="4">
        <v>0.70710678118654757</v>
      </c>
      <c r="AG13" s="2" t="s">
        <v>1</v>
      </c>
    </row>
    <row r="14" spans="1:33" x14ac:dyDescent="0.2">
      <c r="AG14" s="2" t="s">
        <v>1</v>
      </c>
    </row>
    <row r="15" spans="1:33" x14ac:dyDescent="0.2">
      <c r="D15" s="8" t="s">
        <v>117</v>
      </c>
      <c r="E15" s="8" t="s">
        <v>118</v>
      </c>
      <c r="F15" s="8" t="s">
        <v>118</v>
      </c>
      <c r="G15" s="8" t="s">
        <v>123</v>
      </c>
      <c r="H15" s="8" t="s">
        <v>134</v>
      </c>
      <c r="I15" s="8" t="s">
        <v>138</v>
      </c>
      <c r="J15" s="8" t="s">
        <v>136</v>
      </c>
      <c r="K15" s="8" t="s">
        <v>130</v>
      </c>
      <c r="L15" s="8" t="s">
        <v>133</v>
      </c>
      <c r="M15" s="8" t="s">
        <v>127</v>
      </c>
      <c r="N15" s="8" t="s">
        <v>121</v>
      </c>
      <c r="O15" s="8" t="s">
        <v>112</v>
      </c>
      <c r="P15" s="8" t="s">
        <v>148</v>
      </c>
      <c r="Q15" s="8" t="s">
        <v>115</v>
      </c>
      <c r="R15" s="8" t="s">
        <v>133</v>
      </c>
    </row>
    <row r="16" spans="1:33" x14ac:dyDescent="0.2">
      <c r="D16" s="8" t="s">
        <v>266</v>
      </c>
      <c r="E16" s="8" t="s">
        <v>266</v>
      </c>
      <c r="F16" s="8" t="s">
        <v>266</v>
      </c>
      <c r="G16" s="8" t="s">
        <v>266</v>
      </c>
      <c r="H16" s="8" t="s">
        <v>371</v>
      </c>
      <c r="I16" s="8" t="s">
        <v>266</v>
      </c>
      <c r="J16" s="8" t="s">
        <v>144</v>
      </c>
      <c r="K16" s="8" t="s">
        <v>144</v>
      </c>
      <c r="L16" s="8" t="s">
        <v>144</v>
      </c>
      <c r="M16" s="8" t="s">
        <v>144</v>
      </c>
      <c r="N16" s="8" t="s">
        <v>144</v>
      </c>
      <c r="O16" s="8" t="s">
        <v>144</v>
      </c>
      <c r="P16" s="8" t="s">
        <v>144</v>
      </c>
      <c r="Q16" s="8" t="s">
        <v>144</v>
      </c>
      <c r="R16" s="8" t="s">
        <v>144</v>
      </c>
    </row>
    <row r="17" spans="1:33" x14ac:dyDescent="0.2">
      <c r="AG17" s="2" t="s">
        <v>1</v>
      </c>
    </row>
    <row r="18" spans="1:33" x14ac:dyDescent="0.2">
      <c r="A18" s="7">
        <f>AVERAGE(A6:A13)</f>
        <v>33417.875</v>
      </c>
      <c r="B18" s="7"/>
      <c r="C18" s="4">
        <f t="shared" ref="C18:R18" si="0">AVERAGE(C6:C13)</f>
        <v>11.53875</v>
      </c>
      <c r="D18" s="4">
        <f t="shared" si="0"/>
        <v>522.80208333333337</v>
      </c>
      <c r="E18" s="4">
        <f t="shared" si="0"/>
        <v>96.177083333333329</v>
      </c>
      <c r="F18" s="4">
        <f t="shared" si="0"/>
        <v>109.95833333333334</v>
      </c>
      <c r="G18" s="4">
        <f t="shared" si="0"/>
        <v>1789.3333333333333</v>
      </c>
      <c r="H18" s="4">
        <f t="shared" si="0"/>
        <v>359.85416666666669</v>
      </c>
      <c r="I18" s="4">
        <f t="shared" si="0"/>
        <v>342.02708333333334</v>
      </c>
      <c r="J18" s="4">
        <f t="shared" si="0"/>
        <v>527.52083333333326</v>
      </c>
      <c r="K18" s="4">
        <f t="shared" si="0"/>
        <v>296.875</v>
      </c>
      <c r="L18" s="4">
        <f t="shared" si="0"/>
        <v>68.354166666666657</v>
      </c>
      <c r="M18" s="4">
        <f t="shared" si="0"/>
        <v>26.111111111111111</v>
      </c>
      <c r="N18" s="4">
        <f t="shared" si="0"/>
        <v>261.52083333333337</v>
      </c>
      <c r="O18" s="4">
        <f t="shared" si="0"/>
        <v>162.5625</v>
      </c>
      <c r="P18" s="4">
        <f t="shared" si="0"/>
        <v>160.80000000000001</v>
      </c>
      <c r="Q18" s="4">
        <f t="shared" si="0"/>
        <v>628</v>
      </c>
      <c r="R18" s="4">
        <f t="shared" si="0"/>
        <v>67.599999999999994</v>
      </c>
      <c r="AG18" s="2" t="s">
        <v>1</v>
      </c>
    </row>
    <row r="19" spans="1:33" x14ac:dyDescent="0.2">
      <c r="B19" s="4"/>
      <c r="C19" s="4">
        <f t="shared" ref="C19:R19" si="1">STDEV(C6:C13)</f>
        <v>6.0090893950034436</v>
      </c>
      <c r="D19" s="4">
        <f t="shared" si="1"/>
        <v>20.687678330886307</v>
      </c>
      <c r="E19" s="4">
        <f t="shared" si="1"/>
        <v>33.913125400127356</v>
      </c>
      <c r="F19" s="4">
        <f t="shared" si="1"/>
        <v>35.730777938123417</v>
      </c>
      <c r="G19" s="4">
        <f t="shared" si="1"/>
        <v>19.053183710965719</v>
      </c>
      <c r="H19" s="4">
        <f t="shared" si="1"/>
        <v>4.1138919702463221</v>
      </c>
      <c r="I19" s="4">
        <f t="shared" si="1"/>
        <v>1.047064585415701</v>
      </c>
      <c r="J19" s="4">
        <f t="shared" si="1"/>
        <v>9.7944904742816412</v>
      </c>
      <c r="K19" s="4">
        <f t="shared" si="1"/>
        <v>13.970987512108522</v>
      </c>
      <c r="L19" s="4">
        <f t="shared" si="1"/>
        <v>13.263638533330782</v>
      </c>
      <c r="M19" s="4">
        <f t="shared" si="1"/>
        <v>12.447073135063908</v>
      </c>
      <c r="N19" s="4">
        <f t="shared" si="1"/>
        <v>48.961633627364847</v>
      </c>
      <c r="O19" s="4">
        <f t="shared" si="1"/>
        <v>1.5402986208102152</v>
      </c>
      <c r="P19" s="4" t="e">
        <f t="shared" si="1"/>
        <v>#DIV/0!</v>
      </c>
      <c r="Q19" s="4" t="e">
        <f t="shared" si="1"/>
        <v>#DIV/0!</v>
      </c>
      <c r="R19" s="4" t="e">
        <f t="shared" si="1"/>
        <v>#DIV/0!</v>
      </c>
      <c r="AG19" s="2" t="s">
        <v>1</v>
      </c>
    </row>
    <row r="20" spans="1:33" x14ac:dyDescent="0.2">
      <c r="C20" s="2">
        <f t="shared" ref="C20:R20" si="2">COUNTA(C6:C13)</f>
        <v>8</v>
      </c>
      <c r="D20" s="2">
        <f t="shared" si="2"/>
        <v>8</v>
      </c>
      <c r="E20" s="2">
        <f t="shared" si="2"/>
        <v>8</v>
      </c>
      <c r="F20" s="2">
        <f t="shared" si="2"/>
        <v>8</v>
      </c>
      <c r="G20" s="2">
        <f t="shared" si="2"/>
        <v>8</v>
      </c>
      <c r="H20" s="2">
        <f t="shared" si="2"/>
        <v>8</v>
      </c>
      <c r="I20" s="2">
        <f t="shared" si="2"/>
        <v>8</v>
      </c>
      <c r="J20" s="2">
        <f t="shared" si="2"/>
        <v>8</v>
      </c>
      <c r="K20" s="2">
        <f t="shared" si="2"/>
        <v>8</v>
      </c>
      <c r="L20" s="2">
        <f t="shared" si="2"/>
        <v>8</v>
      </c>
      <c r="M20" s="2">
        <f t="shared" si="2"/>
        <v>6</v>
      </c>
      <c r="N20" s="2">
        <f t="shared" si="2"/>
        <v>8</v>
      </c>
      <c r="O20" s="2">
        <f t="shared" si="2"/>
        <v>8</v>
      </c>
      <c r="P20" s="2">
        <f t="shared" si="2"/>
        <v>1</v>
      </c>
      <c r="Q20" s="2">
        <f t="shared" si="2"/>
        <v>1</v>
      </c>
      <c r="R20" s="2">
        <f t="shared" si="2"/>
        <v>1</v>
      </c>
      <c r="AG20" s="2" t="s">
        <v>1</v>
      </c>
    </row>
    <row r="21" spans="1:33" x14ac:dyDescent="0.2">
      <c r="AG21" s="2" t="s">
        <v>1</v>
      </c>
    </row>
    <row r="22" spans="1:33" x14ac:dyDescent="0.2">
      <c r="AG22" s="2" t="s">
        <v>1</v>
      </c>
    </row>
    <row r="23" spans="1:33" x14ac:dyDescent="0.2">
      <c r="AG23" s="2" t="s">
        <v>1</v>
      </c>
    </row>
    <row r="24" spans="1:33" x14ac:dyDescent="0.2">
      <c r="AG24" s="2" t="s">
        <v>1</v>
      </c>
    </row>
    <row r="25" spans="1:33" x14ac:dyDescent="0.2">
      <c r="AG25" s="2" t="s">
        <v>1</v>
      </c>
    </row>
    <row r="26" spans="1:33" x14ac:dyDescent="0.2">
      <c r="AG26" s="2" t="s">
        <v>1</v>
      </c>
    </row>
    <row r="27" spans="1:33" x14ac:dyDescent="0.2">
      <c r="AG27" s="2" t="s">
        <v>1</v>
      </c>
    </row>
    <row r="28" spans="1:33" x14ac:dyDescent="0.2">
      <c r="AG28" s="2" t="s">
        <v>1</v>
      </c>
    </row>
    <row r="29" spans="1:33" x14ac:dyDescent="0.2">
      <c r="AG29" s="2" t="s">
        <v>1</v>
      </c>
    </row>
    <row r="30" spans="1:33" x14ac:dyDescent="0.2">
      <c r="AG30" s="2" t="s">
        <v>1</v>
      </c>
    </row>
    <row r="31" spans="1:33" x14ac:dyDescent="0.2">
      <c r="AG31" s="2" t="s">
        <v>1</v>
      </c>
    </row>
    <row r="32" spans="1:33" x14ac:dyDescent="0.2">
      <c r="AG32" s="2" t="s">
        <v>1</v>
      </c>
    </row>
    <row r="33" spans="33:33" x14ac:dyDescent="0.2">
      <c r="AG33" s="2" t="s">
        <v>1</v>
      </c>
    </row>
    <row r="34" spans="33:33" x14ac:dyDescent="0.2">
      <c r="AG34" s="2" t="s">
        <v>1</v>
      </c>
    </row>
    <row r="35" spans="33:33" x14ac:dyDescent="0.2">
      <c r="AG35" s="2" t="s">
        <v>1</v>
      </c>
    </row>
    <row r="36" spans="33:33" x14ac:dyDescent="0.2">
      <c r="AG36" s="2" t="s">
        <v>1</v>
      </c>
    </row>
    <row r="37" spans="33:33" x14ac:dyDescent="0.2">
      <c r="AG37" s="2" t="s">
        <v>1</v>
      </c>
    </row>
    <row r="38" spans="33:33" x14ac:dyDescent="0.2">
      <c r="AG38" s="2" t="s">
        <v>1</v>
      </c>
    </row>
    <row r="39" spans="33:33" x14ac:dyDescent="0.2">
      <c r="AG39" s="2" t="s">
        <v>1</v>
      </c>
    </row>
    <row r="40" spans="33:33" x14ac:dyDescent="0.2">
      <c r="AG40" s="2" t="s">
        <v>1</v>
      </c>
    </row>
    <row r="41" spans="33:33" x14ac:dyDescent="0.2">
      <c r="AG41" s="2" t="s">
        <v>1</v>
      </c>
    </row>
    <row r="42" spans="33:33" x14ac:dyDescent="0.2">
      <c r="AG42" s="2" t="s">
        <v>1</v>
      </c>
    </row>
    <row r="43" spans="33:33" x14ac:dyDescent="0.2">
      <c r="AG43" s="2" t="s">
        <v>1</v>
      </c>
    </row>
    <row r="44" spans="33:33" x14ac:dyDescent="0.2">
      <c r="AG44" s="2" t="s">
        <v>1</v>
      </c>
    </row>
    <row r="45" spans="33:33" x14ac:dyDescent="0.2">
      <c r="AG45" s="2" t="s">
        <v>1</v>
      </c>
    </row>
    <row r="46" spans="33:33" x14ac:dyDescent="0.2">
      <c r="AG46" s="2" t="s">
        <v>1</v>
      </c>
    </row>
    <row r="47" spans="33:33" x14ac:dyDescent="0.2">
      <c r="AG47" s="2" t="s">
        <v>1</v>
      </c>
    </row>
  </sheetData>
  <pageMargins left="0.5" right="0.5" top="0.75" bottom="0.75" header="0.5" footer="0.5"/>
  <pageSetup orientation="portrait" horizontalDpi="0" verticalDpi="0" copies="0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"/>
  <sheetViews>
    <sheetView showOutlineSymbols="0" defaultGridColor="0" colorId="9" workbookViewId="0">
      <selection activeCell="B14" sqref="B14"/>
    </sheetView>
  </sheetViews>
  <sheetFormatPr defaultColWidth="8.6640625" defaultRowHeight="15" x14ac:dyDescent="0.2"/>
  <cols>
    <col min="1" max="16384" width="8.6640625" style="2"/>
  </cols>
  <sheetData>
    <row r="1" spans="1:18" ht="15.75" x14ac:dyDescent="0.25">
      <c r="A1" s="6" t="s">
        <v>1438</v>
      </c>
      <c r="R1" s="2" t="s">
        <v>1</v>
      </c>
    </row>
    <row r="2" spans="1:18" x14ac:dyDescent="0.2">
      <c r="R2" s="2" t="s">
        <v>1</v>
      </c>
    </row>
    <row r="3" spans="1:18" x14ac:dyDescent="0.2">
      <c r="A3" s="2" t="s">
        <v>682</v>
      </c>
      <c r="B3" s="15" t="s">
        <v>253</v>
      </c>
      <c r="C3" s="8" t="s">
        <v>286</v>
      </c>
      <c r="E3" s="2" t="s">
        <v>138</v>
      </c>
      <c r="F3" s="8" t="s">
        <v>118</v>
      </c>
      <c r="G3" s="8" t="s">
        <v>118</v>
      </c>
      <c r="H3" s="8" t="s">
        <v>123</v>
      </c>
      <c r="I3" s="8" t="s">
        <v>134</v>
      </c>
      <c r="J3" s="8" t="s">
        <v>138</v>
      </c>
      <c r="K3" s="8" t="s">
        <v>136</v>
      </c>
      <c r="L3" s="8" t="s">
        <v>130</v>
      </c>
      <c r="M3" s="8" t="s">
        <v>133</v>
      </c>
      <c r="N3" s="8" t="s">
        <v>121</v>
      </c>
      <c r="O3" s="8" t="s">
        <v>112</v>
      </c>
      <c r="P3" s="8" t="s">
        <v>146</v>
      </c>
      <c r="R3" s="2" t="s">
        <v>1</v>
      </c>
    </row>
    <row r="4" spans="1:18" x14ac:dyDescent="0.2">
      <c r="B4" s="19"/>
      <c r="C4" s="8" t="s">
        <v>1184</v>
      </c>
      <c r="D4" s="8" t="s">
        <v>105</v>
      </c>
      <c r="E4" s="8" t="s">
        <v>266</v>
      </c>
      <c r="F4" s="8" t="s">
        <v>266</v>
      </c>
      <c r="G4" s="8" t="s">
        <v>266</v>
      </c>
      <c r="H4" s="8" t="s">
        <v>266</v>
      </c>
      <c r="I4" s="8" t="s">
        <v>371</v>
      </c>
      <c r="J4" s="8" t="s">
        <v>266</v>
      </c>
      <c r="K4" s="8" t="s">
        <v>144</v>
      </c>
      <c r="L4" s="8" t="s">
        <v>144</v>
      </c>
      <c r="M4" s="8" t="s">
        <v>144</v>
      </c>
      <c r="N4" s="8" t="s">
        <v>144</v>
      </c>
      <c r="O4" s="8" t="s">
        <v>144</v>
      </c>
      <c r="P4" s="8" t="s">
        <v>426</v>
      </c>
      <c r="R4" s="2" t="s">
        <v>1</v>
      </c>
    </row>
    <row r="5" spans="1:18" x14ac:dyDescent="0.2">
      <c r="B5" s="19"/>
      <c r="R5" s="2" t="s">
        <v>1</v>
      </c>
    </row>
    <row r="6" spans="1:18" x14ac:dyDescent="0.2">
      <c r="A6" s="2" t="s">
        <v>1439</v>
      </c>
      <c r="B6" s="19">
        <f>DATE(93,8,15)</f>
        <v>34196</v>
      </c>
      <c r="C6" s="2">
        <v>2100</v>
      </c>
      <c r="D6" s="8" t="s">
        <v>1039</v>
      </c>
      <c r="E6" s="2">
        <v>448</v>
      </c>
      <c r="F6" s="2">
        <v>196</v>
      </c>
      <c r="G6" s="2">
        <v>188</v>
      </c>
      <c r="H6" s="2">
        <v>1722</v>
      </c>
      <c r="I6" s="2">
        <v>367</v>
      </c>
      <c r="J6" s="2">
        <v>339</v>
      </c>
      <c r="K6" s="2">
        <v>556</v>
      </c>
      <c r="L6" s="2">
        <v>298</v>
      </c>
      <c r="M6" s="2">
        <v>59</v>
      </c>
      <c r="N6" s="2">
        <v>250</v>
      </c>
      <c r="O6" s="2">
        <v>160</v>
      </c>
      <c r="P6" s="2">
        <v>48</v>
      </c>
    </row>
    <row r="7" spans="1:18" x14ac:dyDescent="0.2">
      <c r="A7" s="2" t="s">
        <v>1440</v>
      </c>
      <c r="B7" s="19">
        <f>DATE(93,8,16)</f>
        <v>34197</v>
      </c>
      <c r="C7" s="8" t="s">
        <v>1441</v>
      </c>
      <c r="D7" s="2">
        <v>1300</v>
      </c>
      <c r="E7" s="2">
        <v>534</v>
      </c>
      <c r="F7" s="2">
        <v>228</v>
      </c>
      <c r="G7" s="2">
        <v>220</v>
      </c>
      <c r="H7" s="2">
        <v>1727</v>
      </c>
      <c r="I7" s="2">
        <v>362</v>
      </c>
      <c r="J7" s="2">
        <v>338</v>
      </c>
      <c r="K7" s="2">
        <v>537</v>
      </c>
      <c r="L7" s="2">
        <v>295</v>
      </c>
      <c r="M7" s="2">
        <v>59</v>
      </c>
      <c r="N7" s="2">
        <v>197</v>
      </c>
      <c r="O7" s="2">
        <v>160</v>
      </c>
      <c r="P7" s="2">
        <v>49</v>
      </c>
    </row>
    <row r="8" spans="1:18" x14ac:dyDescent="0.2">
      <c r="A8" s="2" t="s">
        <v>1442</v>
      </c>
      <c r="B8" s="19">
        <f>DATE(93,8,17)</f>
        <v>34198</v>
      </c>
      <c r="C8" s="8" t="s">
        <v>1441</v>
      </c>
      <c r="D8" s="2">
        <v>1300</v>
      </c>
      <c r="E8" s="2">
        <v>548</v>
      </c>
      <c r="F8" s="2">
        <v>760</v>
      </c>
      <c r="G8" s="2">
        <v>678</v>
      </c>
      <c r="H8" s="2">
        <v>1711</v>
      </c>
      <c r="I8" s="2">
        <v>362</v>
      </c>
      <c r="J8" s="2">
        <v>338</v>
      </c>
      <c r="K8" s="2">
        <v>534</v>
      </c>
      <c r="L8" s="2">
        <v>295</v>
      </c>
      <c r="M8" s="2">
        <v>59</v>
      </c>
      <c r="N8" s="2">
        <v>202</v>
      </c>
      <c r="O8" s="2">
        <v>160</v>
      </c>
      <c r="P8" s="2">
        <v>36</v>
      </c>
    </row>
    <row r="9" spans="1:18" x14ac:dyDescent="0.2">
      <c r="A9" s="2" t="s">
        <v>1443</v>
      </c>
      <c r="B9" s="19">
        <f>DATE(93,8,18)</f>
        <v>34199</v>
      </c>
      <c r="C9" s="8" t="s">
        <v>1441</v>
      </c>
      <c r="D9" s="2">
        <v>1300</v>
      </c>
      <c r="E9" s="2">
        <v>497</v>
      </c>
      <c r="F9" s="2">
        <v>416</v>
      </c>
      <c r="G9" s="2">
        <v>387</v>
      </c>
      <c r="H9" s="2">
        <v>1714</v>
      </c>
      <c r="I9" s="2">
        <v>365</v>
      </c>
      <c r="J9" s="2">
        <v>337</v>
      </c>
      <c r="K9" s="2">
        <v>532</v>
      </c>
      <c r="L9" s="2">
        <v>294</v>
      </c>
      <c r="M9" s="2">
        <v>58</v>
      </c>
      <c r="N9" s="2">
        <v>193</v>
      </c>
      <c r="O9" s="2">
        <v>159</v>
      </c>
      <c r="P9" s="2">
        <v>34</v>
      </c>
    </row>
    <row r="10" spans="1:18" x14ac:dyDescent="0.2">
      <c r="A10" s="2" t="s">
        <v>1444</v>
      </c>
      <c r="B10" s="19">
        <f>DATE(93,8,19)</f>
        <v>34200</v>
      </c>
      <c r="C10" s="8" t="s">
        <v>1441</v>
      </c>
      <c r="D10" s="2">
        <v>1300</v>
      </c>
      <c r="E10" s="2">
        <v>515</v>
      </c>
      <c r="F10" s="2">
        <v>587</v>
      </c>
      <c r="G10" s="2">
        <v>546</v>
      </c>
      <c r="H10" s="2">
        <v>1715</v>
      </c>
      <c r="I10" s="2">
        <v>363</v>
      </c>
      <c r="J10" s="2">
        <v>339</v>
      </c>
      <c r="K10" s="2">
        <v>538</v>
      </c>
      <c r="L10" s="2">
        <v>296</v>
      </c>
      <c r="M10" s="2">
        <v>60</v>
      </c>
      <c r="N10" s="2">
        <v>199</v>
      </c>
      <c r="O10" s="2">
        <v>160</v>
      </c>
      <c r="P10" s="2">
        <v>54</v>
      </c>
    </row>
    <row r="11" spans="1:18" x14ac:dyDescent="0.2">
      <c r="A11" s="2" t="s">
        <v>1445</v>
      </c>
      <c r="B11" s="19">
        <f>DATE(93,8,20)</f>
        <v>34201</v>
      </c>
      <c r="C11" s="8" t="s">
        <v>1441</v>
      </c>
      <c r="D11" s="2">
        <v>1300</v>
      </c>
      <c r="E11" s="2">
        <v>511</v>
      </c>
      <c r="F11" s="2">
        <v>600</v>
      </c>
      <c r="G11" s="2">
        <v>540</v>
      </c>
      <c r="H11" s="2">
        <v>1728</v>
      </c>
      <c r="I11" s="2">
        <v>362</v>
      </c>
      <c r="J11" s="2">
        <v>339</v>
      </c>
      <c r="K11" s="2">
        <v>538</v>
      </c>
      <c r="L11" s="2">
        <v>294</v>
      </c>
      <c r="M11" s="2">
        <v>59</v>
      </c>
      <c r="N11" s="2">
        <v>203</v>
      </c>
      <c r="O11" s="2">
        <v>159</v>
      </c>
      <c r="P11" s="2">
        <v>49</v>
      </c>
    </row>
    <row r="12" spans="1:18" x14ac:dyDescent="0.2">
      <c r="B12" s="19"/>
    </row>
    <row r="13" spans="1:18" x14ac:dyDescent="0.2">
      <c r="B13" s="19"/>
    </row>
    <row r="14" spans="1:18" x14ac:dyDescent="0.2">
      <c r="B14" s="19"/>
      <c r="E14" s="2" t="s">
        <v>138</v>
      </c>
      <c r="F14" s="8" t="s">
        <v>118</v>
      </c>
      <c r="G14" s="8" t="s">
        <v>118</v>
      </c>
      <c r="H14" s="8" t="s">
        <v>123</v>
      </c>
      <c r="I14" s="8" t="s">
        <v>134</v>
      </c>
      <c r="J14" s="8" t="s">
        <v>138</v>
      </c>
      <c r="K14" s="8" t="s">
        <v>136</v>
      </c>
      <c r="L14" s="8" t="s">
        <v>130</v>
      </c>
      <c r="M14" s="8" t="s">
        <v>133</v>
      </c>
      <c r="N14" s="8" t="s">
        <v>121</v>
      </c>
      <c r="O14" s="8" t="s">
        <v>112</v>
      </c>
      <c r="P14" s="8" t="s">
        <v>146</v>
      </c>
    </row>
    <row r="15" spans="1:18" x14ac:dyDescent="0.2">
      <c r="E15" s="8" t="s">
        <v>266</v>
      </c>
      <c r="F15" s="8" t="s">
        <v>266</v>
      </c>
      <c r="G15" s="8" t="s">
        <v>266</v>
      </c>
      <c r="H15" s="8" t="s">
        <v>266</v>
      </c>
      <c r="I15" s="8" t="s">
        <v>371</v>
      </c>
      <c r="J15" s="8" t="s">
        <v>266</v>
      </c>
      <c r="K15" s="8" t="s">
        <v>144</v>
      </c>
      <c r="L15" s="8" t="s">
        <v>144</v>
      </c>
      <c r="M15" s="8" t="s">
        <v>144</v>
      </c>
      <c r="N15" s="8" t="s">
        <v>144</v>
      </c>
      <c r="O15" s="8" t="s">
        <v>144</v>
      </c>
      <c r="P15" s="8" t="s">
        <v>426</v>
      </c>
    </row>
    <row r="17" spans="2:16" x14ac:dyDescent="0.2">
      <c r="B17" s="7">
        <f>AVERAGE(B6:B11)</f>
        <v>34198.5</v>
      </c>
      <c r="C17" s="7"/>
      <c r="D17" s="4"/>
      <c r="E17" s="4">
        <f t="shared" ref="E17:P17" si="0">AVERAGE(E6:E11)</f>
        <v>508.83333333333331</v>
      </c>
      <c r="F17" s="4">
        <f t="shared" si="0"/>
        <v>464.5</v>
      </c>
      <c r="G17" s="4">
        <f t="shared" si="0"/>
        <v>426.5</v>
      </c>
      <c r="H17" s="4">
        <f t="shared" si="0"/>
        <v>1719.5</v>
      </c>
      <c r="I17" s="4">
        <f t="shared" si="0"/>
        <v>363.5</v>
      </c>
      <c r="J17" s="4">
        <f t="shared" si="0"/>
        <v>338.33333333333331</v>
      </c>
      <c r="K17" s="4">
        <f t="shared" si="0"/>
        <v>539.16666666666663</v>
      </c>
      <c r="L17" s="4">
        <f t="shared" si="0"/>
        <v>295.33333333333331</v>
      </c>
      <c r="M17" s="4">
        <f t="shared" si="0"/>
        <v>59</v>
      </c>
      <c r="N17" s="4">
        <f t="shared" si="0"/>
        <v>207.33333333333334</v>
      </c>
      <c r="O17" s="4">
        <f t="shared" si="0"/>
        <v>159.66666666666666</v>
      </c>
      <c r="P17" s="4">
        <f t="shared" si="0"/>
        <v>45</v>
      </c>
    </row>
    <row r="18" spans="2:16" x14ac:dyDescent="0.2">
      <c r="C18" s="4"/>
      <c r="D18" s="4"/>
      <c r="E18" s="4">
        <f t="shared" ref="E18:P18" si="1">STDEV(E6:E11)</f>
        <v>34.787449844256571</v>
      </c>
      <c r="F18" s="4">
        <f t="shared" si="1"/>
        <v>224.08190466880632</v>
      </c>
      <c r="G18" s="4">
        <f t="shared" si="1"/>
        <v>195.70360241957735</v>
      </c>
      <c r="H18" s="4">
        <f t="shared" si="1"/>
        <v>7.1763500472036617</v>
      </c>
      <c r="I18" s="4">
        <f t="shared" si="1"/>
        <v>2.0736441353327719</v>
      </c>
      <c r="J18" s="4">
        <f t="shared" si="1"/>
        <v>0.81649658092772603</v>
      </c>
      <c r="K18" s="4">
        <f t="shared" si="1"/>
        <v>8.5887523346913834</v>
      </c>
      <c r="L18" s="4">
        <f t="shared" si="1"/>
        <v>1.505545305418162</v>
      </c>
      <c r="M18" s="4">
        <f t="shared" si="1"/>
        <v>0.63245553203367588</v>
      </c>
      <c r="N18" s="4">
        <f t="shared" si="1"/>
        <v>21.210060505964304</v>
      </c>
      <c r="O18" s="4">
        <f t="shared" si="1"/>
        <v>0.5163977794943222</v>
      </c>
      <c r="P18" s="4">
        <f t="shared" si="1"/>
        <v>8.0498447189992426</v>
      </c>
    </row>
    <row r="19" spans="2:16" x14ac:dyDescent="0.2">
      <c r="E19" s="2">
        <f t="shared" ref="E19:P19" si="2">COUNTA(E6:E11)</f>
        <v>6</v>
      </c>
      <c r="F19" s="2">
        <f t="shared" si="2"/>
        <v>6</v>
      </c>
      <c r="G19" s="2">
        <f t="shared" si="2"/>
        <v>6</v>
      </c>
      <c r="H19" s="2">
        <f t="shared" si="2"/>
        <v>6</v>
      </c>
      <c r="I19" s="2">
        <f t="shared" si="2"/>
        <v>6</v>
      </c>
      <c r="J19" s="2">
        <f t="shared" si="2"/>
        <v>6</v>
      </c>
      <c r="K19" s="2">
        <f t="shared" si="2"/>
        <v>6</v>
      </c>
      <c r="L19" s="2">
        <f t="shared" si="2"/>
        <v>6</v>
      </c>
      <c r="M19" s="2">
        <f t="shared" si="2"/>
        <v>6</v>
      </c>
      <c r="N19" s="2">
        <f t="shared" si="2"/>
        <v>6</v>
      </c>
      <c r="O19" s="2">
        <f t="shared" si="2"/>
        <v>6</v>
      </c>
      <c r="P19" s="2">
        <f t="shared" si="2"/>
        <v>6</v>
      </c>
    </row>
  </sheetData>
  <pageMargins left="0.5" right="0.5" top="0.75" bottom="0.75" header="0.5" footer="0.5"/>
  <pageSetup orientation="portrait" horizontalDpi="0" verticalDpi="0" copies="0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01"/>
  <sheetViews>
    <sheetView showOutlineSymbols="0" defaultGridColor="0" topLeftCell="B67" colorId="9" workbookViewId="0">
      <selection activeCell="E68" sqref="E68"/>
    </sheetView>
  </sheetViews>
  <sheetFormatPr defaultColWidth="8.6640625" defaultRowHeight="15" x14ac:dyDescent="0.2"/>
  <cols>
    <col min="1" max="16384" width="8.6640625" style="2"/>
  </cols>
  <sheetData>
    <row r="1" spans="1:21" ht="18" x14ac:dyDescent="0.25">
      <c r="A1" s="18" t="s">
        <v>1446</v>
      </c>
    </row>
    <row r="3" spans="1:21" x14ac:dyDescent="0.2">
      <c r="A3" s="2" t="s">
        <v>1447</v>
      </c>
    </row>
    <row r="8" spans="1:21" x14ac:dyDescent="0.2">
      <c r="A8" s="2" t="s">
        <v>284</v>
      </c>
      <c r="B8" s="21" t="s">
        <v>253</v>
      </c>
      <c r="C8" s="8" t="s">
        <v>286</v>
      </c>
      <c r="D8" s="8" t="s">
        <v>448</v>
      </c>
      <c r="E8" s="8" t="s">
        <v>117</v>
      </c>
      <c r="F8" s="8" t="s">
        <v>118</v>
      </c>
      <c r="G8" s="8" t="s">
        <v>118</v>
      </c>
      <c r="H8" s="8" t="s">
        <v>123</v>
      </c>
      <c r="I8" s="8" t="s">
        <v>134</v>
      </c>
      <c r="J8" s="8" t="s">
        <v>146</v>
      </c>
      <c r="K8" s="8" t="s">
        <v>141</v>
      </c>
      <c r="L8" s="8" t="s">
        <v>136</v>
      </c>
      <c r="M8" s="8" t="s">
        <v>130</v>
      </c>
      <c r="N8" s="8" t="s">
        <v>133</v>
      </c>
      <c r="O8" s="8" t="s">
        <v>127</v>
      </c>
      <c r="P8" s="8" t="s">
        <v>121</v>
      </c>
      <c r="Q8" s="8" t="s">
        <v>112</v>
      </c>
      <c r="S8" s="2" t="s">
        <v>1448</v>
      </c>
    </row>
    <row r="9" spans="1:21" x14ac:dyDescent="0.2">
      <c r="A9" s="2" t="s">
        <v>289</v>
      </c>
      <c r="B9" s="19"/>
      <c r="D9" s="15" t="s">
        <v>1449</v>
      </c>
      <c r="E9" s="8" t="s">
        <v>266</v>
      </c>
      <c r="F9" s="8" t="s">
        <v>266</v>
      </c>
      <c r="G9" s="8" t="s">
        <v>266</v>
      </c>
      <c r="H9" s="8" t="s">
        <v>266</v>
      </c>
      <c r="I9" s="8" t="s">
        <v>371</v>
      </c>
      <c r="J9" s="8" t="s">
        <v>424</v>
      </c>
      <c r="K9" s="8" t="s">
        <v>266</v>
      </c>
      <c r="L9" s="8" t="s">
        <v>144</v>
      </c>
      <c r="M9" s="8" t="s">
        <v>144</v>
      </c>
      <c r="N9" s="8" t="s">
        <v>144</v>
      </c>
      <c r="O9" s="8" t="s">
        <v>144</v>
      </c>
      <c r="P9" s="8" t="s">
        <v>144</v>
      </c>
      <c r="Q9" s="8" t="s">
        <v>144</v>
      </c>
    </row>
    <row r="10" spans="1:21" x14ac:dyDescent="0.2">
      <c r="B10" s="19"/>
    </row>
    <row r="11" spans="1:21" x14ac:dyDescent="0.2">
      <c r="A11" s="2" t="s">
        <v>1450</v>
      </c>
      <c r="S11" s="2" t="s">
        <v>289</v>
      </c>
      <c r="T11" s="2" t="s">
        <v>367</v>
      </c>
    </row>
    <row r="12" spans="1:21" x14ac:dyDescent="0.2">
      <c r="A12" s="2">
        <v>1</v>
      </c>
      <c r="B12" s="19">
        <f>DATE(91,5,16)</f>
        <v>33374</v>
      </c>
      <c r="C12" s="2">
        <v>724</v>
      </c>
      <c r="D12" s="23">
        <v>16500</v>
      </c>
      <c r="E12" s="4">
        <v>529.5</v>
      </c>
      <c r="F12" s="4">
        <v>79</v>
      </c>
      <c r="G12" s="4">
        <v>92</v>
      </c>
      <c r="H12" s="4">
        <v>1749</v>
      </c>
      <c r="I12" s="4">
        <v>367</v>
      </c>
      <c r="J12" s="4">
        <v>334</v>
      </c>
      <c r="K12" s="4">
        <v>342.9</v>
      </c>
      <c r="L12" s="4">
        <v>560.5</v>
      </c>
      <c r="M12" s="4">
        <v>292</v>
      </c>
      <c r="N12" s="4">
        <v>70</v>
      </c>
      <c r="O12" s="4">
        <v>4232</v>
      </c>
      <c r="P12" s="4">
        <v>209</v>
      </c>
      <c r="Q12" s="4">
        <v>162</v>
      </c>
    </row>
    <row r="13" spans="1:21" x14ac:dyDescent="0.2">
      <c r="A13" s="2">
        <v>2</v>
      </c>
      <c r="B13" s="19">
        <f>DATE(91,5,16)</f>
        <v>33374</v>
      </c>
      <c r="C13" s="2">
        <v>823</v>
      </c>
      <c r="D13" s="23">
        <v>10500</v>
      </c>
      <c r="E13" s="4">
        <v>552</v>
      </c>
      <c r="F13" s="4">
        <v>132.5</v>
      </c>
      <c r="G13" s="4">
        <v>149</v>
      </c>
      <c r="H13" s="4">
        <v>1762</v>
      </c>
      <c r="I13" s="4">
        <v>428</v>
      </c>
      <c r="J13" s="4">
        <v>881.5</v>
      </c>
      <c r="K13" s="4"/>
      <c r="L13" s="4"/>
      <c r="M13" s="4"/>
      <c r="N13" s="4"/>
      <c r="O13" s="4"/>
      <c r="P13" s="4"/>
      <c r="Q13" s="4"/>
      <c r="S13" s="2" t="s">
        <v>1450</v>
      </c>
    </row>
    <row r="14" spans="1:21" x14ac:dyDescent="0.2">
      <c r="A14" s="2" t="s">
        <v>1451</v>
      </c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S14" s="2">
        <v>1</v>
      </c>
      <c r="T14" s="2" t="s">
        <v>1452</v>
      </c>
      <c r="U14" s="2" t="s">
        <v>1453</v>
      </c>
    </row>
    <row r="15" spans="1:21" x14ac:dyDescent="0.2">
      <c r="A15" s="2">
        <v>3</v>
      </c>
      <c r="B15" s="19">
        <f>DATE(91,5,22)</f>
        <v>33380</v>
      </c>
      <c r="C15" s="2">
        <v>1032</v>
      </c>
      <c r="D15" s="23">
        <v>5000</v>
      </c>
      <c r="E15" s="4">
        <v>572</v>
      </c>
      <c r="F15" s="4">
        <v>260</v>
      </c>
      <c r="G15" s="4">
        <v>284</v>
      </c>
      <c r="H15" s="4">
        <v>1841</v>
      </c>
      <c r="I15" s="4">
        <v>387</v>
      </c>
      <c r="J15" s="4">
        <v>650.1</v>
      </c>
      <c r="K15" s="4">
        <v>342.2</v>
      </c>
      <c r="L15" s="4">
        <v>609</v>
      </c>
      <c r="M15" s="4">
        <v>293</v>
      </c>
      <c r="N15" s="4">
        <v>73</v>
      </c>
      <c r="O15" s="4">
        <v>1130</v>
      </c>
      <c r="P15" s="4">
        <v>255</v>
      </c>
      <c r="Q15" s="4">
        <v>164</v>
      </c>
      <c r="U15" s="2" t="s">
        <v>1454</v>
      </c>
    </row>
    <row r="16" spans="1:21" x14ac:dyDescent="0.2">
      <c r="A16" s="2">
        <v>4</v>
      </c>
      <c r="B16" s="19">
        <f>DATE(91,5,22)</f>
        <v>33380</v>
      </c>
      <c r="C16" s="2">
        <v>1053</v>
      </c>
      <c r="D16" s="23">
        <v>4700</v>
      </c>
      <c r="E16" s="4">
        <v>527</v>
      </c>
      <c r="F16" s="4">
        <v>137</v>
      </c>
      <c r="G16" s="4">
        <v>154</v>
      </c>
      <c r="H16" s="4">
        <v>1797</v>
      </c>
      <c r="I16" s="4">
        <v>368</v>
      </c>
      <c r="J16" s="4">
        <v>106.3</v>
      </c>
      <c r="K16" s="4">
        <v>343.3</v>
      </c>
      <c r="L16" s="4">
        <v>536</v>
      </c>
      <c r="M16" s="4">
        <v>290</v>
      </c>
      <c r="N16" s="4">
        <v>63</v>
      </c>
      <c r="O16" s="4">
        <v>530</v>
      </c>
      <c r="P16" s="4">
        <v>233</v>
      </c>
      <c r="Q16" s="4">
        <v>162</v>
      </c>
      <c r="U16" s="2" t="s">
        <v>1455</v>
      </c>
    </row>
    <row r="17" spans="1:21" x14ac:dyDescent="0.2">
      <c r="A17" s="2">
        <v>5</v>
      </c>
      <c r="B17" s="19">
        <f>DATE(91,5,22)</f>
        <v>33380</v>
      </c>
      <c r="C17" s="2">
        <v>1124</v>
      </c>
      <c r="D17" s="23">
        <v>4000</v>
      </c>
      <c r="E17" s="4"/>
      <c r="F17" s="4"/>
      <c r="G17" s="4">
        <v>123</v>
      </c>
      <c r="H17" s="4">
        <v>1792</v>
      </c>
      <c r="I17" s="4">
        <v>362</v>
      </c>
      <c r="J17" s="4">
        <v>72.599999999999994</v>
      </c>
      <c r="K17" s="4">
        <v>343.6</v>
      </c>
      <c r="L17" s="4">
        <v>532</v>
      </c>
      <c r="M17" s="4">
        <v>291</v>
      </c>
      <c r="N17" s="4">
        <v>63</v>
      </c>
      <c r="O17" s="4">
        <v>372</v>
      </c>
      <c r="P17" s="4">
        <v>230</v>
      </c>
      <c r="Q17" s="4">
        <v>170</v>
      </c>
      <c r="U17" s="2" t="s">
        <v>1456</v>
      </c>
    </row>
    <row r="18" spans="1:21" x14ac:dyDescent="0.2">
      <c r="A18" s="2" t="s">
        <v>1457</v>
      </c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U18" s="2" t="s">
        <v>1458</v>
      </c>
    </row>
    <row r="19" spans="1:21" x14ac:dyDescent="0.2">
      <c r="A19" s="2">
        <v>6</v>
      </c>
      <c r="B19" s="19">
        <f>DATE(91,5,27)</f>
        <v>33385</v>
      </c>
      <c r="C19" s="2">
        <v>703</v>
      </c>
      <c r="D19" s="23">
        <v>8000</v>
      </c>
      <c r="E19" s="4"/>
      <c r="F19" s="4"/>
      <c r="G19" s="4">
        <v>152</v>
      </c>
      <c r="H19" s="4">
        <v>1782</v>
      </c>
      <c r="I19" s="4">
        <v>381</v>
      </c>
      <c r="J19" s="4">
        <v>259.7</v>
      </c>
      <c r="K19" s="4">
        <v>340.6</v>
      </c>
      <c r="L19" s="4">
        <v>695</v>
      </c>
      <c r="M19" s="4">
        <v>286</v>
      </c>
      <c r="N19" s="4">
        <v>66</v>
      </c>
      <c r="O19" s="4">
        <v>2045</v>
      </c>
      <c r="P19" s="4">
        <v>220</v>
      </c>
      <c r="Q19" s="4">
        <v>160</v>
      </c>
    </row>
    <row r="20" spans="1:21" x14ac:dyDescent="0.2">
      <c r="A20" s="2">
        <v>7</v>
      </c>
      <c r="B20" s="19">
        <f>DATE(91,5,27)</f>
        <v>33385</v>
      </c>
      <c r="C20" s="2">
        <v>738</v>
      </c>
      <c r="D20" s="23">
        <v>4000</v>
      </c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S20" s="2">
        <v>2</v>
      </c>
      <c r="T20" s="2" t="s">
        <v>1459</v>
      </c>
      <c r="U20" s="2" t="s">
        <v>1460</v>
      </c>
    </row>
    <row r="21" spans="1:21" x14ac:dyDescent="0.2">
      <c r="A21" s="2">
        <v>8</v>
      </c>
      <c r="B21" s="19">
        <f>DATE(91,5,27)</f>
        <v>33385</v>
      </c>
      <c r="C21" s="2">
        <v>814</v>
      </c>
      <c r="D21" s="23">
        <v>4000</v>
      </c>
      <c r="E21" s="4"/>
      <c r="F21" s="4"/>
      <c r="G21" s="4">
        <v>240</v>
      </c>
      <c r="H21" s="4">
        <v>1824</v>
      </c>
      <c r="I21" s="4">
        <v>378</v>
      </c>
      <c r="J21" s="4">
        <v>283.39999999999998</v>
      </c>
      <c r="K21" s="4">
        <v>342.4</v>
      </c>
      <c r="L21" s="4">
        <v>586</v>
      </c>
      <c r="M21" s="4">
        <v>286</v>
      </c>
      <c r="N21" s="4">
        <v>63</v>
      </c>
      <c r="O21" s="4">
        <v>256</v>
      </c>
      <c r="P21" s="4">
        <v>229</v>
      </c>
      <c r="Q21" s="4">
        <v>160</v>
      </c>
      <c r="U21" s="2" t="s">
        <v>1461</v>
      </c>
    </row>
    <row r="22" spans="1:21" x14ac:dyDescent="0.2">
      <c r="A22" s="2">
        <v>9</v>
      </c>
      <c r="B22" s="19">
        <f>DATE(91,5,27)</f>
        <v>33385</v>
      </c>
      <c r="C22" s="2">
        <v>914</v>
      </c>
      <c r="D22" s="23">
        <v>2500</v>
      </c>
      <c r="E22" s="4">
        <v>716</v>
      </c>
      <c r="F22" s="4">
        <v>206</v>
      </c>
      <c r="G22" s="4">
        <v>231</v>
      </c>
      <c r="H22" s="4">
        <v>1806</v>
      </c>
      <c r="I22" s="4">
        <v>375</v>
      </c>
      <c r="J22" s="4">
        <v>308.89999999999998</v>
      </c>
      <c r="K22" s="4">
        <v>340.7</v>
      </c>
      <c r="L22" s="4">
        <v>537</v>
      </c>
      <c r="M22" s="4">
        <v>290</v>
      </c>
      <c r="N22" s="4">
        <v>63</v>
      </c>
      <c r="O22" s="4">
        <v>124</v>
      </c>
      <c r="P22" s="4">
        <v>226</v>
      </c>
      <c r="Q22" s="4">
        <v>163</v>
      </c>
    </row>
    <row r="23" spans="1:21" x14ac:dyDescent="0.2">
      <c r="A23" s="2">
        <v>10</v>
      </c>
      <c r="B23" s="19">
        <f>DATE(91,5,27)</f>
        <v>33385</v>
      </c>
      <c r="C23" s="2">
        <v>1118</v>
      </c>
      <c r="D23" s="23">
        <v>11500</v>
      </c>
      <c r="E23" s="4">
        <v>575</v>
      </c>
      <c r="F23" s="4">
        <v>106</v>
      </c>
      <c r="G23" s="4">
        <v>119</v>
      </c>
      <c r="H23" s="4">
        <v>1758</v>
      </c>
      <c r="I23" s="4">
        <v>366</v>
      </c>
      <c r="J23" s="4">
        <v>53.3</v>
      </c>
      <c r="K23" s="4">
        <v>341.6</v>
      </c>
      <c r="L23" s="4">
        <v>578</v>
      </c>
      <c r="M23" s="4">
        <v>286</v>
      </c>
      <c r="N23" s="4">
        <v>60</v>
      </c>
      <c r="O23" s="4">
        <v>71</v>
      </c>
      <c r="P23" s="4">
        <v>206</v>
      </c>
      <c r="Q23" s="4">
        <v>161</v>
      </c>
    </row>
    <row r="24" spans="1:21" x14ac:dyDescent="0.2">
      <c r="A24" s="2" t="s">
        <v>1462</v>
      </c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</row>
    <row r="25" spans="1:21" x14ac:dyDescent="0.2">
      <c r="A25" s="2">
        <v>11</v>
      </c>
      <c r="B25" s="19">
        <f>DATE(91,5,28)</f>
        <v>33386</v>
      </c>
      <c r="C25" s="2">
        <v>1130</v>
      </c>
      <c r="D25" s="23">
        <v>12000</v>
      </c>
      <c r="E25" s="4">
        <v>555</v>
      </c>
      <c r="F25" s="4">
        <v>79</v>
      </c>
      <c r="G25" s="4">
        <v>84</v>
      </c>
      <c r="H25" s="4">
        <v>1757</v>
      </c>
      <c r="I25" s="4">
        <v>362</v>
      </c>
      <c r="J25" s="4">
        <v>76.3</v>
      </c>
      <c r="K25" s="4">
        <v>342.6</v>
      </c>
      <c r="L25" s="4">
        <v>10900</v>
      </c>
      <c r="M25" s="4">
        <v>444</v>
      </c>
      <c r="N25" s="4">
        <v>57</v>
      </c>
      <c r="O25" s="4">
        <v>654</v>
      </c>
      <c r="P25" s="4">
        <v>203</v>
      </c>
      <c r="Q25" s="4">
        <v>148</v>
      </c>
      <c r="S25" s="2" t="s">
        <v>1451</v>
      </c>
    </row>
    <row r="26" spans="1:21" x14ac:dyDescent="0.2">
      <c r="A26" s="2">
        <v>12</v>
      </c>
      <c r="B26" s="19">
        <f>DATE(91,5,28)</f>
        <v>33386</v>
      </c>
      <c r="C26" s="2">
        <v>1206</v>
      </c>
      <c r="D26" s="23">
        <v>10100</v>
      </c>
      <c r="E26" s="4">
        <v>534</v>
      </c>
      <c r="F26" s="4">
        <v>151</v>
      </c>
      <c r="G26" s="4">
        <v>163</v>
      </c>
      <c r="H26" s="4">
        <v>1778</v>
      </c>
      <c r="I26" s="4">
        <v>373</v>
      </c>
      <c r="J26" s="4">
        <v>104.2</v>
      </c>
      <c r="K26" s="4">
        <v>341.4</v>
      </c>
      <c r="L26" s="4">
        <v>7472</v>
      </c>
      <c r="M26" s="4">
        <v>415</v>
      </c>
      <c r="N26" s="4">
        <v>59</v>
      </c>
      <c r="O26" s="4">
        <v>440</v>
      </c>
      <c r="P26" s="4">
        <v>210</v>
      </c>
      <c r="Q26" s="4">
        <v>148</v>
      </c>
      <c r="S26" s="2">
        <v>3</v>
      </c>
      <c r="T26" s="2" t="s">
        <v>1463</v>
      </c>
      <c r="U26" s="2" t="s">
        <v>1464</v>
      </c>
    </row>
    <row r="27" spans="1:21" x14ac:dyDescent="0.2">
      <c r="A27" s="2">
        <v>13</v>
      </c>
      <c r="B27" s="19">
        <f>DATE(91,5,28)</f>
        <v>33386</v>
      </c>
      <c r="C27" s="2">
        <v>1248</v>
      </c>
      <c r="D27" s="23">
        <v>8100</v>
      </c>
      <c r="E27" s="4">
        <v>546</v>
      </c>
      <c r="F27" s="4">
        <v>133</v>
      </c>
      <c r="G27" s="4">
        <v>148</v>
      </c>
      <c r="H27" s="4">
        <v>1777</v>
      </c>
      <c r="I27" s="4">
        <v>369</v>
      </c>
      <c r="J27" s="4">
        <v>83.4</v>
      </c>
      <c r="K27" s="4">
        <v>343.6</v>
      </c>
      <c r="L27" s="4">
        <v>5368</v>
      </c>
      <c r="M27" s="4">
        <v>437</v>
      </c>
      <c r="N27" s="4">
        <v>57</v>
      </c>
      <c r="O27" s="4">
        <v>630</v>
      </c>
      <c r="P27" s="4">
        <v>210</v>
      </c>
      <c r="Q27" s="4">
        <v>152</v>
      </c>
      <c r="U27" s="2" t="s">
        <v>1465</v>
      </c>
    </row>
    <row r="28" spans="1:21" x14ac:dyDescent="0.2">
      <c r="A28" s="2">
        <v>14</v>
      </c>
      <c r="B28" s="19">
        <f>DATE(91,5,28)</f>
        <v>33386</v>
      </c>
      <c r="C28" s="2">
        <v>1329</v>
      </c>
      <c r="D28" s="23">
        <v>6100</v>
      </c>
      <c r="E28" s="4">
        <v>511</v>
      </c>
      <c r="F28" s="4">
        <v>280</v>
      </c>
      <c r="G28" s="4">
        <v>310</v>
      </c>
      <c r="H28" s="4">
        <v>1807</v>
      </c>
      <c r="I28" s="4">
        <v>384</v>
      </c>
      <c r="J28" s="4">
        <v>231.6</v>
      </c>
      <c r="K28" s="4">
        <v>334.4</v>
      </c>
      <c r="L28" s="4">
        <v>3960</v>
      </c>
      <c r="M28" s="4">
        <v>511</v>
      </c>
      <c r="N28" s="4">
        <v>56</v>
      </c>
      <c r="O28" s="4">
        <v>293</v>
      </c>
      <c r="P28" s="4">
        <v>216</v>
      </c>
      <c r="Q28" s="4">
        <v>142</v>
      </c>
      <c r="U28" s="2" t="s">
        <v>1456</v>
      </c>
    </row>
    <row r="29" spans="1:21" x14ac:dyDescent="0.2">
      <c r="A29" s="2">
        <v>15</v>
      </c>
      <c r="B29" s="19">
        <f>DATE(91,5,28)</f>
        <v>33386</v>
      </c>
      <c r="C29" s="2">
        <v>1401</v>
      </c>
      <c r="D29" s="23">
        <v>4100</v>
      </c>
      <c r="E29" s="4">
        <v>524</v>
      </c>
      <c r="F29" s="4">
        <v>190</v>
      </c>
      <c r="G29" s="4">
        <v>213</v>
      </c>
      <c r="H29" s="4">
        <v>1816</v>
      </c>
      <c r="I29" s="4">
        <v>372</v>
      </c>
      <c r="J29" s="4">
        <v>255.6</v>
      </c>
      <c r="K29" s="4">
        <v>342.1</v>
      </c>
      <c r="L29" s="4">
        <v>2409</v>
      </c>
      <c r="M29" s="4">
        <v>527</v>
      </c>
      <c r="N29" s="4">
        <v>58</v>
      </c>
      <c r="O29" s="4">
        <v>386</v>
      </c>
      <c r="P29" s="4">
        <v>217</v>
      </c>
      <c r="Q29" s="4">
        <v>143</v>
      </c>
      <c r="U29" s="2" t="s">
        <v>1466</v>
      </c>
    </row>
    <row r="30" spans="1:21" x14ac:dyDescent="0.2">
      <c r="A30" s="2" t="s">
        <v>1467</v>
      </c>
      <c r="B30" s="19"/>
      <c r="D30" s="23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</row>
    <row r="31" spans="1:21" x14ac:dyDescent="0.2">
      <c r="A31" s="2">
        <v>16</v>
      </c>
      <c r="B31" s="19">
        <f t="shared" ref="B31:B38" si="0">DATE(91,5,31)</f>
        <v>33389</v>
      </c>
      <c r="C31" s="2">
        <v>828</v>
      </c>
      <c r="D31" s="23"/>
      <c r="E31" s="4">
        <v>524</v>
      </c>
      <c r="F31" s="4">
        <v>350</v>
      </c>
      <c r="G31" s="4">
        <v>381</v>
      </c>
      <c r="H31" s="4">
        <v>1809</v>
      </c>
      <c r="I31" s="4">
        <v>394</v>
      </c>
      <c r="J31" s="4">
        <v>238.4</v>
      </c>
      <c r="K31" s="4">
        <v>343</v>
      </c>
      <c r="L31" s="4">
        <v>24611</v>
      </c>
      <c r="M31" s="4">
        <v>464</v>
      </c>
      <c r="N31" s="4">
        <v>66</v>
      </c>
      <c r="O31" s="4">
        <v>365</v>
      </c>
      <c r="P31" s="4">
        <v>229</v>
      </c>
      <c r="Q31" s="4">
        <v>154</v>
      </c>
      <c r="S31" s="2">
        <v>4</v>
      </c>
      <c r="T31" s="2" t="s">
        <v>1468</v>
      </c>
      <c r="U31" s="2" t="s">
        <v>1469</v>
      </c>
    </row>
    <row r="32" spans="1:21" x14ac:dyDescent="0.2">
      <c r="A32" s="2">
        <v>17</v>
      </c>
      <c r="B32" s="19">
        <f t="shared" si="0"/>
        <v>33389</v>
      </c>
      <c r="C32" s="2">
        <v>843</v>
      </c>
      <c r="D32" s="23"/>
      <c r="E32" s="4"/>
      <c r="F32" s="4"/>
      <c r="G32" s="4">
        <v>396</v>
      </c>
      <c r="H32" s="4">
        <v>1815</v>
      </c>
      <c r="I32" s="4">
        <v>399</v>
      </c>
      <c r="J32" s="4">
        <v>245.6</v>
      </c>
      <c r="K32" s="4">
        <v>346</v>
      </c>
      <c r="L32" s="4">
        <v>21669</v>
      </c>
      <c r="M32" s="4">
        <v>458</v>
      </c>
      <c r="N32" s="4">
        <v>62</v>
      </c>
      <c r="O32" s="4">
        <v>172</v>
      </c>
      <c r="P32" s="4">
        <v>230</v>
      </c>
      <c r="Q32" s="4">
        <v>152</v>
      </c>
      <c r="U32" s="2" t="s">
        <v>1470</v>
      </c>
    </row>
    <row r="33" spans="1:21" x14ac:dyDescent="0.2">
      <c r="A33" s="2">
        <v>18</v>
      </c>
      <c r="B33" s="19">
        <f t="shared" si="0"/>
        <v>33389</v>
      </c>
      <c r="C33" s="2">
        <v>920</v>
      </c>
      <c r="D33" s="23"/>
      <c r="E33" s="4"/>
      <c r="F33" s="4"/>
      <c r="G33" s="4">
        <v>151</v>
      </c>
      <c r="H33" s="4">
        <v>1791</v>
      </c>
      <c r="I33" s="4">
        <v>365</v>
      </c>
      <c r="J33" s="4">
        <v>62</v>
      </c>
      <c r="K33" s="4">
        <v>341.5</v>
      </c>
      <c r="L33" s="4">
        <v>894</v>
      </c>
      <c r="M33" s="4">
        <v>290</v>
      </c>
      <c r="N33" s="4">
        <v>65</v>
      </c>
      <c r="O33" s="4">
        <v>467</v>
      </c>
      <c r="P33" s="4">
        <v>232</v>
      </c>
      <c r="Q33" s="4">
        <v>162</v>
      </c>
    </row>
    <row r="34" spans="1:21" x14ac:dyDescent="0.2">
      <c r="A34" s="2">
        <v>19</v>
      </c>
      <c r="B34" s="19">
        <f t="shared" si="0"/>
        <v>33389</v>
      </c>
      <c r="C34" s="2">
        <v>932</v>
      </c>
      <c r="D34" s="23"/>
      <c r="E34" s="4"/>
      <c r="F34" s="4"/>
      <c r="G34" s="4">
        <v>144</v>
      </c>
      <c r="H34" s="4">
        <v>1793</v>
      </c>
      <c r="I34" s="4">
        <v>364</v>
      </c>
      <c r="J34" s="4">
        <v>53.6</v>
      </c>
      <c r="K34" s="4">
        <v>342</v>
      </c>
      <c r="L34" s="4">
        <v>694</v>
      </c>
      <c r="M34" s="4">
        <v>292</v>
      </c>
      <c r="N34" s="4">
        <v>63</v>
      </c>
      <c r="O34" s="4">
        <v>200</v>
      </c>
      <c r="P34" s="4">
        <v>237</v>
      </c>
      <c r="Q34" s="4">
        <v>163</v>
      </c>
    </row>
    <row r="35" spans="1:21" x14ac:dyDescent="0.2">
      <c r="A35" s="2">
        <v>20</v>
      </c>
      <c r="B35" s="19">
        <f t="shared" si="0"/>
        <v>33389</v>
      </c>
      <c r="C35" s="2">
        <v>1006</v>
      </c>
      <c r="E35" s="4"/>
      <c r="F35" s="4"/>
      <c r="G35" s="4">
        <v>210</v>
      </c>
      <c r="H35" s="4">
        <v>1789</v>
      </c>
      <c r="I35" s="4">
        <v>368</v>
      </c>
      <c r="J35" s="4">
        <v>134.9</v>
      </c>
      <c r="K35" s="4">
        <v>342.6</v>
      </c>
      <c r="L35" s="4">
        <v>573</v>
      </c>
      <c r="M35" s="4">
        <v>292</v>
      </c>
      <c r="N35" s="4">
        <v>62</v>
      </c>
      <c r="O35" s="4">
        <v>167</v>
      </c>
      <c r="P35" s="4">
        <v>243</v>
      </c>
      <c r="Q35" s="4">
        <v>164</v>
      </c>
    </row>
    <row r="36" spans="1:21" x14ac:dyDescent="0.2">
      <c r="A36" s="2">
        <v>21</v>
      </c>
      <c r="B36" s="19">
        <f t="shared" si="0"/>
        <v>33389</v>
      </c>
      <c r="C36" s="2">
        <v>1038</v>
      </c>
      <c r="D36" s="23">
        <v>3500</v>
      </c>
      <c r="E36" s="4">
        <v>531</v>
      </c>
      <c r="F36" s="4">
        <v>292</v>
      </c>
      <c r="G36" s="4">
        <v>313</v>
      </c>
      <c r="H36" s="4">
        <v>1848</v>
      </c>
      <c r="I36" s="4">
        <v>384</v>
      </c>
      <c r="J36" s="4">
        <v>538</v>
      </c>
      <c r="K36" s="4">
        <v>341.4</v>
      </c>
      <c r="L36" s="4">
        <v>711</v>
      </c>
      <c r="M36" s="4">
        <v>290</v>
      </c>
      <c r="N36" s="4">
        <v>63</v>
      </c>
      <c r="O36" s="4">
        <v>554</v>
      </c>
      <c r="P36" s="4">
        <v>239</v>
      </c>
      <c r="Q36" s="4">
        <v>162</v>
      </c>
      <c r="S36" s="2">
        <v>5</v>
      </c>
      <c r="T36" s="2" t="s">
        <v>1471</v>
      </c>
      <c r="U36" s="2" t="s">
        <v>1472</v>
      </c>
    </row>
    <row r="37" spans="1:21" x14ac:dyDescent="0.2">
      <c r="A37" s="2">
        <v>22</v>
      </c>
      <c r="B37" s="19">
        <f t="shared" si="0"/>
        <v>33389</v>
      </c>
      <c r="C37" s="2">
        <v>1053</v>
      </c>
      <c r="D37" s="23">
        <v>3500</v>
      </c>
      <c r="E37" s="4">
        <v>558</v>
      </c>
      <c r="F37" s="4">
        <v>313</v>
      </c>
      <c r="G37" s="4">
        <v>334</v>
      </c>
      <c r="H37" s="4">
        <v>1848</v>
      </c>
      <c r="I37" s="4">
        <v>381</v>
      </c>
      <c r="J37" s="4">
        <v>565.1</v>
      </c>
      <c r="K37" s="4"/>
      <c r="L37" s="4"/>
      <c r="M37" s="4"/>
      <c r="N37" s="4"/>
      <c r="O37" s="4"/>
      <c r="P37" s="4"/>
      <c r="Q37" s="4"/>
      <c r="U37" s="2" t="s">
        <v>1473</v>
      </c>
    </row>
    <row r="38" spans="1:21" x14ac:dyDescent="0.2">
      <c r="A38" s="2">
        <v>23</v>
      </c>
      <c r="B38" s="19">
        <f t="shared" si="0"/>
        <v>33389</v>
      </c>
      <c r="C38" s="2">
        <v>1111</v>
      </c>
      <c r="D38" s="23">
        <v>5000</v>
      </c>
      <c r="E38" s="4">
        <v>540</v>
      </c>
      <c r="F38" s="4">
        <v>446</v>
      </c>
      <c r="G38" s="4">
        <v>470</v>
      </c>
      <c r="H38" s="4">
        <v>1817</v>
      </c>
      <c r="I38" s="4">
        <v>402</v>
      </c>
      <c r="J38" s="4">
        <v>475.4</v>
      </c>
      <c r="K38" s="4">
        <v>343.4</v>
      </c>
      <c r="L38" s="4">
        <v>547</v>
      </c>
      <c r="M38" s="4">
        <v>289</v>
      </c>
      <c r="N38" s="4">
        <v>60</v>
      </c>
      <c r="O38" s="4">
        <v>172</v>
      </c>
      <c r="P38" s="4">
        <v>234</v>
      </c>
      <c r="Q38" s="4">
        <v>161</v>
      </c>
      <c r="U38" s="2" t="s">
        <v>1474</v>
      </c>
    </row>
    <row r="39" spans="1:21" x14ac:dyDescent="0.2">
      <c r="A39" s="2" t="s">
        <v>1475</v>
      </c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U39" s="2" t="s">
        <v>1476</v>
      </c>
    </row>
    <row r="40" spans="1:21" x14ac:dyDescent="0.2">
      <c r="A40" s="2">
        <v>24</v>
      </c>
      <c r="B40" s="19">
        <f>DATE(91,6,2)</f>
        <v>33391</v>
      </c>
      <c r="C40" s="2">
        <v>716</v>
      </c>
      <c r="D40" s="23">
        <v>8000</v>
      </c>
      <c r="E40" s="4">
        <v>531</v>
      </c>
      <c r="F40" s="4">
        <v>121</v>
      </c>
      <c r="G40" s="4"/>
      <c r="H40" s="4"/>
      <c r="I40" s="4"/>
      <c r="J40" s="4"/>
      <c r="K40" s="4">
        <v>344</v>
      </c>
      <c r="L40" s="4">
        <v>17144</v>
      </c>
      <c r="M40" s="4">
        <v>414</v>
      </c>
      <c r="N40" s="4">
        <v>58</v>
      </c>
      <c r="O40" s="4">
        <v>854</v>
      </c>
      <c r="P40" s="4">
        <v>205</v>
      </c>
      <c r="Q40" s="4">
        <v>145</v>
      </c>
    </row>
    <row r="41" spans="1:21" x14ac:dyDescent="0.2">
      <c r="A41" s="2">
        <v>25</v>
      </c>
      <c r="B41" s="19">
        <f>DATE(91,6,2)</f>
        <v>33391</v>
      </c>
      <c r="C41" s="2">
        <v>809</v>
      </c>
      <c r="D41" s="23">
        <v>5600</v>
      </c>
      <c r="E41" s="4">
        <v>564</v>
      </c>
      <c r="F41" s="4">
        <v>301</v>
      </c>
      <c r="G41" s="4">
        <v>332</v>
      </c>
      <c r="H41" s="4">
        <v>1802</v>
      </c>
      <c r="I41" s="4">
        <v>405</v>
      </c>
      <c r="J41" s="4">
        <v>298.7</v>
      </c>
      <c r="K41" s="4">
        <v>344.9</v>
      </c>
      <c r="L41" s="4">
        <v>16277</v>
      </c>
      <c r="M41" s="4">
        <v>527</v>
      </c>
      <c r="N41" s="4">
        <v>61</v>
      </c>
      <c r="O41" s="4">
        <v>456</v>
      </c>
      <c r="P41" s="4">
        <v>217</v>
      </c>
      <c r="Q41" s="4">
        <v>144</v>
      </c>
      <c r="S41" s="2" t="s">
        <v>1457</v>
      </c>
    </row>
    <row r="42" spans="1:21" x14ac:dyDescent="0.2">
      <c r="B42" s="19"/>
      <c r="D42" s="23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S42" s="2">
        <v>6</v>
      </c>
      <c r="T42" s="2" t="s">
        <v>1477</v>
      </c>
      <c r="U42" s="2" t="s">
        <v>1478</v>
      </c>
    </row>
    <row r="43" spans="1:21" x14ac:dyDescent="0.2">
      <c r="A43" s="2" t="s">
        <v>1479</v>
      </c>
      <c r="B43" s="19"/>
      <c r="D43" s="23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U43" s="2" t="s">
        <v>1480</v>
      </c>
    </row>
    <row r="44" spans="1:21" x14ac:dyDescent="0.2">
      <c r="A44" s="2">
        <v>26</v>
      </c>
      <c r="B44" s="19">
        <f t="shared" ref="B44:B54" si="1">DATE(91,6,3)</f>
        <v>33392</v>
      </c>
      <c r="C44" s="2">
        <v>842</v>
      </c>
      <c r="D44" s="23">
        <v>3000</v>
      </c>
      <c r="E44" s="4">
        <v>525</v>
      </c>
      <c r="F44" s="4">
        <v>278</v>
      </c>
      <c r="G44" s="4">
        <v>296</v>
      </c>
      <c r="H44" s="4">
        <v>1811</v>
      </c>
      <c r="I44" s="4">
        <v>378</v>
      </c>
      <c r="J44" s="4">
        <v>275.89999999999998</v>
      </c>
      <c r="K44" s="4">
        <v>343.6</v>
      </c>
      <c r="L44" s="4">
        <v>1054</v>
      </c>
      <c r="M44" s="4">
        <v>375</v>
      </c>
      <c r="N44" s="4">
        <v>58</v>
      </c>
      <c r="O44" s="4">
        <v>98</v>
      </c>
      <c r="P44" s="4">
        <v>223</v>
      </c>
      <c r="Q44" s="4">
        <v>154</v>
      </c>
      <c r="U44" s="2" t="s">
        <v>1481</v>
      </c>
    </row>
    <row r="45" spans="1:21" x14ac:dyDescent="0.2">
      <c r="A45" s="2">
        <v>27</v>
      </c>
      <c r="B45" s="19">
        <f t="shared" si="1"/>
        <v>33392</v>
      </c>
      <c r="C45" s="2">
        <v>923</v>
      </c>
      <c r="D45" s="23">
        <v>3500</v>
      </c>
      <c r="E45" s="4">
        <v>524</v>
      </c>
      <c r="F45" s="4">
        <v>428</v>
      </c>
      <c r="G45" s="4"/>
      <c r="H45" s="4"/>
      <c r="I45" s="4"/>
      <c r="J45" s="4">
        <v>462.1</v>
      </c>
      <c r="K45" s="4">
        <v>344.2</v>
      </c>
      <c r="L45" s="4">
        <v>675</v>
      </c>
      <c r="M45" s="4">
        <v>332</v>
      </c>
      <c r="N45" s="4">
        <v>59</v>
      </c>
      <c r="O45" s="4">
        <v>111</v>
      </c>
      <c r="P45" s="4">
        <v>225</v>
      </c>
      <c r="Q45" s="4">
        <v>156</v>
      </c>
      <c r="U45" s="2" t="s">
        <v>1482</v>
      </c>
    </row>
    <row r="46" spans="1:21" x14ac:dyDescent="0.2">
      <c r="A46" s="2">
        <v>28</v>
      </c>
      <c r="B46" s="19">
        <f t="shared" si="1"/>
        <v>33392</v>
      </c>
      <c r="C46" s="2">
        <v>939</v>
      </c>
      <c r="D46" s="23">
        <v>3500</v>
      </c>
      <c r="E46" s="4">
        <v>517</v>
      </c>
      <c r="F46" s="4">
        <v>283</v>
      </c>
      <c r="G46" s="4">
        <v>297</v>
      </c>
      <c r="H46" s="4">
        <v>1828</v>
      </c>
      <c r="I46" s="4">
        <v>380</v>
      </c>
      <c r="J46" s="4">
        <v>365.6</v>
      </c>
      <c r="K46" s="4">
        <v>344.2</v>
      </c>
      <c r="L46" s="4">
        <v>613</v>
      </c>
      <c r="M46" s="4">
        <v>313</v>
      </c>
      <c r="N46" s="4">
        <v>58</v>
      </c>
      <c r="O46" s="4">
        <v>165</v>
      </c>
      <c r="P46" s="4">
        <v>226</v>
      </c>
      <c r="Q46" s="4">
        <v>157</v>
      </c>
    </row>
    <row r="47" spans="1:21" x14ac:dyDescent="0.2">
      <c r="A47" s="2">
        <v>29</v>
      </c>
      <c r="B47" s="19">
        <f t="shared" si="1"/>
        <v>33392</v>
      </c>
      <c r="C47" s="2">
        <v>959</v>
      </c>
      <c r="D47" s="23">
        <v>3500</v>
      </c>
      <c r="E47" s="4">
        <v>543</v>
      </c>
      <c r="F47" s="4">
        <v>270</v>
      </c>
      <c r="G47" s="4">
        <v>288</v>
      </c>
      <c r="H47" s="4">
        <v>1818</v>
      </c>
      <c r="I47" s="4">
        <v>378</v>
      </c>
      <c r="J47" s="4">
        <v>265.7</v>
      </c>
      <c r="K47" s="4">
        <v>342.8</v>
      </c>
      <c r="L47" s="4">
        <v>622</v>
      </c>
      <c r="M47" s="4">
        <v>333</v>
      </c>
      <c r="N47" s="4">
        <v>60</v>
      </c>
      <c r="O47" s="4">
        <v>117</v>
      </c>
      <c r="P47" s="4">
        <v>224</v>
      </c>
      <c r="Q47" s="4">
        <v>157</v>
      </c>
      <c r="S47" s="2">
        <v>7</v>
      </c>
      <c r="T47" s="2" t="s">
        <v>1483</v>
      </c>
      <c r="U47" s="2" t="s">
        <v>1478</v>
      </c>
    </row>
    <row r="48" spans="1:21" x14ac:dyDescent="0.2">
      <c r="A48" s="2">
        <v>30</v>
      </c>
      <c r="B48" s="19">
        <f t="shared" si="1"/>
        <v>33392</v>
      </c>
      <c r="C48" s="2">
        <v>1021</v>
      </c>
      <c r="D48" s="23">
        <v>3500</v>
      </c>
      <c r="E48" s="4">
        <v>541</v>
      </c>
      <c r="F48" s="4">
        <v>303</v>
      </c>
      <c r="G48" s="4">
        <v>314</v>
      </c>
      <c r="H48" s="4">
        <v>1823</v>
      </c>
      <c r="I48" s="4">
        <v>379</v>
      </c>
      <c r="J48" s="4">
        <v>353.8</v>
      </c>
      <c r="K48" s="4">
        <v>342.2</v>
      </c>
      <c r="L48" s="4">
        <v>596</v>
      </c>
      <c r="M48" s="4">
        <v>337</v>
      </c>
      <c r="N48" s="4">
        <v>60</v>
      </c>
      <c r="O48" s="4">
        <v>98</v>
      </c>
      <c r="P48" s="4">
        <v>233</v>
      </c>
      <c r="Q48" s="4">
        <v>161</v>
      </c>
      <c r="U48" s="2" t="s">
        <v>1484</v>
      </c>
    </row>
    <row r="49" spans="1:21" x14ac:dyDescent="0.2">
      <c r="A49" s="2">
        <v>31</v>
      </c>
      <c r="B49" s="19">
        <f t="shared" si="1"/>
        <v>33392</v>
      </c>
      <c r="C49" s="2">
        <v>1040</v>
      </c>
      <c r="D49" s="23">
        <v>3500</v>
      </c>
      <c r="E49" s="4">
        <v>536</v>
      </c>
      <c r="F49" s="4">
        <v>187</v>
      </c>
      <c r="G49" s="4">
        <v>202</v>
      </c>
      <c r="H49" s="4">
        <v>1784</v>
      </c>
      <c r="I49" s="4">
        <v>369</v>
      </c>
      <c r="J49" s="4">
        <v>177.4</v>
      </c>
      <c r="K49" s="4">
        <v>342.5</v>
      </c>
      <c r="L49" s="4">
        <v>528</v>
      </c>
      <c r="M49" s="4">
        <v>293</v>
      </c>
      <c r="N49" s="4">
        <v>59</v>
      </c>
      <c r="O49" s="4">
        <v>76</v>
      </c>
      <c r="P49" s="4">
        <v>222</v>
      </c>
      <c r="Q49" s="4">
        <v>162</v>
      </c>
      <c r="U49" s="2" t="s">
        <v>1485</v>
      </c>
    </row>
    <row r="50" spans="1:21" x14ac:dyDescent="0.2">
      <c r="A50" s="2">
        <v>32</v>
      </c>
      <c r="B50" s="19">
        <f t="shared" si="1"/>
        <v>33392</v>
      </c>
      <c r="C50" s="2">
        <v>1101</v>
      </c>
      <c r="D50" s="23">
        <v>3500</v>
      </c>
      <c r="E50" s="4">
        <v>534</v>
      </c>
      <c r="F50" s="4">
        <v>224</v>
      </c>
      <c r="G50" s="4">
        <v>246</v>
      </c>
      <c r="H50" s="4">
        <v>1802</v>
      </c>
      <c r="I50" s="4">
        <v>377</v>
      </c>
      <c r="J50" s="4">
        <v>249.5</v>
      </c>
      <c r="K50" s="4">
        <v>341.3</v>
      </c>
      <c r="L50" s="4">
        <v>608</v>
      </c>
      <c r="M50" s="4">
        <v>327</v>
      </c>
      <c r="N50" s="4">
        <v>62</v>
      </c>
      <c r="O50" s="4">
        <v>350</v>
      </c>
      <c r="P50" s="4">
        <v>226</v>
      </c>
      <c r="Q50" s="4">
        <v>159</v>
      </c>
    </row>
    <row r="51" spans="1:21" x14ac:dyDescent="0.2">
      <c r="A51" s="2">
        <v>33</v>
      </c>
      <c r="B51" s="19">
        <f t="shared" si="1"/>
        <v>33392</v>
      </c>
      <c r="C51" s="2">
        <v>1119</v>
      </c>
      <c r="D51" s="23">
        <v>3500</v>
      </c>
      <c r="E51" s="4">
        <v>516</v>
      </c>
      <c r="F51" s="4">
        <v>197</v>
      </c>
      <c r="G51" s="4">
        <v>218</v>
      </c>
      <c r="H51" s="4">
        <v>1794</v>
      </c>
      <c r="I51" s="4">
        <v>369</v>
      </c>
      <c r="J51" s="4">
        <v>189.8</v>
      </c>
      <c r="K51" s="4">
        <v>340.2</v>
      </c>
      <c r="L51" s="4">
        <v>545</v>
      </c>
      <c r="M51" s="4">
        <v>297</v>
      </c>
      <c r="N51" s="4">
        <v>61</v>
      </c>
      <c r="O51" s="4">
        <v>211</v>
      </c>
      <c r="P51" s="4">
        <v>228</v>
      </c>
      <c r="Q51" s="4">
        <v>164</v>
      </c>
    </row>
    <row r="52" spans="1:21" x14ac:dyDescent="0.2">
      <c r="A52" s="2">
        <v>34</v>
      </c>
      <c r="B52" s="19">
        <f t="shared" si="1"/>
        <v>33392</v>
      </c>
      <c r="C52" s="2">
        <v>1146</v>
      </c>
      <c r="D52" s="23">
        <v>3500</v>
      </c>
      <c r="E52" s="4">
        <v>533</v>
      </c>
      <c r="F52" s="4">
        <v>176</v>
      </c>
      <c r="G52" s="4">
        <v>194</v>
      </c>
      <c r="H52" s="4">
        <v>1787</v>
      </c>
      <c r="I52" s="4">
        <v>366</v>
      </c>
      <c r="J52" s="4">
        <v>191.3</v>
      </c>
      <c r="K52" s="4">
        <v>340.6</v>
      </c>
      <c r="L52" s="4">
        <v>532</v>
      </c>
      <c r="M52" s="4">
        <v>292</v>
      </c>
      <c r="N52" s="4">
        <v>60</v>
      </c>
      <c r="O52" s="4">
        <v>109</v>
      </c>
      <c r="P52" s="4">
        <v>219</v>
      </c>
      <c r="Q52" s="4">
        <v>163</v>
      </c>
    </row>
    <row r="53" spans="1:21" x14ac:dyDescent="0.2">
      <c r="A53" s="2">
        <v>35</v>
      </c>
      <c r="B53" s="19">
        <f t="shared" si="1"/>
        <v>33392</v>
      </c>
      <c r="C53" s="2">
        <v>1205</v>
      </c>
      <c r="D53" s="23">
        <v>3500</v>
      </c>
      <c r="E53" s="4">
        <v>578</v>
      </c>
      <c r="F53" s="4">
        <v>190</v>
      </c>
      <c r="G53" s="4">
        <v>209</v>
      </c>
      <c r="H53" s="4">
        <v>1805</v>
      </c>
      <c r="I53" s="4">
        <v>370</v>
      </c>
      <c r="J53" s="4">
        <v>260.39999999999998</v>
      </c>
      <c r="K53" s="4">
        <v>343.3</v>
      </c>
      <c r="L53" s="4">
        <v>588</v>
      </c>
      <c r="M53" s="4">
        <v>292</v>
      </c>
      <c r="N53" s="4">
        <v>63</v>
      </c>
      <c r="O53" s="4">
        <v>314</v>
      </c>
      <c r="P53" s="4">
        <v>232</v>
      </c>
      <c r="Q53" s="4">
        <v>166</v>
      </c>
      <c r="S53" s="2" t="s">
        <v>1486</v>
      </c>
    </row>
    <row r="54" spans="1:21" x14ac:dyDescent="0.2">
      <c r="A54" s="2">
        <v>36</v>
      </c>
      <c r="B54" s="19">
        <f t="shared" si="1"/>
        <v>33392</v>
      </c>
      <c r="C54" s="2">
        <v>1312</v>
      </c>
      <c r="D54" s="23"/>
      <c r="E54" s="4">
        <v>528</v>
      </c>
      <c r="F54" s="4">
        <v>71</v>
      </c>
      <c r="G54" s="4">
        <v>83</v>
      </c>
      <c r="H54" s="4">
        <v>1757</v>
      </c>
      <c r="I54" s="4">
        <v>358</v>
      </c>
      <c r="J54" s="4">
        <v>25.3</v>
      </c>
      <c r="K54" s="4">
        <v>342.9</v>
      </c>
      <c r="L54" s="4">
        <v>519</v>
      </c>
      <c r="M54" s="4">
        <v>286</v>
      </c>
      <c r="N54" s="4">
        <v>58</v>
      </c>
      <c r="O54" s="4">
        <v>92</v>
      </c>
      <c r="P54" s="4">
        <v>211</v>
      </c>
      <c r="Q54" s="4">
        <v>164</v>
      </c>
      <c r="S54" s="2">
        <v>8</v>
      </c>
      <c r="T54" s="2" t="s">
        <v>1487</v>
      </c>
      <c r="U54" s="2" t="s">
        <v>1488</v>
      </c>
    </row>
    <row r="55" spans="1:21" x14ac:dyDescent="0.2">
      <c r="A55" s="2" t="s">
        <v>1489</v>
      </c>
      <c r="D55" s="23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U55" s="2" t="s">
        <v>1490</v>
      </c>
    </row>
    <row r="56" spans="1:21" x14ac:dyDescent="0.2">
      <c r="A56" s="2">
        <v>37</v>
      </c>
      <c r="B56" s="19">
        <f>DATE(91,6,5)</f>
        <v>33394</v>
      </c>
      <c r="C56" s="2">
        <v>801</v>
      </c>
      <c r="D56" s="23">
        <v>2500</v>
      </c>
      <c r="E56" s="4"/>
      <c r="F56" s="4"/>
      <c r="G56" s="4">
        <v>277</v>
      </c>
      <c r="H56" s="4">
        <v>1813</v>
      </c>
      <c r="I56" s="4">
        <v>405</v>
      </c>
      <c r="J56" s="4">
        <v>315.39999999999998</v>
      </c>
      <c r="K56" s="4">
        <v>335.5</v>
      </c>
      <c r="L56" s="4">
        <v>1617</v>
      </c>
      <c r="M56" s="4">
        <v>432</v>
      </c>
      <c r="N56" s="4">
        <v>132</v>
      </c>
      <c r="O56" s="4">
        <v>326</v>
      </c>
      <c r="P56" s="4">
        <v>540</v>
      </c>
      <c r="Q56" s="4">
        <v>157</v>
      </c>
      <c r="U56" s="2" t="s">
        <v>1491</v>
      </c>
    </row>
    <row r="57" spans="1:21" x14ac:dyDescent="0.2">
      <c r="A57" s="2">
        <v>38</v>
      </c>
      <c r="B57" s="19">
        <f>DATE(91,6,5)</f>
        <v>33394</v>
      </c>
      <c r="C57" s="2">
        <v>818</v>
      </c>
      <c r="D57" s="23">
        <v>2700</v>
      </c>
      <c r="E57" s="4"/>
      <c r="F57" s="4"/>
      <c r="G57" s="4">
        <v>158</v>
      </c>
      <c r="H57" s="4">
        <v>1793</v>
      </c>
      <c r="I57" s="4">
        <v>366</v>
      </c>
      <c r="J57" s="4">
        <v>111.2</v>
      </c>
      <c r="K57" s="4">
        <v>340.5</v>
      </c>
      <c r="L57" s="4">
        <v>583</v>
      </c>
      <c r="M57" s="4">
        <v>336</v>
      </c>
      <c r="N57" s="4">
        <v>54</v>
      </c>
      <c r="O57" s="4">
        <v>77</v>
      </c>
      <c r="P57" s="4">
        <v>221</v>
      </c>
      <c r="Q57" s="4">
        <v>160</v>
      </c>
    </row>
    <row r="58" spans="1:21" x14ac:dyDescent="0.2">
      <c r="A58" s="2">
        <v>39</v>
      </c>
      <c r="B58" s="19">
        <f>DATE(91,6,5)</f>
        <v>33394</v>
      </c>
      <c r="C58" s="2">
        <v>830</v>
      </c>
      <c r="D58" s="23">
        <v>2700</v>
      </c>
      <c r="E58" s="4"/>
      <c r="F58" s="4"/>
      <c r="G58" s="4">
        <v>149</v>
      </c>
      <c r="H58" s="4">
        <v>1803</v>
      </c>
      <c r="I58" s="4">
        <v>363</v>
      </c>
      <c r="J58" s="4">
        <v>122.2</v>
      </c>
      <c r="K58" s="4">
        <v>340.6</v>
      </c>
      <c r="L58" s="4">
        <v>537</v>
      </c>
      <c r="M58" s="4">
        <v>306</v>
      </c>
      <c r="N58" s="4">
        <v>54</v>
      </c>
      <c r="O58" s="4">
        <v>49</v>
      </c>
      <c r="P58" s="4">
        <v>220</v>
      </c>
      <c r="Q58" s="4">
        <v>164</v>
      </c>
    </row>
    <row r="59" spans="1:21" x14ac:dyDescent="0.2">
      <c r="A59" s="2" t="s">
        <v>1492</v>
      </c>
      <c r="B59" s="19"/>
      <c r="D59" s="23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S59" s="2">
        <v>9</v>
      </c>
      <c r="T59" s="2" t="s">
        <v>1493</v>
      </c>
      <c r="U59" s="2" t="s">
        <v>1494</v>
      </c>
    </row>
    <row r="60" spans="1:21" x14ac:dyDescent="0.2">
      <c r="A60" s="2">
        <v>40</v>
      </c>
      <c r="B60" s="19">
        <f t="shared" ref="B60:B69" si="2">DATE(91,6,8)</f>
        <v>33397</v>
      </c>
      <c r="C60" s="2">
        <v>413</v>
      </c>
      <c r="D60" s="23"/>
      <c r="E60" s="4"/>
      <c r="F60" s="4"/>
      <c r="G60" s="4">
        <v>280</v>
      </c>
      <c r="H60" s="4">
        <v>1780</v>
      </c>
      <c r="I60" s="4">
        <v>390</v>
      </c>
      <c r="J60" s="4">
        <v>107.9</v>
      </c>
      <c r="K60" s="4">
        <v>341.1</v>
      </c>
      <c r="L60" s="4">
        <v>556</v>
      </c>
      <c r="M60" s="4">
        <v>308</v>
      </c>
      <c r="N60" s="4">
        <v>73</v>
      </c>
      <c r="O60" s="4">
        <v>93</v>
      </c>
      <c r="P60" s="4">
        <v>220</v>
      </c>
      <c r="Q60" s="4">
        <v>161</v>
      </c>
      <c r="U60" s="2" t="s">
        <v>1495</v>
      </c>
    </row>
    <row r="61" spans="1:21" x14ac:dyDescent="0.2">
      <c r="A61" s="2">
        <v>41</v>
      </c>
      <c r="B61" s="19">
        <f t="shared" si="2"/>
        <v>33397</v>
      </c>
      <c r="C61" s="2">
        <v>424</v>
      </c>
      <c r="D61" s="23"/>
      <c r="E61" s="4"/>
      <c r="F61" s="4"/>
      <c r="G61" s="4">
        <v>255</v>
      </c>
      <c r="H61" s="4">
        <v>1781</v>
      </c>
      <c r="I61" s="4">
        <v>388</v>
      </c>
      <c r="J61" s="4">
        <v>140.19999999999999</v>
      </c>
      <c r="K61" s="4"/>
      <c r="L61" s="4"/>
      <c r="M61" s="4"/>
      <c r="N61" s="4"/>
      <c r="O61" s="4"/>
      <c r="P61" s="4"/>
      <c r="Q61" s="4"/>
      <c r="U61" s="2" t="s">
        <v>1496</v>
      </c>
    </row>
    <row r="62" spans="1:21" x14ac:dyDescent="0.2">
      <c r="A62" s="2">
        <v>42</v>
      </c>
      <c r="B62" s="19">
        <f t="shared" si="2"/>
        <v>33397</v>
      </c>
      <c r="C62" s="2">
        <v>445</v>
      </c>
      <c r="D62" s="23"/>
      <c r="E62" s="4"/>
      <c r="F62" s="4"/>
      <c r="G62" s="4">
        <v>350</v>
      </c>
      <c r="H62" s="4">
        <v>1786</v>
      </c>
      <c r="I62" s="4">
        <v>423</v>
      </c>
      <c r="J62" s="4">
        <v>162.69999999999999</v>
      </c>
      <c r="K62" s="4">
        <v>341.2</v>
      </c>
      <c r="L62" s="4">
        <v>538</v>
      </c>
      <c r="M62" s="4">
        <v>293</v>
      </c>
      <c r="N62" s="4">
        <v>58</v>
      </c>
      <c r="O62" s="4">
        <v>138</v>
      </c>
      <c r="P62" s="4">
        <v>222</v>
      </c>
      <c r="Q62" s="4">
        <v>160</v>
      </c>
    </row>
    <row r="63" spans="1:21" x14ac:dyDescent="0.2">
      <c r="A63" s="2">
        <v>43</v>
      </c>
      <c r="B63" s="19">
        <f t="shared" si="2"/>
        <v>33397</v>
      </c>
      <c r="C63" s="2">
        <v>457</v>
      </c>
      <c r="D63" s="23"/>
      <c r="E63" s="4"/>
      <c r="F63" s="4"/>
      <c r="G63" s="4">
        <v>565</v>
      </c>
      <c r="H63" s="4">
        <v>1791</v>
      </c>
      <c r="I63" s="4">
        <v>416</v>
      </c>
      <c r="J63" s="4">
        <v>244.3</v>
      </c>
      <c r="K63" s="4"/>
      <c r="L63" s="4"/>
      <c r="M63" s="4"/>
      <c r="N63" s="4"/>
      <c r="O63" s="4"/>
      <c r="P63" s="4"/>
      <c r="Q63" s="4"/>
    </row>
    <row r="64" spans="1:21" x14ac:dyDescent="0.2">
      <c r="A64" s="2">
        <v>44</v>
      </c>
      <c r="B64" s="19">
        <f t="shared" si="2"/>
        <v>33397</v>
      </c>
      <c r="C64" s="2">
        <v>524</v>
      </c>
      <c r="D64" s="23">
        <v>3000</v>
      </c>
      <c r="E64" s="4"/>
      <c r="F64" s="4"/>
      <c r="G64" s="4">
        <v>282</v>
      </c>
      <c r="H64" s="4">
        <v>1807</v>
      </c>
      <c r="I64" s="4">
        <v>388</v>
      </c>
      <c r="J64" s="4">
        <v>213.9</v>
      </c>
      <c r="K64" s="4">
        <v>344.9</v>
      </c>
      <c r="L64" s="4">
        <v>545</v>
      </c>
      <c r="M64" s="4">
        <v>295</v>
      </c>
      <c r="N64" s="4">
        <v>60</v>
      </c>
      <c r="O64" s="4">
        <v>191</v>
      </c>
      <c r="P64" s="4">
        <v>221</v>
      </c>
      <c r="Q64" s="4">
        <v>161</v>
      </c>
      <c r="S64" s="2">
        <v>10</v>
      </c>
      <c r="T64" s="2" t="s">
        <v>1497</v>
      </c>
      <c r="U64" s="2" t="s">
        <v>1498</v>
      </c>
    </row>
    <row r="65" spans="1:21" x14ac:dyDescent="0.2">
      <c r="A65" s="2">
        <v>45</v>
      </c>
      <c r="B65" s="19">
        <f t="shared" si="2"/>
        <v>33397</v>
      </c>
      <c r="C65" s="2">
        <v>553</v>
      </c>
      <c r="D65" s="23">
        <v>2500</v>
      </c>
      <c r="E65" s="4">
        <v>1037</v>
      </c>
      <c r="F65" s="4">
        <v>193</v>
      </c>
      <c r="G65" s="4">
        <v>217</v>
      </c>
      <c r="H65" s="4">
        <v>1793</v>
      </c>
      <c r="I65" s="4">
        <v>384</v>
      </c>
      <c r="J65" s="4">
        <v>158.4</v>
      </c>
      <c r="K65" s="4">
        <v>341.7</v>
      </c>
      <c r="L65" s="4">
        <v>560</v>
      </c>
      <c r="M65" s="4">
        <v>286</v>
      </c>
      <c r="N65" s="4">
        <v>58</v>
      </c>
      <c r="O65" s="4">
        <v>74</v>
      </c>
      <c r="P65" s="4">
        <v>221</v>
      </c>
      <c r="Q65" s="4">
        <v>162</v>
      </c>
      <c r="U65" s="2" t="s">
        <v>1499</v>
      </c>
    </row>
    <row r="66" spans="1:21" x14ac:dyDescent="0.2">
      <c r="A66" s="2">
        <v>46</v>
      </c>
      <c r="B66" s="19">
        <f t="shared" si="2"/>
        <v>33397</v>
      </c>
      <c r="C66" s="2">
        <v>620</v>
      </c>
      <c r="D66" s="23">
        <v>2000</v>
      </c>
      <c r="E66" s="4">
        <v>1017</v>
      </c>
      <c r="F66" s="4">
        <v>141</v>
      </c>
      <c r="G66" s="4">
        <v>158</v>
      </c>
      <c r="H66" s="4">
        <v>1771</v>
      </c>
      <c r="I66" s="4">
        <v>368</v>
      </c>
      <c r="J66" s="4">
        <v>106.9</v>
      </c>
      <c r="K66" s="4">
        <v>341.2</v>
      </c>
      <c r="L66" s="4">
        <v>555</v>
      </c>
      <c r="M66" s="4">
        <v>288</v>
      </c>
      <c r="N66" s="4">
        <v>56</v>
      </c>
      <c r="O66" s="4">
        <v>89</v>
      </c>
      <c r="P66" s="4">
        <v>223</v>
      </c>
      <c r="Q66" s="4">
        <v>161</v>
      </c>
    </row>
    <row r="67" spans="1:21" x14ac:dyDescent="0.2">
      <c r="A67" s="2">
        <v>47</v>
      </c>
      <c r="B67" s="19">
        <f t="shared" si="2"/>
        <v>33397</v>
      </c>
      <c r="C67" s="2">
        <v>637</v>
      </c>
      <c r="D67" s="23">
        <v>2000</v>
      </c>
      <c r="E67" s="4">
        <v>856</v>
      </c>
      <c r="F67" s="4">
        <v>139</v>
      </c>
      <c r="G67" s="4">
        <v>157</v>
      </c>
      <c r="H67" s="4">
        <v>1775</v>
      </c>
      <c r="I67" s="4">
        <v>368</v>
      </c>
      <c r="J67" s="4">
        <v>78.7</v>
      </c>
      <c r="K67" s="4">
        <v>342</v>
      </c>
      <c r="L67" s="4">
        <v>538</v>
      </c>
      <c r="M67" s="4">
        <v>286</v>
      </c>
      <c r="N67" s="4">
        <v>55</v>
      </c>
      <c r="O67" s="4">
        <v>41</v>
      </c>
      <c r="P67" s="4">
        <v>220</v>
      </c>
      <c r="Q67" s="4">
        <v>161</v>
      </c>
    </row>
    <row r="68" spans="1:21" x14ac:dyDescent="0.2">
      <c r="A68" s="2">
        <v>48</v>
      </c>
      <c r="B68" s="19">
        <f t="shared" si="2"/>
        <v>33397</v>
      </c>
      <c r="C68" s="2">
        <v>717</v>
      </c>
      <c r="D68" s="23"/>
      <c r="E68" s="4">
        <v>875</v>
      </c>
      <c r="F68" s="4">
        <v>80</v>
      </c>
      <c r="G68" s="4">
        <v>94</v>
      </c>
      <c r="H68" s="4">
        <v>1759</v>
      </c>
      <c r="I68" s="4">
        <v>361</v>
      </c>
      <c r="J68" s="4">
        <v>45.4</v>
      </c>
      <c r="K68" s="4">
        <v>338.6</v>
      </c>
      <c r="L68" s="4">
        <v>688</v>
      </c>
      <c r="M68" s="4">
        <v>308</v>
      </c>
      <c r="N68" s="4">
        <v>77</v>
      </c>
      <c r="O68" s="4">
        <v>265</v>
      </c>
      <c r="P68" s="4">
        <v>226</v>
      </c>
      <c r="Q68" s="4">
        <v>162</v>
      </c>
    </row>
    <row r="69" spans="1:21" x14ac:dyDescent="0.2">
      <c r="A69" s="2">
        <v>49</v>
      </c>
      <c r="B69" s="19">
        <f t="shared" si="2"/>
        <v>33397</v>
      </c>
      <c r="C69" s="2">
        <v>736</v>
      </c>
      <c r="D69" s="23"/>
      <c r="E69" s="4">
        <v>771</v>
      </c>
      <c r="F69" s="4">
        <v>84</v>
      </c>
      <c r="G69" s="4">
        <v>98</v>
      </c>
      <c r="H69" s="4">
        <v>1755</v>
      </c>
      <c r="I69" s="4">
        <v>359</v>
      </c>
      <c r="J69" s="4">
        <v>37.700000000000003</v>
      </c>
      <c r="K69" s="4">
        <v>340.9</v>
      </c>
      <c r="L69" s="4">
        <v>522</v>
      </c>
      <c r="M69" s="4">
        <v>288</v>
      </c>
      <c r="N69" s="4">
        <v>60</v>
      </c>
      <c r="O69" s="4">
        <v>102</v>
      </c>
      <c r="P69" s="4">
        <v>217</v>
      </c>
      <c r="Q69" s="4">
        <v>163</v>
      </c>
      <c r="S69" s="2" t="s">
        <v>1462</v>
      </c>
    </row>
    <row r="70" spans="1:21" x14ac:dyDescent="0.2">
      <c r="A70" s="2" t="s">
        <v>1500</v>
      </c>
      <c r="D70" s="23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S70" s="2">
        <v>11</v>
      </c>
      <c r="T70" s="2" t="s">
        <v>1501</v>
      </c>
      <c r="U70" s="2" t="s">
        <v>1502</v>
      </c>
    </row>
    <row r="71" spans="1:21" x14ac:dyDescent="0.2">
      <c r="A71" s="2">
        <v>50</v>
      </c>
      <c r="B71" s="19">
        <f t="shared" ref="B71:B77" si="3">DATE(91,6,9)</f>
        <v>33398</v>
      </c>
      <c r="C71" s="2">
        <v>635</v>
      </c>
      <c r="D71" s="23">
        <v>1000</v>
      </c>
      <c r="E71" s="4"/>
      <c r="F71" s="4"/>
      <c r="G71" s="4">
        <v>115</v>
      </c>
      <c r="H71" s="4">
        <v>1778</v>
      </c>
      <c r="I71" s="4">
        <v>371</v>
      </c>
      <c r="J71" s="4">
        <v>34.9</v>
      </c>
      <c r="K71" s="4">
        <v>342.5</v>
      </c>
      <c r="L71" s="4">
        <v>528</v>
      </c>
      <c r="M71" s="4">
        <v>288</v>
      </c>
      <c r="N71" s="4">
        <v>60</v>
      </c>
      <c r="O71" s="4">
        <v>99</v>
      </c>
      <c r="P71" s="4">
        <v>218</v>
      </c>
      <c r="Q71" s="4">
        <v>162</v>
      </c>
      <c r="U71" s="2" t="s">
        <v>1503</v>
      </c>
    </row>
    <row r="72" spans="1:21" x14ac:dyDescent="0.2">
      <c r="A72" s="2">
        <v>51</v>
      </c>
      <c r="B72" s="19">
        <f t="shared" si="3"/>
        <v>33398</v>
      </c>
      <c r="C72" s="2">
        <v>645</v>
      </c>
      <c r="D72" s="23">
        <v>1000</v>
      </c>
      <c r="E72" s="4">
        <v>537</v>
      </c>
      <c r="F72" s="4">
        <v>116</v>
      </c>
      <c r="G72" s="4">
        <v>130</v>
      </c>
      <c r="H72" s="4">
        <v>1776</v>
      </c>
      <c r="I72" s="4">
        <v>383</v>
      </c>
      <c r="J72" s="4">
        <v>47.9</v>
      </c>
      <c r="K72" s="4">
        <v>340.8</v>
      </c>
      <c r="L72" s="4">
        <v>524</v>
      </c>
      <c r="M72" s="4">
        <v>287</v>
      </c>
      <c r="N72" s="4">
        <v>55</v>
      </c>
      <c r="O72" s="4">
        <v>66</v>
      </c>
      <c r="P72" s="4">
        <v>225</v>
      </c>
      <c r="Q72" s="4">
        <v>163</v>
      </c>
      <c r="U72" s="2" t="s">
        <v>1504</v>
      </c>
    </row>
    <row r="73" spans="1:21" x14ac:dyDescent="0.2">
      <c r="A73" s="2">
        <v>52</v>
      </c>
      <c r="B73" s="19">
        <f t="shared" si="3"/>
        <v>33398</v>
      </c>
      <c r="C73" s="2">
        <v>710</v>
      </c>
      <c r="D73" s="23">
        <v>1000</v>
      </c>
      <c r="E73" s="4"/>
      <c r="F73" s="4"/>
      <c r="G73" s="4">
        <v>198</v>
      </c>
      <c r="H73" s="4">
        <v>1784</v>
      </c>
      <c r="I73" s="4">
        <v>376</v>
      </c>
      <c r="J73" s="4">
        <v>151.4</v>
      </c>
      <c r="K73" s="4">
        <v>341.6</v>
      </c>
      <c r="L73" s="4">
        <v>525</v>
      </c>
      <c r="M73" s="4">
        <v>291</v>
      </c>
      <c r="N73" s="4">
        <v>61</v>
      </c>
      <c r="O73" s="4">
        <v>56</v>
      </c>
      <c r="P73" s="4">
        <v>224</v>
      </c>
      <c r="Q73" s="4">
        <v>163</v>
      </c>
      <c r="U73" s="2" t="s">
        <v>1505</v>
      </c>
    </row>
    <row r="74" spans="1:21" x14ac:dyDescent="0.2">
      <c r="A74" s="2">
        <v>53</v>
      </c>
      <c r="B74" s="19">
        <f t="shared" si="3"/>
        <v>33398</v>
      </c>
      <c r="C74" s="2">
        <v>723</v>
      </c>
      <c r="D74" s="23">
        <v>1000</v>
      </c>
      <c r="E74" s="4">
        <v>546</v>
      </c>
      <c r="F74" s="4">
        <v>207</v>
      </c>
      <c r="G74" s="4">
        <v>208</v>
      </c>
      <c r="H74" s="4">
        <v>1789</v>
      </c>
      <c r="I74" s="4">
        <v>396</v>
      </c>
      <c r="J74" s="4">
        <v>406.2</v>
      </c>
      <c r="K74" s="4"/>
      <c r="L74" s="4"/>
      <c r="M74" s="4"/>
      <c r="N74" s="4"/>
      <c r="O74" s="4"/>
      <c r="P74" s="4"/>
      <c r="Q74" s="4"/>
    </row>
    <row r="75" spans="1:21" x14ac:dyDescent="0.2">
      <c r="A75" s="2">
        <v>54</v>
      </c>
      <c r="B75" s="19">
        <f t="shared" si="3"/>
        <v>33398</v>
      </c>
      <c r="C75" s="2">
        <v>747</v>
      </c>
      <c r="D75" s="23">
        <v>1000</v>
      </c>
      <c r="E75" s="4">
        <v>568</v>
      </c>
      <c r="F75" s="4">
        <v>363</v>
      </c>
      <c r="G75" s="4">
        <v>380</v>
      </c>
      <c r="H75" s="4">
        <v>1790</v>
      </c>
      <c r="I75" s="4">
        <v>376</v>
      </c>
      <c r="J75" s="4">
        <v>637.20000000000005</v>
      </c>
      <c r="K75" s="4">
        <v>338.5</v>
      </c>
      <c r="L75" s="4">
        <v>639</v>
      </c>
      <c r="M75" s="4">
        <v>308</v>
      </c>
      <c r="N75" s="4">
        <v>67</v>
      </c>
      <c r="O75" s="4">
        <v>133</v>
      </c>
      <c r="P75" s="4">
        <v>288</v>
      </c>
      <c r="Q75" s="4">
        <v>159</v>
      </c>
      <c r="S75" s="2">
        <v>12</v>
      </c>
      <c r="T75" s="2" t="s">
        <v>1506</v>
      </c>
      <c r="U75" s="2" t="s">
        <v>1507</v>
      </c>
    </row>
    <row r="76" spans="1:21" x14ac:dyDescent="0.2">
      <c r="A76" s="2">
        <v>55</v>
      </c>
      <c r="B76" s="19">
        <f t="shared" si="3"/>
        <v>33398</v>
      </c>
      <c r="C76" s="2">
        <v>759</v>
      </c>
      <c r="D76" s="23">
        <v>5000</v>
      </c>
      <c r="E76" s="4">
        <v>575</v>
      </c>
      <c r="F76" s="4">
        <v>440</v>
      </c>
      <c r="G76" s="4">
        <v>461</v>
      </c>
      <c r="H76" s="4">
        <v>1784</v>
      </c>
      <c r="I76" s="4">
        <v>404</v>
      </c>
      <c r="J76" s="4">
        <v>347.4</v>
      </c>
      <c r="K76" s="4">
        <v>342.4</v>
      </c>
      <c r="L76" s="4">
        <v>542</v>
      </c>
      <c r="M76" s="4">
        <v>291</v>
      </c>
      <c r="N76" s="4">
        <v>62</v>
      </c>
      <c r="O76" s="4">
        <v>106</v>
      </c>
      <c r="P76" s="4">
        <v>228</v>
      </c>
      <c r="Q76" s="4">
        <v>161</v>
      </c>
      <c r="U76" s="2" t="s">
        <v>1508</v>
      </c>
    </row>
    <row r="77" spans="1:21" x14ac:dyDescent="0.2">
      <c r="A77" s="2">
        <v>56</v>
      </c>
      <c r="B77" s="19">
        <f t="shared" si="3"/>
        <v>33398</v>
      </c>
      <c r="C77" s="2">
        <v>816</v>
      </c>
      <c r="D77" s="23">
        <v>5000</v>
      </c>
      <c r="E77" s="4">
        <v>546</v>
      </c>
      <c r="F77" s="4">
        <v>184</v>
      </c>
      <c r="G77" s="4">
        <v>197</v>
      </c>
      <c r="H77" s="4">
        <v>1786</v>
      </c>
      <c r="I77" s="4">
        <v>373</v>
      </c>
      <c r="J77" s="4">
        <v>116</v>
      </c>
      <c r="K77" s="4">
        <v>343</v>
      </c>
      <c r="L77" s="4">
        <v>541</v>
      </c>
      <c r="M77" s="4">
        <v>291</v>
      </c>
      <c r="N77" s="4">
        <v>62</v>
      </c>
      <c r="O77" s="4">
        <v>96</v>
      </c>
      <c r="P77" s="4">
        <v>227</v>
      </c>
      <c r="Q77" s="4">
        <v>165</v>
      </c>
      <c r="U77" s="2" t="s">
        <v>1509</v>
      </c>
    </row>
    <row r="78" spans="1:21" x14ac:dyDescent="0.2">
      <c r="A78" s="2" t="s">
        <v>1510</v>
      </c>
      <c r="D78" s="23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U78" s="2" t="s">
        <v>1511</v>
      </c>
    </row>
    <row r="79" spans="1:21" x14ac:dyDescent="0.2">
      <c r="A79" s="2">
        <v>57</v>
      </c>
      <c r="B79" s="19">
        <f t="shared" ref="B79:B87" si="4">DATE(91,6,11)</f>
        <v>33400</v>
      </c>
      <c r="C79" s="2">
        <v>927</v>
      </c>
      <c r="D79" s="23">
        <v>4500</v>
      </c>
      <c r="E79" s="4"/>
      <c r="F79" s="4"/>
      <c r="G79" s="4">
        <v>118</v>
      </c>
      <c r="H79" s="4">
        <v>1778</v>
      </c>
      <c r="I79" s="4">
        <v>362</v>
      </c>
      <c r="J79" s="4">
        <v>50.7</v>
      </c>
      <c r="K79" s="4">
        <v>340.8</v>
      </c>
      <c r="L79" s="4">
        <v>531</v>
      </c>
      <c r="M79" s="4">
        <v>288</v>
      </c>
      <c r="N79" s="4">
        <v>56</v>
      </c>
      <c r="O79" s="4">
        <v>24</v>
      </c>
      <c r="P79" s="4">
        <v>220</v>
      </c>
      <c r="Q79" s="4">
        <v>160</v>
      </c>
    </row>
    <row r="80" spans="1:21" x14ac:dyDescent="0.2">
      <c r="A80" s="2">
        <v>58</v>
      </c>
      <c r="B80" s="19">
        <f t="shared" si="4"/>
        <v>33400</v>
      </c>
      <c r="C80" s="2">
        <v>540</v>
      </c>
      <c r="D80" s="23"/>
      <c r="E80" s="4"/>
      <c r="F80" s="4"/>
      <c r="G80" s="4">
        <v>105</v>
      </c>
      <c r="H80" s="4">
        <v>1769</v>
      </c>
      <c r="I80" s="4">
        <v>360</v>
      </c>
      <c r="J80" s="4">
        <v>72.099999999999994</v>
      </c>
      <c r="K80" s="4">
        <v>340</v>
      </c>
      <c r="L80" s="4">
        <v>529</v>
      </c>
      <c r="M80" s="4">
        <v>309</v>
      </c>
      <c r="N80" s="4">
        <v>60</v>
      </c>
      <c r="O80" s="4">
        <v>178</v>
      </c>
      <c r="P80" s="4">
        <v>221</v>
      </c>
      <c r="Q80" s="4">
        <v>161</v>
      </c>
    </row>
    <row r="81" spans="1:21" x14ac:dyDescent="0.2">
      <c r="A81" s="2">
        <v>59</v>
      </c>
      <c r="B81" s="19">
        <f t="shared" si="4"/>
        <v>33400</v>
      </c>
      <c r="C81" s="2">
        <v>601</v>
      </c>
      <c r="D81" s="23">
        <v>4000</v>
      </c>
      <c r="E81" s="4"/>
      <c r="F81" s="4"/>
      <c r="G81" s="4">
        <v>252</v>
      </c>
      <c r="H81" s="4">
        <v>1787</v>
      </c>
      <c r="I81" s="4">
        <v>379</v>
      </c>
      <c r="J81" s="4">
        <v>166</v>
      </c>
      <c r="K81" s="4">
        <v>342.8</v>
      </c>
      <c r="L81" s="4">
        <v>527</v>
      </c>
      <c r="M81" s="4">
        <v>294</v>
      </c>
      <c r="N81" s="4">
        <v>60</v>
      </c>
      <c r="O81" s="4">
        <v>82</v>
      </c>
      <c r="P81" s="4">
        <v>225</v>
      </c>
      <c r="Q81" s="4">
        <v>162</v>
      </c>
    </row>
    <row r="82" spans="1:21" x14ac:dyDescent="0.2">
      <c r="A82" s="2">
        <v>60</v>
      </c>
      <c r="B82" s="19">
        <f t="shared" si="4"/>
        <v>33400</v>
      </c>
      <c r="C82" s="2">
        <v>621</v>
      </c>
      <c r="D82" s="23">
        <v>4500</v>
      </c>
      <c r="E82" s="4"/>
      <c r="F82" s="4"/>
      <c r="G82" s="4">
        <v>288</v>
      </c>
      <c r="H82" s="4">
        <v>1781</v>
      </c>
      <c r="I82" s="4">
        <v>380</v>
      </c>
      <c r="J82" s="4">
        <v>160.6</v>
      </c>
      <c r="K82" s="4">
        <v>343.9</v>
      </c>
      <c r="L82" s="4">
        <v>537</v>
      </c>
      <c r="M82" s="4">
        <v>328</v>
      </c>
      <c r="N82" s="4">
        <v>61</v>
      </c>
      <c r="O82" s="4">
        <v>91</v>
      </c>
      <c r="P82" s="4">
        <v>228</v>
      </c>
      <c r="Q82" s="4">
        <v>159</v>
      </c>
      <c r="S82" s="2">
        <v>13</v>
      </c>
      <c r="T82" s="2" t="s">
        <v>1512</v>
      </c>
      <c r="U82" s="2" t="s">
        <v>1507</v>
      </c>
    </row>
    <row r="83" spans="1:21" x14ac:dyDescent="0.2">
      <c r="A83" s="2">
        <v>61</v>
      </c>
      <c r="B83" s="19">
        <f t="shared" si="4"/>
        <v>33400</v>
      </c>
      <c r="C83" s="2">
        <v>640</v>
      </c>
      <c r="D83" s="23">
        <v>4500</v>
      </c>
      <c r="E83" s="4"/>
      <c r="F83" s="4"/>
      <c r="G83" s="4">
        <v>377</v>
      </c>
      <c r="H83" s="4">
        <v>1822</v>
      </c>
      <c r="I83" s="4">
        <v>392</v>
      </c>
      <c r="J83" s="4">
        <v>355.7</v>
      </c>
      <c r="K83" s="4">
        <v>339.4</v>
      </c>
      <c r="L83" s="4">
        <v>536</v>
      </c>
      <c r="M83" s="4">
        <v>373</v>
      </c>
      <c r="N83" s="4">
        <v>60</v>
      </c>
      <c r="O83" s="4">
        <v>89</v>
      </c>
      <c r="P83" s="4">
        <v>224</v>
      </c>
      <c r="Q83" s="4">
        <v>158</v>
      </c>
      <c r="U83" s="2" t="s">
        <v>1508</v>
      </c>
    </row>
    <row r="84" spans="1:21" x14ac:dyDescent="0.2">
      <c r="A84" s="2">
        <v>62</v>
      </c>
      <c r="B84" s="19">
        <f t="shared" si="4"/>
        <v>33400</v>
      </c>
      <c r="C84" s="2">
        <v>704</v>
      </c>
      <c r="D84" s="23">
        <v>4500</v>
      </c>
      <c r="E84" s="4">
        <v>545</v>
      </c>
      <c r="F84" s="4">
        <v>221</v>
      </c>
      <c r="G84" s="4">
        <v>238</v>
      </c>
      <c r="H84" s="4">
        <v>1787</v>
      </c>
      <c r="I84" s="4">
        <v>375</v>
      </c>
      <c r="J84" s="4">
        <v>181.7</v>
      </c>
      <c r="K84" s="4">
        <v>341</v>
      </c>
      <c r="L84" s="4">
        <v>538</v>
      </c>
      <c r="M84" s="4">
        <v>356</v>
      </c>
      <c r="N84" s="4">
        <v>59</v>
      </c>
      <c r="O84" s="4">
        <v>92</v>
      </c>
      <c r="P84" s="4">
        <v>223</v>
      </c>
      <c r="Q84" s="4">
        <v>156</v>
      </c>
      <c r="U84" s="2" t="s">
        <v>1513</v>
      </c>
    </row>
    <row r="85" spans="1:21" x14ac:dyDescent="0.2">
      <c r="A85" s="2">
        <v>63</v>
      </c>
      <c r="B85" s="19">
        <f t="shared" si="4"/>
        <v>33400</v>
      </c>
      <c r="C85" s="2">
        <v>729</v>
      </c>
      <c r="D85" s="23">
        <v>4500</v>
      </c>
      <c r="E85" s="4">
        <v>537</v>
      </c>
      <c r="F85" s="4">
        <v>163</v>
      </c>
      <c r="G85" s="4">
        <v>182</v>
      </c>
      <c r="H85" s="4">
        <v>1785</v>
      </c>
      <c r="I85" s="4">
        <v>370</v>
      </c>
      <c r="J85" s="4">
        <v>131.5</v>
      </c>
      <c r="K85" s="4">
        <v>342.9</v>
      </c>
      <c r="L85" s="4">
        <v>530</v>
      </c>
      <c r="M85" s="4">
        <v>305</v>
      </c>
      <c r="N85" s="4">
        <v>60</v>
      </c>
      <c r="O85" s="4">
        <v>76</v>
      </c>
      <c r="P85" s="4">
        <v>223</v>
      </c>
      <c r="Q85" s="4">
        <v>163</v>
      </c>
      <c r="U85" s="2" t="s">
        <v>1514</v>
      </c>
    </row>
    <row r="86" spans="1:21" x14ac:dyDescent="0.2">
      <c r="A86" s="2">
        <v>64</v>
      </c>
      <c r="B86" s="19">
        <f t="shared" si="4"/>
        <v>33400</v>
      </c>
      <c r="C86" s="2">
        <v>806</v>
      </c>
      <c r="D86" s="23">
        <v>4500</v>
      </c>
      <c r="E86" s="4">
        <v>820</v>
      </c>
      <c r="F86" s="4">
        <v>175</v>
      </c>
      <c r="G86" s="4">
        <v>192</v>
      </c>
      <c r="H86" s="4">
        <v>1860</v>
      </c>
      <c r="I86" s="4">
        <v>374</v>
      </c>
      <c r="J86" s="4">
        <v>318.39999999999998</v>
      </c>
      <c r="K86" s="4">
        <v>344.2</v>
      </c>
      <c r="L86" s="4">
        <v>534</v>
      </c>
      <c r="M86" s="4">
        <v>288</v>
      </c>
      <c r="N86" s="4">
        <v>61</v>
      </c>
      <c r="O86" s="4">
        <v>98</v>
      </c>
      <c r="P86" s="4">
        <v>226</v>
      </c>
      <c r="Q86" s="4">
        <v>161</v>
      </c>
    </row>
    <row r="87" spans="1:21" x14ac:dyDescent="0.2">
      <c r="A87" s="2">
        <v>65</v>
      </c>
      <c r="B87" s="19">
        <f t="shared" si="4"/>
        <v>33400</v>
      </c>
      <c r="C87" s="2">
        <v>840</v>
      </c>
      <c r="D87" s="23">
        <v>4500</v>
      </c>
      <c r="E87" s="4">
        <v>583</v>
      </c>
      <c r="F87" s="4">
        <v>117</v>
      </c>
      <c r="G87" s="4">
        <v>132</v>
      </c>
      <c r="H87" s="4">
        <v>1783</v>
      </c>
      <c r="I87" s="4">
        <v>364</v>
      </c>
      <c r="J87" s="4">
        <v>48.8</v>
      </c>
      <c r="K87" s="4">
        <v>341.9</v>
      </c>
      <c r="L87" s="4">
        <v>644</v>
      </c>
      <c r="M87" s="4">
        <v>290</v>
      </c>
      <c r="N87" s="4">
        <v>66</v>
      </c>
      <c r="O87" s="4">
        <v>192</v>
      </c>
      <c r="P87" s="4">
        <v>232</v>
      </c>
      <c r="Q87" s="4">
        <v>160</v>
      </c>
      <c r="S87" s="2">
        <v>14</v>
      </c>
      <c r="T87" s="2" t="s">
        <v>1515</v>
      </c>
      <c r="U87" s="2" t="s">
        <v>1507</v>
      </c>
    </row>
    <row r="88" spans="1:21" x14ac:dyDescent="0.2">
      <c r="A88" s="2" t="s">
        <v>1516</v>
      </c>
      <c r="B88" s="19"/>
      <c r="D88" s="23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U88" s="2" t="s">
        <v>1508</v>
      </c>
    </row>
    <row r="89" spans="1:21" x14ac:dyDescent="0.2">
      <c r="A89" s="2">
        <v>69</v>
      </c>
      <c r="B89" s="19">
        <f t="shared" ref="B89:B96" si="5">DATE(91,6,12)</f>
        <v>33401</v>
      </c>
      <c r="C89" s="2">
        <v>536</v>
      </c>
      <c r="D89" s="23">
        <v>6500</v>
      </c>
      <c r="E89" s="4"/>
      <c r="F89" s="4"/>
      <c r="G89" s="4">
        <v>287</v>
      </c>
      <c r="H89" s="4">
        <v>1798</v>
      </c>
      <c r="I89" s="4">
        <v>388</v>
      </c>
      <c r="J89" s="4">
        <v>220.7</v>
      </c>
      <c r="K89" s="4">
        <v>342.3</v>
      </c>
      <c r="L89" s="4">
        <v>529</v>
      </c>
      <c r="M89" s="4">
        <v>302</v>
      </c>
      <c r="N89" s="4">
        <v>54</v>
      </c>
      <c r="O89" s="4">
        <v>24</v>
      </c>
      <c r="P89" s="4">
        <v>226</v>
      </c>
      <c r="Q89" s="4">
        <v>160</v>
      </c>
      <c r="U89" s="2" t="s">
        <v>1517</v>
      </c>
    </row>
    <row r="90" spans="1:21" x14ac:dyDescent="0.2">
      <c r="A90" s="2">
        <v>70</v>
      </c>
      <c r="B90" s="19">
        <f t="shared" si="5"/>
        <v>33401</v>
      </c>
      <c r="C90" s="2">
        <v>549</v>
      </c>
      <c r="D90" s="23">
        <v>5500</v>
      </c>
      <c r="E90" s="4"/>
      <c r="F90" s="4"/>
      <c r="G90" s="4">
        <v>354</v>
      </c>
      <c r="H90" s="4">
        <v>1833</v>
      </c>
      <c r="I90" s="4">
        <v>395</v>
      </c>
      <c r="J90" s="4">
        <v>396.2</v>
      </c>
      <c r="K90" s="4">
        <v>342.2</v>
      </c>
      <c r="L90" s="4">
        <v>525</v>
      </c>
      <c r="M90" s="4">
        <v>325</v>
      </c>
      <c r="N90" s="4">
        <v>54</v>
      </c>
      <c r="O90" s="4">
        <v>33</v>
      </c>
      <c r="P90" s="4">
        <v>224</v>
      </c>
      <c r="Q90" s="4">
        <v>155</v>
      </c>
      <c r="U90" s="2" t="s">
        <v>1518</v>
      </c>
    </row>
    <row r="91" spans="1:21" x14ac:dyDescent="0.2">
      <c r="A91" s="2">
        <v>71</v>
      </c>
      <c r="B91" s="19">
        <f t="shared" si="5"/>
        <v>33401</v>
      </c>
      <c r="C91" s="2">
        <v>604</v>
      </c>
      <c r="D91" s="23">
        <v>4500</v>
      </c>
      <c r="E91" s="4"/>
      <c r="F91" s="4"/>
      <c r="G91" s="4">
        <v>391</v>
      </c>
      <c r="H91" s="4">
        <v>1842</v>
      </c>
      <c r="I91" s="4">
        <v>397</v>
      </c>
      <c r="J91" s="4">
        <v>474</v>
      </c>
      <c r="K91" s="4">
        <v>343.8</v>
      </c>
      <c r="L91" s="4">
        <v>525</v>
      </c>
      <c r="M91" s="4">
        <v>307</v>
      </c>
      <c r="N91" s="4">
        <v>60</v>
      </c>
      <c r="O91" s="4"/>
      <c r="P91" s="4">
        <v>231</v>
      </c>
      <c r="Q91" s="4">
        <v>161</v>
      </c>
    </row>
    <row r="92" spans="1:21" x14ac:dyDescent="0.2">
      <c r="A92" s="2">
        <v>72</v>
      </c>
      <c r="B92" s="19">
        <f t="shared" si="5"/>
        <v>33401</v>
      </c>
      <c r="C92" s="2">
        <v>616</v>
      </c>
      <c r="D92" s="23">
        <v>3500</v>
      </c>
      <c r="E92" s="4">
        <v>614</v>
      </c>
      <c r="F92" s="4">
        <v>969</v>
      </c>
      <c r="G92" s="4">
        <v>1029</v>
      </c>
      <c r="H92" s="4">
        <v>2153</v>
      </c>
      <c r="I92" s="4">
        <v>465</v>
      </c>
      <c r="J92" s="4">
        <v>2058.8000000000002</v>
      </c>
      <c r="K92" s="4">
        <v>358.4</v>
      </c>
      <c r="L92" s="4">
        <v>539</v>
      </c>
      <c r="M92" s="4">
        <v>310</v>
      </c>
      <c r="N92" s="4">
        <v>59</v>
      </c>
      <c r="O92" s="4">
        <v>57</v>
      </c>
      <c r="P92" s="4">
        <v>234</v>
      </c>
      <c r="Q92" s="4">
        <v>164</v>
      </c>
    </row>
    <row r="93" spans="1:21" x14ac:dyDescent="0.2">
      <c r="A93" s="2">
        <v>73</v>
      </c>
      <c r="B93" s="19">
        <f t="shared" si="5"/>
        <v>33401</v>
      </c>
      <c r="C93" s="2">
        <v>629</v>
      </c>
      <c r="D93" s="23">
        <v>2500</v>
      </c>
      <c r="E93" s="4">
        <v>596</v>
      </c>
      <c r="F93" s="4">
        <v>845</v>
      </c>
      <c r="G93" s="4">
        <v>890</v>
      </c>
      <c r="H93" s="4">
        <v>2075</v>
      </c>
      <c r="I93" s="4">
        <v>450</v>
      </c>
      <c r="J93" s="4">
        <v>1739.6</v>
      </c>
      <c r="K93" s="4">
        <v>342.7</v>
      </c>
      <c r="L93" s="4">
        <v>549</v>
      </c>
      <c r="M93" s="4">
        <v>323</v>
      </c>
      <c r="N93" s="4">
        <v>65</v>
      </c>
      <c r="O93" s="4">
        <v>385</v>
      </c>
      <c r="P93" s="4">
        <v>235</v>
      </c>
      <c r="Q93" s="4">
        <v>161</v>
      </c>
      <c r="S93" s="2" t="s">
        <v>1519</v>
      </c>
    </row>
    <row r="94" spans="1:21" x14ac:dyDescent="0.2">
      <c r="A94" s="2">
        <v>74</v>
      </c>
      <c r="B94" s="19">
        <f t="shared" si="5"/>
        <v>33401</v>
      </c>
      <c r="C94" s="2">
        <v>642</v>
      </c>
      <c r="D94" s="23">
        <v>1500</v>
      </c>
      <c r="E94" s="4">
        <v>500</v>
      </c>
      <c r="F94" s="4">
        <v>98</v>
      </c>
      <c r="G94" s="4">
        <v>113</v>
      </c>
      <c r="H94" s="4">
        <v>1780</v>
      </c>
      <c r="I94" s="4">
        <v>359</v>
      </c>
      <c r="J94" s="4">
        <v>62.7</v>
      </c>
      <c r="K94" s="4">
        <v>340.9</v>
      </c>
      <c r="L94" s="4">
        <v>526</v>
      </c>
      <c r="M94" s="4">
        <v>314</v>
      </c>
      <c r="N94" s="4">
        <v>58</v>
      </c>
      <c r="O94" s="4">
        <v>125</v>
      </c>
      <c r="P94" s="4">
        <v>229</v>
      </c>
      <c r="Q94" s="4">
        <v>165</v>
      </c>
      <c r="S94" s="2">
        <v>15</v>
      </c>
      <c r="T94" s="2" t="s">
        <v>1520</v>
      </c>
      <c r="U94" s="2" t="s">
        <v>1507</v>
      </c>
    </row>
    <row r="95" spans="1:21" x14ac:dyDescent="0.2">
      <c r="A95" s="2">
        <v>75</v>
      </c>
      <c r="B95" s="19">
        <f t="shared" si="5"/>
        <v>33401</v>
      </c>
      <c r="C95" s="2">
        <v>717</v>
      </c>
      <c r="D95" s="23">
        <v>900</v>
      </c>
      <c r="E95" s="4">
        <v>532</v>
      </c>
      <c r="F95" s="4">
        <v>271</v>
      </c>
      <c r="G95" s="4">
        <v>296</v>
      </c>
      <c r="H95" s="4">
        <v>1781</v>
      </c>
      <c r="I95" s="4">
        <v>387</v>
      </c>
      <c r="J95" s="4">
        <v>99.9</v>
      </c>
      <c r="K95" s="4"/>
      <c r="L95" s="4"/>
      <c r="M95" s="4"/>
      <c r="N95" s="4"/>
      <c r="O95" s="4"/>
      <c r="P95" s="4"/>
      <c r="Q95" s="4"/>
      <c r="U95" s="2" t="s">
        <v>1508</v>
      </c>
    </row>
    <row r="96" spans="1:21" x14ac:dyDescent="0.2">
      <c r="A96" s="2">
        <v>76</v>
      </c>
      <c r="B96" s="19">
        <f t="shared" si="5"/>
        <v>33401</v>
      </c>
      <c r="C96" s="2">
        <v>757</v>
      </c>
      <c r="D96" s="23">
        <v>900</v>
      </c>
      <c r="E96" s="4">
        <v>862</v>
      </c>
      <c r="F96" s="4">
        <v>247</v>
      </c>
      <c r="G96" s="4">
        <v>275</v>
      </c>
      <c r="H96" s="4">
        <v>1788</v>
      </c>
      <c r="I96" s="4">
        <v>372</v>
      </c>
      <c r="J96" s="4">
        <v>90.7</v>
      </c>
      <c r="K96" s="4"/>
      <c r="L96" s="4"/>
      <c r="M96" s="4"/>
      <c r="N96" s="4"/>
      <c r="O96" s="4"/>
      <c r="P96" s="4"/>
      <c r="Q96" s="4"/>
      <c r="U96" s="2" t="s">
        <v>1521</v>
      </c>
    </row>
    <row r="97" spans="2:21" x14ac:dyDescent="0.2">
      <c r="B97" s="19"/>
      <c r="D97" s="23"/>
      <c r="E97" s="4">
        <v>613</v>
      </c>
      <c r="F97" s="4">
        <v>249</v>
      </c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U97" s="2" t="s">
        <v>1522</v>
      </c>
    </row>
    <row r="99" spans="2:21" x14ac:dyDescent="0.2">
      <c r="S99" s="2" t="s">
        <v>1467</v>
      </c>
    </row>
    <row r="100" spans="2:21" x14ac:dyDescent="0.2">
      <c r="C100" s="8" t="s">
        <v>286</v>
      </c>
      <c r="D100" s="8" t="s">
        <v>448</v>
      </c>
      <c r="E100" s="8" t="s">
        <v>117</v>
      </c>
      <c r="F100" s="8" t="s">
        <v>118</v>
      </c>
      <c r="G100" s="8" t="s">
        <v>118</v>
      </c>
      <c r="H100" s="8" t="s">
        <v>123</v>
      </c>
      <c r="I100" s="8" t="s">
        <v>134</v>
      </c>
      <c r="J100" s="8" t="s">
        <v>146</v>
      </c>
      <c r="K100" s="8" t="s">
        <v>141</v>
      </c>
      <c r="L100" s="8" t="s">
        <v>136</v>
      </c>
      <c r="M100" s="8" t="s">
        <v>130</v>
      </c>
      <c r="N100" s="8" t="s">
        <v>133</v>
      </c>
      <c r="O100" s="8" t="s">
        <v>127</v>
      </c>
      <c r="P100" s="8" t="s">
        <v>121</v>
      </c>
      <c r="Q100" s="8" t="s">
        <v>112</v>
      </c>
      <c r="S100" s="2">
        <v>16</v>
      </c>
      <c r="T100" s="2" t="s">
        <v>1523</v>
      </c>
      <c r="U100" s="2" t="s">
        <v>1507</v>
      </c>
    </row>
    <row r="101" spans="2:21" x14ac:dyDescent="0.2"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U101" s="2" t="s">
        <v>1524</v>
      </c>
    </row>
    <row r="102" spans="2:21" x14ac:dyDescent="0.2">
      <c r="B102" s="7">
        <f t="shared" ref="B102:Q102" si="6">AVERAGE(B12:B96)</f>
        <v>33393.082191780821</v>
      </c>
      <c r="C102" s="4">
        <f t="shared" si="6"/>
        <v>831.34246575342468</v>
      </c>
      <c r="D102" s="4">
        <f t="shared" si="6"/>
        <v>4415</v>
      </c>
      <c r="E102" s="4">
        <f t="shared" si="6"/>
        <v>599.60638297872345</v>
      </c>
      <c r="F102" s="4">
        <f t="shared" si="6"/>
        <v>239.07446808510639</v>
      </c>
      <c r="G102" s="4">
        <f t="shared" si="6"/>
        <v>254.11428571428573</v>
      </c>
      <c r="H102" s="4">
        <f t="shared" si="6"/>
        <v>1803.7571428571428</v>
      </c>
      <c r="I102" s="4">
        <f t="shared" si="6"/>
        <v>381.21428571428572</v>
      </c>
      <c r="J102" s="4">
        <f t="shared" si="6"/>
        <v>272.44225352112682</v>
      </c>
      <c r="K102" s="4">
        <f t="shared" si="6"/>
        <v>342.18769230769249</v>
      </c>
      <c r="L102" s="4">
        <f t="shared" si="6"/>
        <v>2205.8384615384616</v>
      </c>
      <c r="M102" s="4">
        <f t="shared" si="6"/>
        <v>328.23076923076923</v>
      </c>
      <c r="N102" s="4">
        <f t="shared" si="6"/>
        <v>61.892307692307689</v>
      </c>
      <c r="O102" s="4">
        <f t="shared" si="6"/>
        <v>310.28125</v>
      </c>
      <c r="P102" s="4">
        <f t="shared" si="6"/>
        <v>230.16923076923078</v>
      </c>
      <c r="Q102" s="4">
        <f t="shared" si="6"/>
        <v>159.32307692307691</v>
      </c>
      <c r="U102" s="2" t="s">
        <v>1525</v>
      </c>
    </row>
    <row r="103" spans="2:21" x14ac:dyDescent="0.2">
      <c r="B103" s="19"/>
      <c r="C103" s="4">
        <f t="shared" ref="C103:Q103" si="7">STDEV(C12:C96)</f>
        <v>232.31995532849857</v>
      </c>
      <c r="D103" s="4">
        <f t="shared" si="7"/>
        <v>2946.5765829725237</v>
      </c>
      <c r="E103" s="4">
        <f t="shared" si="7"/>
        <v>132.61344348577367</v>
      </c>
      <c r="F103" s="4">
        <f t="shared" si="7"/>
        <v>172.71099190628948</v>
      </c>
      <c r="G103" s="4">
        <f t="shared" si="7"/>
        <v>159.5743925242468</v>
      </c>
      <c r="H103" s="4">
        <f t="shared" si="7"/>
        <v>58.914685483599676</v>
      </c>
      <c r="I103" s="4">
        <f t="shared" si="7"/>
        <v>20.205389478432611</v>
      </c>
      <c r="J103" s="4">
        <f t="shared" si="7"/>
        <v>327.17985122295903</v>
      </c>
      <c r="K103" s="4">
        <f t="shared" si="7"/>
        <v>2.8055473893424332</v>
      </c>
      <c r="L103" s="4">
        <f t="shared" si="7"/>
        <v>4944.0998920965221</v>
      </c>
      <c r="M103" s="4">
        <f t="shared" si="7"/>
        <v>63.334372882831417</v>
      </c>
      <c r="N103" s="4">
        <f t="shared" si="7"/>
        <v>9.8981107365924181</v>
      </c>
      <c r="O103" s="4">
        <f t="shared" si="7"/>
        <v>586.44450525015179</v>
      </c>
      <c r="P103" s="4">
        <f t="shared" si="7"/>
        <v>40.785478892144205</v>
      </c>
      <c r="Q103" s="4">
        <f t="shared" si="7"/>
        <v>5.6405554145505379</v>
      </c>
      <c r="U103" s="2" t="s">
        <v>1518</v>
      </c>
    </row>
    <row r="104" spans="2:21" x14ac:dyDescent="0.2">
      <c r="C104" s="4">
        <f t="shared" ref="C104:Q104" si="8">COUNTA(C12:C96)</f>
        <v>73</v>
      </c>
      <c r="D104" s="4">
        <f t="shared" si="8"/>
        <v>60</v>
      </c>
      <c r="E104" s="4">
        <f t="shared" si="8"/>
        <v>47</v>
      </c>
      <c r="F104" s="4">
        <f t="shared" si="8"/>
        <v>47</v>
      </c>
      <c r="G104" s="4">
        <f t="shared" si="8"/>
        <v>70</v>
      </c>
      <c r="H104" s="4">
        <f t="shared" si="8"/>
        <v>70</v>
      </c>
      <c r="I104" s="4">
        <f t="shared" si="8"/>
        <v>70</v>
      </c>
      <c r="J104" s="4">
        <f t="shared" si="8"/>
        <v>71</v>
      </c>
      <c r="K104" s="4">
        <f t="shared" si="8"/>
        <v>65</v>
      </c>
      <c r="L104" s="4">
        <f t="shared" si="8"/>
        <v>65</v>
      </c>
      <c r="M104" s="4">
        <f t="shared" si="8"/>
        <v>65</v>
      </c>
      <c r="N104" s="4">
        <f t="shared" si="8"/>
        <v>65</v>
      </c>
      <c r="O104" s="4">
        <f t="shared" si="8"/>
        <v>64</v>
      </c>
      <c r="P104" s="4">
        <f t="shared" si="8"/>
        <v>65</v>
      </c>
      <c r="Q104" s="4">
        <f t="shared" si="8"/>
        <v>65</v>
      </c>
    </row>
    <row r="105" spans="2:21" x14ac:dyDescent="0.2">
      <c r="S105" s="2">
        <v>17</v>
      </c>
      <c r="T105" s="2" t="s">
        <v>1526</v>
      </c>
      <c r="U105" s="2" t="s">
        <v>1527</v>
      </c>
    </row>
    <row r="106" spans="2:21" x14ac:dyDescent="0.2">
      <c r="U106" s="2" t="s">
        <v>1528</v>
      </c>
    </row>
    <row r="107" spans="2:21" x14ac:dyDescent="0.2">
      <c r="U107" s="2" t="s">
        <v>1529</v>
      </c>
    </row>
    <row r="108" spans="2:21" x14ac:dyDescent="0.2">
      <c r="U108" s="2" t="s">
        <v>1530</v>
      </c>
    </row>
    <row r="109" spans="2:21" x14ac:dyDescent="0.2">
      <c r="U109" s="2" t="s">
        <v>1531</v>
      </c>
    </row>
    <row r="111" spans="2:21" x14ac:dyDescent="0.2">
      <c r="S111" s="2">
        <v>18</v>
      </c>
      <c r="T111" s="2" t="s">
        <v>1532</v>
      </c>
      <c r="U111" s="2" t="s">
        <v>1507</v>
      </c>
    </row>
    <row r="112" spans="2:21" x14ac:dyDescent="0.2">
      <c r="U112" s="2" t="s">
        <v>1508</v>
      </c>
    </row>
    <row r="113" spans="19:21" x14ac:dyDescent="0.2">
      <c r="U113" s="2" t="s">
        <v>1533</v>
      </c>
    </row>
    <row r="114" spans="19:21" x14ac:dyDescent="0.2">
      <c r="U114" s="2" t="s">
        <v>1534</v>
      </c>
    </row>
    <row r="116" spans="19:21" x14ac:dyDescent="0.2">
      <c r="S116" s="2">
        <v>19</v>
      </c>
      <c r="T116" s="2" t="s">
        <v>1535</v>
      </c>
      <c r="U116" s="2" t="s">
        <v>1527</v>
      </c>
    </row>
    <row r="117" spans="19:21" x14ac:dyDescent="0.2">
      <c r="U117" s="2" t="s">
        <v>1536</v>
      </c>
    </row>
    <row r="118" spans="19:21" x14ac:dyDescent="0.2">
      <c r="U118" s="2" t="s">
        <v>1529</v>
      </c>
    </row>
    <row r="119" spans="19:21" x14ac:dyDescent="0.2">
      <c r="U119" s="2" t="s">
        <v>1525</v>
      </c>
    </row>
    <row r="120" spans="19:21" x14ac:dyDescent="0.2">
      <c r="U120" s="2" t="s">
        <v>1537</v>
      </c>
    </row>
    <row r="122" spans="19:21" x14ac:dyDescent="0.2">
      <c r="S122" s="2">
        <v>20</v>
      </c>
      <c r="T122" s="2" t="s">
        <v>1538</v>
      </c>
      <c r="U122" s="2" t="s">
        <v>1539</v>
      </c>
    </row>
    <row r="123" spans="19:21" x14ac:dyDescent="0.2">
      <c r="U123" s="2" t="s">
        <v>1540</v>
      </c>
    </row>
    <row r="124" spans="19:21" x14ac:dyDescent="0.2">
      <c r="U124" s="2" t="s">
        <v>1541</v>
      </c>
    </row>
    <row r="125" spans="19:21" x14ac:dyDescent="0.2">
      <c r="U125" s="2" t="s">
        <v>1542</v>
      </c>
    </row>
    <row r="127" spans="19:21" x14ac:dyDescent="0.2">
      <c r="S127" s="2">
        <v>21</v>
      </c>
      <c r="T127" s="2" t="s">
        <v>1543</v>
      </c>
      <c r="U127" s="2" t="s">
        <v>1488</v>
      </c>
    </row>
    <row r="128" spans="19:21" x14ac:dyDescent="0.2">
      <c r="U128" s="2" t="s">
        <v>1465</v>
      </c>
    </row>
    <row r="129" spans="19:21" x14ac:dyDescent="0.2">
      <c r="U129" s="2" t="s">
        <v>1544</v>
      </c>
    </row>
    <row r="130" spans="19:21" x14ac:dyDescent="0.2">
      <c r="U130" s="2" t="s">
        <v>1545</v>
      </c>
    </row>
    <row r="133" spans="19:21" x14ac:dyDescent="0.2">
      <c r="S133" s="2" t="s">
        <v>1546</v>
      </c>
    </row>
    <row r="134" spans="19:21" x14ac:dyDescent="0.2">
      <c r="S134" s="2">
        <v>22</v>
      </c>
      <c r="T134" s="2" t="s">
        <v>1547</v>
      </c>
      <c r="U134" s="2" t="s">
        <v>1548</v>
      </c>
    </row>
    <row r="135" spans="19:21" x14ac:dyDescent="0.2">
      <c r="U135" s="2" t="s">
        <v>1549</v>
      </c>
    </row>
    <row r="136" spans="19:21" x14ac:dyDescent="0.2">
      <c r="U136" s="2" t="s">
        <v>1550</v>
      </c>
    </row>
    <row r="137" spans="19:21" x14ac:dyDescent="0.2">
      <c r="U137" s="2" t="s">
        <v>1551</v>
      </c>
    </row>
    <row r="139" spans="19:21" x14ac:dyDescent="0.2">
      <c r="S139" s="2">
        <v>23</v>
      </c>
      <c r="T139" s="2" t="s">
        <v>1552</v>
      </c>
      <c r="U139" s="2" t="s">
        <v>1553</v>
      </c>
    </row>
    <row r="140" spans="19:21" x14ac:dyDescent="0.2">
      <c r="U140" s="2" t="s">
        <v>1554</v>
      </c>
    </row>
    <row r="141" spans="19:21" x14ac:dyDescent="0.2">
      <c r="U141" s="2" t="s">
        <v>1473</v>
      </c>
    </row>
    <row r="142" spans="19:21" x14ac:dyDescent="0.2">
      <c r="U142" s="2" t="s">
        <v>1555</v>
      </c>
    </row>
    <row r="143" spans="19:21" x14ac:dyDescent="0.2">
      <c r="U143" s="2" t="s">
        <v>1556</v>
      </c>
    </row>
    <row r="144" spans="19:21" x14ac:dyDescent="0.2">
      <c r="S144" s="2" t="s">
        <v>1475</v>
      </c>
    </row>
    <row r="145" spans="19:21" x14ac:dyDescent="0.2">
      <c r="S145" s="2">
        <v>24</v>
      </c>
      <c r="T145" s="2" t="s">
        <v>1557</v>
      </c>
      <c r="U145" s="2" t="s">
        <v>1558</v>
      </c>
    </row>
    <row r="146" spans="19:21" x14ac:dyDescent="0.2">
      <c r="U146" s="2" t="s">
        <v>1559</v>
      </c>
    </row>
    <row r="147" spans="19:21" x14ac:dyDescent="0.2">
      <c r="U147" s="2" t="s">
        <v>1560</v>
      </c>
    </row>
    <row r="148" spans="19:21" x14ac:dyDescent="0.2">
      <c r="U148" s="2" t="s">
        <v>1561</v>
      </c>
    </row>
    <row r="150" spans="19:21" x14ac:dyDescent="0.2">
      <c r="S150" s="2">
        <v>25</v>
      </c>
      <c r="T150" s="2" t="s">
        <v>1562</v>
      </c>
      <c r="U150" s="2" t="s">
        <v>1558</v>
      </c>
    </row>
    <row r="151" spans="19:21" x14ac:dyDescent="0.2">
      <c r="U151" s="2" t="s">
        <v>1563</v>
      </c>
    </row>
    <row r="152" spans="19:21" x14ac:dyDescent="0.2">
      <c r="U152" s="2" t="s">
        <v>1564</v>
      </c>
    </row>
    <row r="153" spans="19:21" x14ac:dyDescent="0.2">
      <c r="U153" s="2" t="s">
        <v>1565</v>
      </c>
    </row>
    <row r="155" spans="19:21" x14ac:dyDescent="0.2">
      <c r="S155" s="2" t="s">
        <v>1479</v>
      </c>
    </row>
    <row r="156" spans="19:21" x14ac:dyDescent="0.2">
      <c r="S156" s="2">
        <v>26</v>
      </c>
      <c r="T156" s="2" t="s">
        <v>1566</v>
      </c>
      <c r="U156" s="2" t="s">
        <v>1558</v>
      </c>
    </row>
    <row r="157" spans="19:21" x14ac:dyDescent="0.2">
      <c r="U157" s="2" t="s">
        <v>1567</v>
      </c>
    </row>
    <row r="158" spans="19:21" x14ac:dyDescent="0.2">
      <c r="U158" s="2" t="s">
        <v>1568</v>
      </c>
    </row>
    <row r="159" spans="19:21" x14ac:dyDescent="0.2">
      <c r="U159" s="2" t="s">
        <v>1569</v>
      </c>
    </row>
    <row r="161" spans="19:21" x14ac:dyDescent="0.2">
      <c r="S161" s="2">
        <v>27</v>
      </c>
      <c r="T161" s="2" t="s">
        <v>1570</v>
      </c>
      <c r="U161" s="2" t="s">
        <v>1558</v>
      </c>
    </row>
    <row r="162" spans="19:21" x14ac:dyDescent="0.2">
      <c r="U162" s="2" t="s">
        <v>1571</v>
      </c>
    </row>
    <row r="163" spans="19:21" x14ac:dyDescent="0.2">
      <c r="U163" s="2" t="s">
        <v>1572</v>
      </c>
    </row>
    <row r="164" spans="19:21" x14ac:dyDescent="0.2">
      <c r="U164" s="2" t="s">
        <v>1573</v>
      </c>
    </row>
    <row r="166" spans="19:21" x14ac:dyDescent="0.2">
      <c r="S166" s="2">
        <v>28</v>
      </c>
      <c r="T166" s="2" t="s">
        <v>1574</v>
      </c>
      <c r="U166" s="2" t="s">
        <v>1488</v>
      </c>
    </row>
    <row r="167" spans="19:21" x14ac:dyDescent="0.2">
      <c r="U167" s="2" t="s">
        <v>1575</v>
      </c>
    </row>
    <row r="168" spans="19:21" x14ac:dyDescent="0.2">
      <c r="U168" s="2" t="s">
        <v>1576</v>
      </c>
    </row>
    <row r="172" spans="19:21" x14ac:dyDescent="0.2">
      <c r="S172" s="2" t="s">
        <v>1577</v>
      </c>
    </row>
    <row r="173" spans="19:21" x14ac:dyDescent="0.2">
      <c r="S173" s="2" t="s">
        <v>1578</v>
      </c>
    </row>
    <row r="174" spans="19:21" x14ac:dyDescent="0.2">
      <c r="S174" s="2">
        <v>29</v>
      </c>
      <c r="T174" s="2" t="s">
        <v>1579</v>
      </c>
      <c r="U174" s="2" t="s">
        <v>1488</v>
      </c>
    </row>
    <row r="175" spans="19:21" x14ac:dyDescent="0.2">
      <c r="U175" s="2" t="s">
        <v>1580</v>
      </c>
    </row>
    <row r="176" spans="19:21" x14ac:dyDescent="0.2">
      <c r="U176" s="2" t="s">
        <v>1581</v>
      </c>
    </row>
    <row r="179" spans="19:21" x14ac:dyDescent="0.2">
      <c r="S179" s="2">
        <v>30</v>
      </c>
      <c r="T179" s="2" t="s">
        <v>1582</v>
      </c>
      <c r="U179" s="2" t="s">
        <v>1488</v>
      </c>
    </row>
    <row r="180" spans="19:21" x14ac:dyDescent="0.2">
      <c r="U180" s="2" t="s">
        <v>1580</v>
      </c>
    </row>
    <row r="181" spans="19:21" x14ac:dyDescent="0.2">
      <c r="U181" s="2" t="s">
        <v>1583</v>
      </c>
    </row>
    <row r="184" spans="19:21" x14ac:dyDescent="0.2">
      <c r="S184" s="2">
        <v>31</v>
      </c>
      <c r="T184" s="2" t="s">
        <v>1584</v>
      </c>
      <c r="U184" s="2" t="s">
        <v>1488</v>
      </c>
    </row>
    <row r="185" spans="19:21" x14ac:dyDescent="0.2">
      <c r="U185" s="2" t="s">
        <v>1580</v>
      </c>
    </row>
    <row r="186" spans="19:21" x14ac:dyDescent="0.2">
      <c r="U186" s="2" t="s">
        <v>1585</v>
      </c>
    </row>
    <row r="189" spans="19:21" x14ac:dyDescent="0.2">
      <c r="S189" s="2">
        <v>32</v>
      </c>
      <c r="T189" s="2" t="s">
        <v>1586</v>
      </c>
      <c r="U189" s="2" t="s">
        <v>1488</v>
      </c>
    </row>
    <row r="190" spans="19:21" x14ac:dyDescent="0.2">
      <c r="U190" s="2" t="s">
        <v>1580</v>
      </c>
    </row>
    <row r="191" spans="19:21" x14ac:dyDescent="0.2">
      <c r="U191" s="2" t="s">
        <v>1587</v>
      </c>
    </row>
    <row r="194" spans="19:21" x14ac:dyDescent="0.2">
      <c r="S194" s="2">
        <v>33</v>
      </c>
      <c r="T194" s="2" t="s">
        <v>1588</v>
      </c>
      <c r="U194" s="2" t="s">
        <v>1488</v>
      </c>
    </row>
    <row r="195" spans="19:21" x14ac:dyDescent="0.2">
      <c r="U195" s="2" t="s">
        <v>1580</v>
      </c>
    </row>
    <row r="196" spans="19:21" x14ac:dyDescent="0.2">
      <c r="U196" s="2" t="s">
        <v>1589</v>
      </c>
    </row>
    <row r="199" spans="19:21" x14ac:dyDescent="0.2">
      <c r="S199" s="2">
        <v>34</v>
      </c>
      <c r="T199" s="2" t="s">
        <v>1590</v>
      </c>
      <c r="U199" s="2" t="s">
        <v>1488</v>
      </c>
    </row>
    <row r="200" spans="19:21" x14ac:dyDescent="0.2">
      <c r="U200" s="2" t="s">
        <v>1580</v>
      </c>
    </row>
    <row r="201" spans="19:21" x14ac:dyDescent="0.2">
      <c r="U201" s="2" t="s">
        <v>1591</v>
      </c>
    </row>
    <row r="204" spans="19:21" x14ac:dyDescent="0.2">
      <c r="S204" s="2">
        <v>35</v>
      </c>
      <c r="T204" s="2" t="s">
        <v>1592</v>
      </c>
      <c r="U204" s="2" t="s">
        <v>1488</v>
      </c>
    </row>
    <row r="205" spans="19:21" x14ac:dyDescent="0.2">
      <c r="U205" s="2" t="s">
        <v>1580</v>
      </c>
    </row>
    <row r="206" spans="19:21" x14ac:dyDescent="0.2">
      <c r="U206" s="2" t="s">
        <v>1593</v>
      </c>
    </row>
    <row r="209" spans="19:21" x14ac:dyDescent="0.2">
      <c r="S209" s="2">
        <v>36</v>
      </c>
      <c r="T209" s="2" t="s">
        <v>1594</v>
      </c>
      <c r="U209" s="2" t="s">
        <v>1472</v>
      </c>
    </row>
    <row r="210" spans="19:21" x14ac:dyDescent="0.2">
      <c r="U210" s="2" t="s">
        <v>1580</v>
      </c>
    </row>
    <row r="211" spans="19:21" x14ac:dyDescent="0.2">
      <c r="U211" s="2" t="s">
        <v>1595</v>
      </c>
    </row>
    <row r="212" spans="19:21" x14ac:dyDescent="0.2">
      <c r="S212" s="2" t="s">
        <v>1577</v>
      </c>
    </row>
    <row r="213" spans="19:21" x14ac:dyDescent="0.2">
      <c r="S213" s="2" t="s">
        <v>1489</v>
      </c>
    </row>
    <row r="214" spans="19:21" x14ac:dyDescent="0.2">
      <c r="S214" s="2">
        <v>37</v>
      </c>
      <c r="T214" s="2" t="s">
        <v>1596</v>
      </c>
      <c r="U214" s="2" t="s">
        <v>1558</v>
      </c>
    </row>
    <row r="215" spans="19:21" x14ac:dyDescent="0.2">
      <c r="U215" s="2" t="s">
        <v>1597</v>
      </c>
    </row>
    <row r="216" spans="19:21" x14ac:dyDescent="0.2">
      <c r="U216" s="2" t="s">
        <v>1598</v>
      </c>
    </row>
    <row r="219" spans="19:21" x14ac:dyDescent="0.2">
      <c r="S219" s="2">
        <v>38</v>
      </c>
      <c r="T219" s="2" t="s">
        <v>1599</v>
      </c>
      <c r="U219" s="2" t="s">
        <v>1558</v>
      </c>
    </row>
    <row r="220" spans="19:21" x14ac:dyDescent="0.2">
      <c r="U220" s="2" t="s">
        <v>1600</v>
      </c>
    </row>
    <row r="221" spans="19:21" x14ac:dyDescent="0.2">
      <c r="U221" s="2" t="s">
        <v>1601</v>
      </c>
    </row>
    <row r="224" spans="19:21" x14ac:dyDescent="0.2">
      <c r="S224" s="2">
        <v>39</v>
      </c>
      <c r="T224" s="2" t="s">
        <v>1602</v>
      </c>
      <c r="U224" s="2" t="s">
        <v>1558</v>
      </c>
    </row>
    <row r="225" spans="19:21" x14ac:dyDescent="0.2">
      <c r="U225" s="2" t="s">
        <v>1600</v>
      </c>
    </row>
    <row r="226" spans="19:21" x14ac:dyDescent="0.2">
      <c r="U226" s="2" t="s">
        <v>1603</v>
      </c>
    </row>
    <row r="229" spans="19:21" x14ac:dyDescent="0.2">
      <c r="S229" s="2" t="s">
        <v>1492</v>
      </c>
    </row>
    <row r="230" spans="19:21" x14ac:dyDescent="0.2">
      <c r="S230" s="2">
        <v>40</v>
      </c>
      <c r="T230" s="2" t="s">
        <v>1604</v>
      </c>
      <c r="U230" s="2" t="s">
        <v>1605</v>
      </c>
    </row>
    <row r="231" spans="19:21" x14ac:dyDescent="0.2">
      <c r="U231" s="2" t="s">
        <v>1606</v>
      </c>
    </row>
    <row r="232" spans="19:21" x14ac:dyDescent="0.2">
      <c r="U232" s="2" t="s">
        <v>1607</v>
      </c>
    </row>
    <row r="235" spans="19:21" x14ac:dyDescent="0.2">
      <c r="S235" s="2">
        <v>41</v>
      </c>
      <c r="T235" s="2" t="s">
        <v>1608</v>
      </c>
      <c r="U235" s="2" t="s">
        <v>1605</v>
      </c>
    </row>
    <row r="236" spans="19:21" x14ac:dyDescent="0.2">
      <c r="U236" s="2" t="s">
        <v>1606</v>
      </c>
    </row>
    <row r="237" spans="19:21" x14ac:dyDescent="0.2">
      <c r="U237" s="2" t="s">
        <v>1609</v>
      </c>
    </row>
    <row r="240" spans="19:21" x14ac:dyDescent="0.2">
      <c r="S240" s="2">
        <v>42</v>
      </c>
      <c r="T240" s="2" t="s">
        <v>1610</v>
      </c>
      <c r="U240" s="2" t="s">
        <v>1611</v>
      </c>
    </row>
    <row r="241" spans="19:21" x14ac:dyDescent="0.2">
      <c r="U241" s="2" t="s">
        <v>1606</v>
      </c>
    </row>
    <row r="242" spans="19:21" x14ac:dyDescent="0.2">
      <c r="U242" s="2" t="s">
        <v>1612</v>
      </c>
    </row>
    <row r="245" spans="19:21" x14ac:dyDescent="0.2">
      <c r="S245" s="2">
        <v>43</v>
      </c>
      <c r="T245" s="2" t="s">
        <v>1613</v>
      </c>
      <c r="U245" s="2" t="s">
        <v>1611</v>
      </c>
    </row>
    <row r="246" spans="19:21" x14ac:dyDescent="0.2">
      <c r="U246" s="2" t="s">
        <v>1606</v>
      </c>
    </row>
    <row r="247" spans="19:21" x14ac:dyDescent="0.2">
      <c r="U247" s="2" t="s">
        <v>1614</v>
      </c>
    </row>
    <row r="253" spans="19:21" x14ac:dyDescent="0.2">
      <c r="S253" s="2" t="s">
        <v>1615</v>
      </c>
    </row>
    <row r="254" spans="19:21" x14ac:dyDescent="0.2">
      <c r="S254" s="2">
        <v>44</v>
      </c>
      <c r="T254" s="2" t="s">
        <v>1616</v>
      </c>
      <c r="U254" s="2" t="s">
        <v>1617</v>
      </c>
    </row>
    <row r="255" spans="19:21" x14ac:dyDescent="0.2">
      <c r="U255" s="2" t="s">
        <v>1618</v>
      </c>
    </row>
    <row r="256" spans="19:21" x14ac:dyDescent="0.2">
      <c r="U256" s="2" t="s">
        <v>1606</v>
      </c>
    </row>
    <row r="257" spans="19:21" x14ac:dyDescent="0.2">
      <c r="U257" s="2" t="s">
        <v>1619</v>
      </c>
    </row>
    <row r="259" spans="19:21" x14ac:dyDescent="0.2">
      <c r="S259" s="2">
        <v>45</v>
      </c>
      <c r="T259" s="2" t="s">
        <v>1620</v>
      </c>
      <c r="U259" s="2" t="s">
        <v>1621</v>
      </c>
    </row>
    <row r="260" spans="19:21" x14ac:dyDescent="0.2">
      <c r="U260" s="2" t="s">
        <v>1622</v>
      </c>
    </row>
    <row r="261" spans="19:21" x14ac:dyDescent="0.2">
      <c r="U261" s="2" t="s">
        <v>1623</v>
      </c>
    </row>
    <row r="264" spans="19:21" x14ac:dyDescent="0.2">
      <c r="S264" s="2">
        <v>46</v>
      </c>
      <c r="T264" s="2" t="s">
        <v>1624</v>
      </c>
      <c r="U264" s="2" t="s">
        <v>1621</v>
      </c>
    </row>
    <row r="265" spans="19:21" x14ac:dyDescent="0.2">
      <c r="U265" s="2" t="s">
        <v>1622</v>
      </c>
    </row>
    <row r="266" spans="19:21" x14ac:dyDescent="0.2">
      <c r="U266" s="2" t="s">
        <v>1619</v>
      </c>
    </row>
    <row r="269" spans="19:21" x14ac:dyDescent="0.2">
      <c r="S269" s="2">
        <v>47</v>
      </c>
      <c r="T269" s="2" t="s">
        <v>1625</v>
      </c>
      <c r="U269" s="2" t="s">
        <v>1621</v>
      </c>
    </row>
    <row r="270" spans="19:21" x14ac:dyDescent="0.2">
      <c r="U270" s="2" t="s">
        <v>1622</v>
      </c>
    </row>
    <row r="271" spans="19:21" x14ac:dyDescent="0.2">
      <c r="U271" s="2" t="s">
        <v>1626</v>
      </c>
    </row>
    <row r="274" spans="19:21" x14ac:dyDescent="0.2">
      <c r="S274" s="2">
        <v>48</v>
      </c>
      <c r="T274" s="2" t="s">
        <v>1627</v>
      </c>
      <c r="U274" s="2" t="s">
        <v>1472</v>
      </c>
    </row>
    <row r="275" spans="19:21" x14ac:dyDescent="0.2">
      <c r="U275" s="2" t="s">
        <v>1628</v>
      </c>
    </row>
    <row r="279" spans="19:21" x14ac:dyDescent="0.2">
      <c r="S279" s="2">
        <v>49</v>
      </c>
      <c r="T279" s="2" t="s">
        <v>1629</v>
      </c>
      <c r="U279" s="2" t="s">
        <v>1472</v>
      </c>
    </row>
    <row r="280" spans="19:21" x14ac:dyDescent="0.2">
      <c r="U280" s="2" t="s">
        <v>1630</v>
      </c>
    </row>
    <row r="284" spans="19:21" x14ac:dyDescent="0.2">
      <c r="S284" s="2" t="s">
        <v>1500</v>
      </c>
    </row>
    <row r="285" spans="19:21" x14ac:dyDescent="0.2">
      <c r="S285" s="2">
        <v>50</v>
      </c>
      <c r="T285" s="2" t="s">
        <v>1631</v>
      </c>
      <c r="U285" s="2" t="s">
        <v>1605</v>
      </c>
    </row>
    <row r="286" spans="19:21" x14ac:dyDescent="0.2">
      <c r="U286" s="2" t="s">
        <v>1606</v>
      </c>
    </row>
    <row r="287" spans="19:21" x14ac:dyDescent="0.2">
      <c r="U287" s="2" t="s">
        <v>1522</v>
      </c>
    </row>
    <row r="290" spans="19:21" x14ac:dyDescent="0.2">
      <c r="S290" s="2">
        <v>51</v>
      </c>
      <c r="T290" s="2" t="s">
        <v>1632</v>
      </c>
      <c r="U290" s="2" t="s">
        <v>1605</v>
      </c>
    </row>
    <row r="291" spans="19:21" x14ac:dyDescent="0.2">
      <c r="U291" s="2" t="s">
        <v>1606</v>
      </c>
    </row>
    <row r="292" spans="19:21" x14ac:dyDescent="0.2">
      <c r="U292" s="2" t="s">
        <v>1633</v>
      </c>
    </row>
    <row r="293" spans="19:21" x14ac:dyDescent="0.2">
      <c r="S293" s="2" t="s">
        <v>1634</v>
      </c>
    </row>
    <row r="294" spans="19:21" x14ac:dyDescent="0.2">
      <c r="S294" s="2">
        <v>52</v>
      </c>
      <c r="T294" s="2" t="s">
        <v>1635</v>
      </c>
      <c r="U294" s="2" t="s">
        <v>1605</v>
      </c>
    </row>
    <row r="295" spans="19:21" x14ac:dyDescent="0.2">
      <c r="U295" s="2" t="s">
        <v>1606</v>
      </c>
    </row>
    <row r="296" spans="19:21" x14ac:dyDescent="0.2">
      <c r="U296" s="2" t="s">
        <v>1636</v>
      </c>
    </row>
    <row r="299" spans="19:21" x14ac:dyDescent="0.2">
      <c r="S299" s="2">
        <v>53</v>
      </c>
      <c r="T299" s="2" t="s">
        <v>1637</v>
      </c>
      <c r="U299" s="2" t="s">
        <v>1611</v>
      </c>
    </row>
    <row r="300" spans="19:21" x14ac:dyDescent="0.2">
      <c r="U300" s="2" t="s">
        <v>1580</v>
      </c>
    </row>
    <row r="301" spans="19:21" x14ac:dyDescent="0.2">
      <c r="U301" s="2" t="s">
        <v>1607</v>
      </c>
    </row>
    <row r="304" spans="19:21" x14ac:dyDescent="0.2">
      <c r="S304" s="2">
        <v>54</v>
      </c>
      <c r="T304" s="2" t="s">
        <v>1638</v>
      </c>
      <c r="U304" s="2" t="s">
        <v>1639</v>
      </c>
    </row>
    <row r="305" spans="19:21" x14ac:dyDescent="0.2">
      <c r="U305" s="2" t="s">
        <v>1640</v>
      </c>
    </row>
    <row r="306" spans="19:21" x14ac:dyDescent="0.2">
      <c r="U306" s="2" t="s">
        <v>1641</v>
      </c>
    </row>
    <row r="309" spans="19:21" x14ac:dyDescent="0.2">
      <c r="S309" s="2">
        <v>55</v>
      </c>
      <c r="T309" s="2" t="s">
        <v>1642</v>
      </c>
      <c r="U309" s="2" t="s">
        <v>1643</v>
      </c>
    </row>
    <row r="310" spans="19:21" x14ac:dyDescent="0.2">
      <c r="U310" s="2" t="s">
        <v>1644</v>
      </c>
    </row>
    <row r="311" spans="19:21" x14ac:dyDescent="0.2">
      <c r="U311" s="2" t="s">
        <v>1645</v>
      </c>
    </row>
    <row r="314" spans="19:21" x14ac:dyDescent="0.2">
      <c r="S314" s="2">
        <v>56</v>
      </c>
      <c r="T314" s="2" t="s">
        <v>1646</v>
      </c>
      <c r="U314" s="2" t="s">
        <v>1643</v>
      </c>
    </row>
    <row r="315" spans="19:21" x14ac:dyDescent="0.2">
      <c r="U315" s="2" t="s">
        <v>1580</v>
      </c>
    </row>
    <row r="316" spans="19:21" x14ac:dyDescent="0.2">
      <c r="U316" s="2" t="s">
        <v>1647</v>
      </c>
    </row>
    <row r="319" spans="19:21" x14ac:dyDescent="0.2">
      <c r="S319" s="2" t="s">
        <v>1510</v>
      </c>
    </row>
    <row r="320" spans="19:21" x14ac:dyDescent="0.2">
      <c r="S320" s="2">
        <v>57</v>
      </c>
      <c r="T320" s="2" t="s">
        <v>1648</v>
      </c>
      <c r="U320" s="2" t="s">
        <v>1488</v>
      </c>
    </row>
    <row r="325" spans="19:21" x14ac:dyDescent="0.2">
      <c r="S325" s="2">
        <v>58</v>
      </c>
      <c r="T325" s="2" t="s">
        <v>1649</v>
      </c>
      <c r="U325" s="2" t="s">
        <v>1650</v>
      </c>
    </row>
    <row r="326" spans="19:21" x14ac:dyDescent="0.2">
      <c r="U326" s="2" t="s">
        <v>1651</v>
      </c>
    </row>
    <row r="327" spans="19:21" x14ac:dyDescent="0.2">
      <c r="U327" s="2" t="s">
        <v>1652</v>
      </c>
    </row>
    <row r="330" spans="19:21" x14ac:dyDescent="0.2">
      <c r="S330" s="2">
        <v>59</v>
      </c>
      <c r="T330" s="2" t="s">
        <v>1653</v>
      </c>
      <c r="U330" s="2" t="s">
        <v>1654</v>
      </c>
    </row>
    <row r="331" spans="19:21" x14ac:dyDescent="0.2">
      <c r="U331" s="2" t="s">
        <v>1655</v>
      </c>
    </row>
    <row r="333" spans="19:21" x14ac:dyDescent="0.2">
      <c r="S333" s="2" t="s">
        <v>1656</v>
      </c>
    </row>
    <row r="334" spans="19:21" x14ac:dyDescent="0.2">
      <c r="S334" s="2">
        <v>60</v>
      </c>
      <c r="T334" s="2" t="s">
        <v>1657</v>
      </c>
      <c r="U334" s="2" t="s">
        <v>1654</v>
      </c>
    </row>
    <row r="335" spans="19:21" x14ac:dyDescent="0.2">
      <c r="U335" s="2" t="s">
        <v>1658</v>
      </c>
    </row>
    <row r="339" spans="19:21" x14ac:dyDescent="0.2">
      <c r="S339" s="2">
        <v>61</v>
      </c>
      <c r="T339" s="2" t="s">
        <v>1659</v>
      </c>
      <c r="U339" s="2" t="s">
        <v>1654</v>
      </c>
    </row>
    <row r="340" spans="19:21" x14ac:dyDescent="0.2">
      <c r="U340" s="2" t="s">
        <v>1660</v>
      </c>
    </row>
    <row r="344" spans="19:21" x14ac:dyDescent="0.2">
      <c r="S344" s="2">
        <v>62</v>
      </c>
      <c r="T344" s="2" t="s">
        <v>1661</v>
      </c>
      <c r="U344" s="2" t="s">
        <v>1662</v>
      </c>
    </row>
    <row r="349" spans="19:21" x14ac:dyDescent="0.2">
      <c r="S349" s="2">
        <v>63</v>
      </c>
      <c r="T349" s="2" t="s">
        <v>1663</v>
      </c>
      <c r="U349" s="2" t="s">
        <v>1664</v>
      </c>
    </row>
    <row r="354" spans="19:21" x14ac:dyDescent="0.2">
      <c r="S354" s="2">
        <v>64</v>
      </c>
      <c r="T354" s="2" t="s">
        <v>1665</v>
      </c>
      <c r="U354" s="2" t="s">
        <v>1664</v>
      </c>
    </row>
    <row r="359" spans="19:21" x14ac:dyDescent="0.2">
      <c r="S359" s="2">
        <v>65</v>
      </c>
      <c r="T359" s="2" t="s">
        <v>1666</v>
      </c>
      <c r="U359" s="2" t="s">
        <v>1667</v>
      </c>
    </row>
    <row r="363" spans="19:21" x14ac:dyDescent="0.2">
      <c r="S363" s="2" t="s">
        <v>1516</v>
      </c>
    </row>
    <row r="364" spans="19:21" x14ac:dyDescent="0.2">
      <c r="S364" s="2">
        <v>69</v>
      </c>
      <c r="T364" s="2" t="s">
        <v>1668</v>
      </c>
      <c r="U364" s="2" t="s">
        <v>1558</v>
      </c>
    </row>
    <row r="365" spans="19:21" x14ac:dyDescent="0.2">
      <c r="U365" s="2" t="s">
        <v>1669</v>
      </c>
    </row>
    <row r="366" spans="19:21" x14ac:dyDescent="0.2">
      <c r="U366" s="2" t="s">
        <v>1670</v>
      </c>
    </row>
    <row r="369" spans="19:21" x14ac:dyDescent="0.2">
      <c r="S369" s="2">
        <v>70</v>
      </c>
      <c r="T369" s="2" t="s">
        <v>1671</v>
      </c>
      <c r="U369" s="2" t="s">
        <v>1558</v>
      </c>
    </row>
    <row r="370" spans="19:21" x14ac:dyDescent="0.2">
      <c r="U370" s="2" t="s">
        <v>1672</v>
      </c>
    </row>
    <row r="371" spans="19:21" x14ac:dyDescent="0.2">
      <c r="U371" s="2" t="s">
        <v>1673</v>
      </c>
    </row>
    <row r="373" spans="19:21" x14ac:dyDescent="0.2">
      <c r="S373" s="2" t="s">
        <v>1674</v>
      </c>
    </row>
    <row r="374" spans="19:21" x14ac:dyDescent="0.2">
      <c r="S374" s="2">
        <v>71</v>
      </c>
      <c r="T374" s="2" t="s">
        <v>1675</v>
      </c>
      <c r="U374" s="2" t="s">
        <v>1558</v>
      </c>
    </row>
    <row r="375" spans="19:21" x14ac:dyDescent="0.2">
      <c r="U375" s="2" t="s">
        <v>1676</v>
      </c>
    </row>
    <row r="376" spans="19:21" x14ac:dyDescent="0.2">
      <c r="U376" s="2" t="s">
        <v>1677</v>
      </c>
    </row>
    <row r="379" spans="19:21" x14ac:dyDescent="0.2">
      <c r="S379" s="2">
        <v>72</v>
      </c>
      <c r="T379" s="2" t="s">
        <v>1678</v>
      </c>
      <c r="U379" s="2" t="s">
        <v>1558</v>
      </c>
    </row>
    <row r="380" spans="19:21" x14ac:dyDescent="0.2">
      <c r="U380" s="2" t="s">
        <v>1679</v>
      </c>
    </row>
    <row r="381" spans="19:21" x14ac:dyDescent="0.2">
      <c r="U381" s="2" t="s">
        <v>1680</v>
      </c>
    </row>
    <row r="384" spans="19:21" x14ac:dyDescent="0.2">
      <c r="S384" s="2">
        <v>73</v>
      </c>
      <c r="T384" s="2" t="s">
        <v>1681</v>
      </c>
      <c r="U384" s="2" t="s">
        <v>1558</v>
      </c>
    </row>
    <row r="385" spans="19:21" x14ac:dyDescent="0.2">
      <c r="U385" s="2" t="s">
        <v>1682</v>
      </c>
    </row>
    <row r="386" spans="19:21" x14ac:dyDescent="0.2">
      <c r="U386" s="2" t="s">
        <v>1683</v>
      </c>
    </row>
    <row r="389" spans="19:21" x14ac:dyDescent="0.2">
      <c r="S389" s="2">
        <v>74</v>
      </c>
      <c r="T389" s="2" t="s">
        <v>1684</v>
      </c>
      <c r="U389" s="2" t="s">
        <v>1685</v>
      </c>
    </row>
    <row r="390" spans="19:21" x14ac:dyDescent="0.2">
      <c r="U390" s="2" t="s">
        <v>1686</v>
      </c>
    </row>
    <row r="394" spans="19:21" x14ac:dyDescent="0.2">
      <c r="S394" s="2">
        <v>75</v>
      </c>
      <c r="T394" s="2" t="s">
        <v>1687</v>
      </c>
      <c r="U394" s="2" t="s">
        <v>1688</v>
      </c>
    </row>
    <row r="395" spans="19:21" x14ac:dyDescent="0.2">
      <c r="U395" s="2" t="s">
        <v>1640</v>
      </c>
    </row>
    <row r="396" spans="19:21" x14ac:dyDescent="0.2">
      <c r="U396" s="2" t="s">
        <v>1689</v>
      </c>
    </row>
    <row r="399" spans="19:21" x14ac:dyDescent="0.2">
      <c r="S399" s="2">
        <v>76</v>
      </c>
      <c r="T399" s="2" t="s">
        <v>1690</v>
      </c>
      <c r="U399" s="2" t="s">
        <v>1691</v>
      </c>
    </row>
    <row r="400" spans="19:21" x14ac:dyDescent="0.2">
      <c r="U400" s="2" t="s">
        <v>1692</v>
      </c>
    </row>
    <row r="401" spans="21:21" x14ac:dyDescent="0.2">
      <c r="U401" s="2" t="s">
        <v>1693</v>
      </c>
    </row>
  </sheetData>
  <pageMargins left="0.5" right="0.5" top="0.75" bottom="0.75" header="0.5" footer="0.5"/>
  <pageSetup orientation="portrait" horizontalDpi="0" verticalDpi="0" copies="0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5"/>
  <sheetViews>
    <sheetView showOutlineSymbols="0" defaultGridColor="0" colorId="9" workbookViewId="0">
      <selection activeCell="A6" sqref="A6"/>
    </sheetView>
  </sheetViews>
  <sheetFormatPr defaultColWidth="8.6640625" defaultRowHeight="15" x14ac:dyDescent="0.2"/>
  <cols>
    <col min="1" max="16384" width="8.6640625" style="2"/>
  </cols>
  <sheetData>
    <row r="1" spans="1:24" x14ac:dyDescent="0.2">
      <c r="A1" s="2" t="s">
        <v>1694</v>
      </c>
      <c r="X1" s="2" t="s">
        <v>1</v>
      </c>
    </row>
    <row r="2" spans="1:24" x14ac:dyDescent="0.2">
      <c r="X2" s="2" t="s">
        <v>1</v>
      </c>
    </row>
    <row r="3" spans="1:24" x14ac:dyDescent="0.2">
      <c r="B3" s="8" t="s">
        <v>116</v>
      </c>
      <c r="C3" s="8" t="s">
        <v>117</v>
      </c>
      <c r="D3" s="8" t="s">
        <v>118</v>
      </c>
      <c r="E3" s="8" t="s">
        <v>118</v>
      </c>
      <c r="F3" s="8" t="s">
        <v>123</v>
      </c>
      <c r="G3" s="8" t="s">
        <v>134</v>
      </c>
      <c r="H3" s="8" t="s">
        <v>138</v>
      </c>
      <c r="I3" s="8" t="s">
        <v>136</v>
      </c>
      <c r="J3" s="8" t="s">
        <v>130</v>
      </c>
      <c r="K3" s="8" t="s">
        <v>133</v>
      </c>
      <c r="L3" s="8" t="s">
        <v>127</v>
      </c>
      <c r="M3" s="8" t="s">
        <v>121</v>
      </c>
      <c r="N3" s="8" t="s">
        <v>112</v>
      </c>
      <c r="O3" s="8" t="s">
        <v>115</v>
      </c>
      <c r="P3" s="8" t="s">
        <v>126</v>
      </c>
      <c r="Q3" s="8" t="s">
        <v>122</v>
      </c>
      <c r="R3" s="8" t="s">
        <v>113</v>
      </c>
      <c r="S3" s="8" t="s">
        <v>131</v>
      </c>
      <c r="T3" s="8" t="s">
        <v>129</v>
      </c>
      <c r="U3" s="8" t="s">
        <v>149</v>
      </c>
      <c r="V3" s="8" t="s">
        <v>151</v>
      </c>
      <c r="X3" s="2" t="s">
        <v>1</v>
      </c>
    </row>
    <row r="4" spans="1:24" x14ac:dyDescent="0.2">
      <c r="B4" s="8" t="s">
        <v>635</v>
      </c>
      <c r="C4" s="8" t="s">
        <v>266</v>
      </c>
      <c r="D4" s="8" t="s">
        <v>266</v>
      </c>
      <c r="E4" s="8" t="s">
        <v>266</v>
      </c>
      <c r="F4" s="8" t="s">
        <v>266</v>
      </c>
      <c r="G4" s="8" t="s">
        <v>371</v>
      </c>
      <c r="H4" s="8" t="s">
        <v>266</v>
      </c>
      <c r="I4" s="8" t="s">
        <v>144</v>
      </c>
      <c r="J4" s="8" t="s">
        <v>144</v>
      </c>
      <c r="K4" s="8" t="s">
        <v>144</v>
      </c>
      <c r="L4" s="8" t="s">
        <v>144</v>
      </c>
      <c r="M4" s="8" t="s">
        <v>144</v>
      </c>
      <c r="N4" s="8" t="s">
        <v>144</v>
      </c>
      <c r="O4" s="8" t="s">
        <v>144</v>
      </c>
      <c r="P4" s="8" t="s">
        <v>144</v>
      </c>
      <c r="Q4" s="8" t="s">
        <v>144</v>
      </c>
      <c r="R4" s="8" t="s">
        <v>144</v>
      </c>
      <c r="S4" s="8" t="s">
        <v>144</v>
      </c>
      <c r="T4" s="8" t="s">
        <v>144</v>
      </c>
      <c r="U4" s="8" t="s">
        <v>144</v>
      </c>
      <c r="V4" s="8" t="s">
        <v>144</v>
      </c>
      <c r="X4" s="2" t="s">
        <v>1</v>
      </c>
    </row>
    <row r="5" spans="1:24" x14ac:dyDescent="0.2">
      <c r="X5" s="2" t="s">
        <v>1</v>
      </c>
    </row>
    <row r="6" spans="1:24" x14ac:dyDescent="0.2">
      <c r="X6" s="2" t="s">
        <v>1</v>
      </c>
    </row>
    <row r="7" spans="1:24" x14ac:dyDescent="0.2">
      <c r="A7" s="7">
        <f>DATE(85,4,30)</f>
        <v>31167</v>
      </c>
      <c r="B7" s="2">
        <v>5.2</v>
      </c>
      <c r="C7" s="2">
        <v>493</v>
      </c>
      <c r="D7" s="2">
        <v>67</v>
      </c>
      <c r="F7" s="2">
        <v>1596</v>
      </c>
      <c r="G7" s="2">
        <v>324</v>
      </c>
      <c r="H7" s="2">
        <v>335</v>
      </c>
      <c r="I7" s="2">
        <v>396</v>
      </c>
      <c r="J7" s="2">
        <v>225</v>
      </c>
      <c r="K7" s="2">
        <v>18</v>
      </c>
      <c r="M7" s="2">
        <v>146</v>
      </c>
      <c r="N7" s="2">
        <v>155</v>
      </c>
      <c r="O7" s="2">
        <v>756</v>
      </c>
      <c r="P7" s="2">
        <v>357</v>
      </c>
      <c r="Q7" s="2">
        <v>203</v>
      </c>
      <c r="R7" s="2">
        <v>140</v>
      </c>
      <c r="S7" s="2">
        <v>131</v>
      </c>
      <c r="T7" s="2">
        <v>270</v>
      </c>
      <c r="U7" s="2">
        <v>210</v>
      </c>
      <c r="V7" s="2">
        <v>379</v>
      </c>
      <c r="X7" s="2" t="s">
        <v>1</v>
      </c>
    </row>
    <row r="8" spans="1:24" x14ac:dyDescent="0.2">
      <c r="A8" s="7">
        <f>DATE(85,5,30)</f>
        <v>31197</v>
      </c>
      <c r="C8" s="2">
        <v>526</v>
      </c>
      <c r="D8" s="2">
        <v>46</v>
      </c>
      <c r="F8" s="2">
        <v>1606</v>
      </c>
      <c r="G8" s="2">
        <v>341</v>
      </c>
      <c r="H8" s="2">
        <v>335</v>
      </c>
      <c r="K8" s="2">
        <v>36</v>
      </c>
      <c r="L8" s="2">
        <v>0</v>
      </c>
      <c r="M8" s="2">
        <v>143</v>
      </c>
      <c r="N8" s="2">
        <v>148</v>
      </c>
      <c r="O8" s="2">
        <v>679</v>
      </c>
      <c r="P8" s="2">
        <v>120</v>
      </c>
      <c r="Q8" s="2">
        <v>146</v>
      </c>
      <c r="R8" s="2">
        <v>1115</v>
      </c>
      <c r="S8" s="2">
        <v>938</v>
      </c>
      <c r="T8" s="2">
        <v>11800</v>
      </c>
      <c r="U8" s="2">
        <v>29300</v>
      </c>
      <c r="X8" s="2" t="s">
        <v>1</v>
      </c>
    </row>
    <row r="9" spans="1:24" x14ac:dyDescent="0.2">
      <c r="A9" s="7">
        <f>DATE(85,5,31)</f>
        <v>31198</v>
      </c>
      <c r="G9" s="2">
        <v>359</v>
      </c>
      <c r="X9" s="2" t="s">
        <v>1</v>
      </c>
    </row>
    <row r="10" spans="1:24" x14ac:dyDescent="0.2">
      <c r="A10" s="7">
        <f>DATE(85,7,2)</f>
        <v>31230</v>
      </c>
      <c r="B10" s="2">
        <v>1.3</v>
      </c>
      <c r="C10" s="2">
        <v>493</v>
      </c>
      <c r="D10" s="2">
        <v>58</v>
      </c>
      <c r="F10" s="2">
        <v>1598</v>
      </c>
      <c r="G10" s="2">
        <v>342</v>
      </c>
      <c r="H10" s="2">
        <v>337</v>
      </c>
      <c r="I10" s="2">
        <v>384</v>
      </c>
      <c r="J10" s="2">
        <v>220</v>
      </c>
      <c r="M10" s="2">
        <v>146</v>
      </c>
      <c r="N10" s="2">
        <v>154</v>
      </c>
      <c r="O10" s="2">
        <v>942</v>
      </c>
      <c r="P10" s="2">
        <v>349</v>
      </c>
      <c r="Q10" s="2">
        <v>100</v>
      </c>
      <c r="R10" s="2">
        <v>127</v>
      </c>
      <c r="S10" s="2">
        <v>145</v>
      </c>
      <c r="T10" s="2">
        <v>113</v>
      </c>
      <c r="U10" s="2">
        <v>50</v>
      </c>
      <c r="V10" s="2">
        <v>137</v>
      </c>
      <c r="X10" s="2" t="s">
        <v>1</v>
      </c>
    </row>
    <row r="11" spans="1:24" x14ac:dyDescent="0.2">
      <c r="A11" s="7">
        <f>DATE(85,7,3)</f>
        <v>31231</v>
      </c>
      <c r="B11" s="2">
        <v>0</v>
      </c>
      <c r="C11" s="2">
        <v>487</v>
      </c>
      <c r="D11" s="2">
        <v>60</v>
      </c>
      <c r="F11" s="2">
        <v>1613</v>
      </c>
      <c r="G11" s="2">
        <v>350</v>
      </c>
      <c r="H11" s="2">
        <v>336</v>
      </c>
      <c r="I11" s="2">
        <v>380</v>
      </c>
      <c r="J11" s="2">
        <v>219</v>
      </c>
      <c r="M11" s="2">
        <v>146</v>
      </c>
      <c r="N11" s="2">
        <v>152</v>
      </c>
      <c r="O11" s="2">
        <v>739</v>
      </c>
      <c r="P11" s="2">
        <v>342</v>
      </c>
      <c r="Q11" s="2">
        <v>250</v>
      </c>
      <c r="R11" s="2">
        <v>141</v>
      </c>
      <c r="S11" s="2">
        <v>125</v>
      </c>
      <c r="T11" s="2">
        <v>357</v>
      </c>
      <c r="U11" s="2">
        <v>193</v>
      </c>
      <c r="V11" s="2">
        <v>359</v>
      </c>
      <c r="X11" s="2" t="s">
        <v>1</v>
      </c>
    </row>
    <row r="12" spans="1:24" x14ac:dyDescent="0.2">
      <c r="A12" s="7">
        <f>DATE(85,8,20)</f>
        <v>31279</v>
      </c>
      <c r="B12" s="2">
        <v>0.9</v>
      </c>
      <c r="C12" s="2">
        <v>480</v>
      </c>
      <c r="D12" s="2">
        <v>83</v>
      </c>
      <c r="E12" s="2">
        <v>84</v>
      </c>
      <c r="F12" s="2">
        <v>1610</v>
      </c>
      <c r="G12" s="2">
        <v>342</v>
      </c>
      <c r="H12" s="2">
        <v>335</v>
      </c>
      <c r="I12" s="2">
        <v>338</v>
      </c>
      <c r="J12" s="2">
        <v>425</v>
      </c>
      <c r="K12" s="2">
        <v>21</v>
      </c>
      <c r="M12" s="2">
        <v>158</v>
      </c>
      <c r="N12" s="2">
        <v>152</v>
      </c>
      <c r="O12" s="2">
        <v>749</v>
      </c>
      <c r="X12" s="2" t="s">
        <v>1</v>
      </c>
    </row>
    <row r="13" spans="1:24" x14ac:dyDescent="0.2">
      <c r="A13" s="7">
        <f>DATE(85,8,27)</f>
        <v>31286</v>
      </c>
      <c r="B13" s="2">
        <v>2.2000000000000002</v>
      </c>
      <c r="C13" s="2">
        <v>529</v>
      </c>
      <c r="D13" s="2">
        <v>99</v>
      </c>
      <c r="E13" s="2">
        <v>100</v>
      </c>
      <c r="F13" s="2">
        <v>1614</v>
      </c>
      <c r="G13" s="2">
        <v>346</v>
      </c>
      <c r="H13" s="2">
        <v>333</v>
      </c>
      <c r="I13" s="2">
        <v>384</v>
      </c>
      <c r="J13" s="2">
        <v>225</v>
      </c>
      <c r="K13" s="2">
        <v>21</v>
      </c>
      <c r="L13" s="2">
        <v>27</v>
      </c>
      <c r="M13" s="2">
        <v>173</v>
      </c>
      <c r="N13" s="2">
        <v>152</v>
      </c>
      <c r="O13" s="2">
        <v>795</v>
      </c>
      <c r="X13" s="2" t="s">
        <v>1</v>
      </c>
    </row>
    <row r="14" spans="1:24" x14ac:dyDescent="0.2">
      <c r="A14" s="7">
        <f>DATE(86,1,27)</f>
        <v>31439</v>
      </c>
      <c r="B14" s="2">
        <v>5.0999999999999996</v>
      </c>
      <c r="C14" s="2">
        <v>511</v>
      </c>
      <c r="D14" s="2">
        <v>50</v>
      </c>
      <c r="F14" s="2">
        <v>1596</v>
      </c>
      <c r="G14" s="2">
        <v>343</v>
      </c>
      <c r="H14" s="2">
        <v>337</v>
      </c>
      <c r="I14" s="2">
        <v>395</v>
      </c>
      <c r="J14" s="2">
        <v>228</v>
      </c>
      <c r="L14" s="2">
        <v>10</v>
      </c>
      <c r="O14" s="2">
        <v>659</v>
      </c>
      <c r="P14" s="2">
        <v>181</v>
      </c>
      <c r="Q14" s="2">
        <v>64</v>
      </c>
      <c r="R14" s="2">
        <v>100</v>
      </c>
      <c r="S14" s="2">
        <v>34</v>
      </c>
      <c r="T14" s="2">
        <v>77</v>
      </c>
      <c r="U14" s="2">
        <v>16</v>
      </c>
      <c r="V14" s="2">
        <v>24</v>
      </c>
      <c r="X14" s="2" t="s">
        <v>1</v>
      </c>
    </row>
    <row r="15" spans="1:24" x14ac:dyDescent="0.2">
      <c r="A15" s="7">
        <f>DATE(86,1,28)</f>
        <v>31440</v>
      </c>
      <c r="B15" s="2">
        <v>0</v>
      </c>
      <c r="C15" s="2">
        <v>495</v>
      </c>
      <c r="D15" s="2">
        <v>50</v>
      </c>
      <c r="F15" s="2">
        <v>1608</v>
      </c>
      <c r="G15" s="2">
        <v>381</v>
      </c>
      <c r="H15" s="2">
        <v>340</v>
      </c>
      <c r="I15" s="2">
        <v>394</v>
      </c>
      <c r="J15" s="2">
        <v>226</v>
      </c>
      <c r="L15" s="2">
        <v>10</v>
      </c>
      <c r="O15" s="2">
        <v>808</v>
      </c>
      <c r="P15" s="2">
        <v>183</v>
      </c>
      <c r="Q15" s="2">
        <v>162</v>
      </c>
      <c r="R15" s="2">
        <v>97</v>
      </c>
      <c r="S15" s="2">
        <v>31</v>
      </c>
      <c r="T15" s="2">
        <v>169</v>
      </c>
      <c r="U15" s="2">
        <v>16</v>
      </c>
      <c r="V15" s="2">
        <v>23</v>
      </c>
      <c r="X15" s="2" t="s">
        <v>1</v>
      </c>
    </row>
    <row r="16" spans="1:24" x14ac:dyDescent="0.2">
      <c r="A16" s="7">
        <f>DATE(87,5,6)</f>
        <v>31903</v>
      </c>
      <c r="B16" s="17">
        <v>4</v>
      </c>
      <c r="C16" s="2">
        <v>541</v>
      </c>
      <c r="D16" s="2">
        <v>53</v>
      </c>
      <c r="E16" s="2">
        <v>50</v>
      </c>
      <c r="F16" s="2">
        <v>1630</v>
      </c>
      <c r="G16" s="2">
        <v>349</v>
      </c>
      <c r="H16" s="2">
        <v>342</v>
      </c>
      <c r="I16" s="2">
        <v>456</v>
      </c>
      <c r="J16" s="2">
        <v>244</v>
      </c>
      <c r="K16" s="2">
        <v>37</v>
      </c>
      <c r="L16" s="2">
        <v>6</v>
      </c>
      <c r="M16" s="2">
        <v>165</v>
      </c>
      <c r="N16" s="2">
        <v>166</v>
      </c>
      <c r="O16" s="2">
        <v>820</v>
      </c>
      <c r="P16" s="2">
        <v>321</v>
      </c>
      <c r="Q16" s="2">
        <v>243</v>
      </c>
      <c r="R16" s="2">
        <v>117</v>
      </c>
      <c r="S16" s="2">
        <v>89</v>
      </c>
      <c r="T16" s="2">
        <v>95</v>
      </c>
      <c r="U16" s="2">
        <v>46</v>
      </c>
      <c r="V16" s="2">
        <v>159</v>
      </c>
      <c r="X16" s="2" t="s">
        <v>1</v>
      </c>
    </row>
    <row r="17" spans="1:24" x14ac:dyDescent="0.2">
      <c r="X17" s="2" t="s">
        <v>1</v>
      </c>
    </row>
    <row r="18" spans="1:24" x14ac:dyDescent="0.2">
      <c r="A18" s="2" t="s">
        <v>601</v>
      </c>
      <c r="X18" s="2" t="s">
        <v>1</v>
      </c>
    </row>
    <row r="19" spans="1:24" x14ac:dyDescent="0.2">
      <c r="A19" s="7">
        <f t="shared" ref="A19:V19" si="0">AVERAGE(A7)</f>
        <v>31167</v>
      </c>
      <c r="B19" s="4">
        <f t="shared" si="0"/>
        <v>5.2</v>
      </c>
      <c r="C19" s="4">
        <f t="shared" si="0"/>
        <v>493</v>
      </c>
      <c r="D19" s="4">
        <f t="shared" si="0"/>
        <v>67</v>
      </c>
      <c r="E19" s="4" t="e">
        <f t="shared" si="0"/>
        <v>#DIV/0!</v>
      </c>
      <c r="F19" s="4">
        <f t="shared" si="0"/>
        <v>1596</v>
      </c>
      <c r="G19" s="4">
        <f t="shared" si="0"/>
        <v>324</v>
      </c>
      <c r="H19" s="4">
        <f t="shared" si="0"/>
        <v>335</v>
      </c>
      <c r="I19" s="4">
        <f t="shared" si="0"/>
        <v>396</v>
      </c>
      <c r="J19" s="4">
        <f t="shared" si="0"/>
        <v>225</v>
      </c>
      <c r="K19" s="4">
        <f t="shared" si="0"/>
        <v>18</v>
      </c>
      <c r="L19" s="4" t="e">
        <f t="shared" si="0"/>
        <v>#DIV/0!</v>
      </c>
      <c r="M19" s="4">
        <f t="shared" si="0"/>
        <v>146</v>
      </c>
      <c r="N19" s="4">
        <f t="shared" si="0"/>
        <v>155</v>
      </c>
      <c r="O19" s="4">
        <f t="shared" si="0"/>
        <v>756</v>
      </c>
      <c r="P19" s="4">
        <f t="shared" si="0"/>
        <v>357</v>
      </c>
      <c r="Q19" s="4">
        <f t="shared" si="0"/>
        <v>203</v>
      </c>
      <c r="R19" s="4">
        <f t="shared" si="0"/>
        <v>140</v>
      </c>
      <c r="S19" s="4">
        <f t="shared" si="0"/>
        <v>131</v>
      </c>
      <c r="T19" s="4">
        <f t="shared" si="0"/>
        <v>270</v>
      </c>
      <c r="U19" s="4">
        <f t="shared" si="0"/>
        <v>210</v>
      </c>
      <c r="V19" s="4">
        <f t="shared" si="0"/>
        <v>379</v>
      </c>
      <c r="X19" s="2" t="s">
        <v>1</v>
      </c>
    </row>
    <row r="20" spans="1:24" x14ac:dyDescent="0.2">
      <c r="A20" s="7">
        <f>AVERAGE(A8:A9)</f>
        <v>31197.5</v>
      </c>
      <c r="B20" s="4"/>
      <c r="C20" s="4">
        <f>AVERAGE(C8:C9)</f>
        <v>526</v>
      </c>
      <c r="D20" s="4">
        <f>AVERAGE(D8:D9)</f>
        <v>46</v>
      </c>
      <c r="E20" s="4"/>
      <c r="F20" s="4">
        <f>AVERAGE(F8:F9)</f>
        <v>1606</v>
      </c>
      <c r="G20" s="4">
        <f>AVERAGE(G8:G9)</f>
        <v>350</v>
      </c>
      <c r="H20" s="4">
        <f>AVERAGE(H8:H9)</f>
        <v>335</v>
      </c>
      <c r="I20" s="4"/>
      <c r="J20" s="4"/>
      <c r="K20" s="4">
        <f t="shared" ref="K20:U20" si="1">AVERAGE(K8:K9)</f>
        <v>36</v>
      </c>
      <c r="L20" s="4">
        <f t="shared" si="1"/>
        <v>0</v>
      </c>
      <c r="M20" s="4">
        <f t="shared" si="1"/>
        <v>143</v>
      </c>
      <c r="N20" s="4">
        <f t="shared" si="1"/>
        <v>148</v>
      </c>
      <c r="O20" s="4">
        <f t="shared" si="1"/>
        <v>679</v>
      </c>
      <c r="P20" s="4">
        <f t="shared" si="1"/>
        <v>120</v>
      </c>
      <c r="Q20" s="4">
        <f t="shared" si="1"/>
        <v>146</v>
      </c>
      <c r="R20" s="4">
        <f t="shared" si="1"/>
        <v>1115</v>
      </c>
      <c r="S20" s="4">
        <f t="shared" si="1"/>
        <v>938</v>
      </c>
      <c r="T20" s="4">
        <f t="shared" si="1"/>
        <v>11800</v>
      </c>
      <c r="U20" s="4">
        <f t="shared" si="1"/>
        <v>29300</v>
      </c>
      <c r="V20" s="4"/>
      <c r="X20" s="2" t="s">
        <v>1</v>
      </c>
    </row>
    <row r="21" spans="1:24" x14ac:dyDescent="0.2">
      <c r="A21" s="7">
        <f>AVERAGE(A10:A11)</f>
        <v>31230.5</v>
      </c>
      <c r="B21" s="4">
        <f>AVERAGE(B10:B11)</f>
        <v>0.65</v>
      </c>
      <c r="C21" s="4">
        <f>AVERAGE(C10:C11)</f>
        <v>490</v>
      </c>
      <c r="D21" s="4">
        <f>AVERAGE(D10:D11)</f>
        <v>59</v>
      </c>
      <c r="E21" s="4"/>
      <c r="F21" s="4">
        <f>AVERAGE(F10:F11)</f>
        <v>1605.5</v>
      </c>
      <c r="G21" s="4">
        <f>AVERAGE(G10:G11)</f>
        <v>346</v>
      </c>
      <c r="H21" s="4">
        <f>AVERAGE(H10:H11)</f>
        <v>336.5</v>
      </c>
      <c r="I21" s="4">
        <f>AVERAGE(I10:I11)</f>
        <v>382</v>
      </c>
      <c r="J21" s="4">
        <f>AVERAGE(J10:J11)</f>
        <v>219.5</v>
      </c>
      <c r="K21" s="4"/>
      <c r="L21" s="4"/>
      <c r="M21" s="4">
        <f t="shared" ref="M21:V21" si="2">AVERAGE(M10:M11)</f>
        <v>146</v>
      </c>
      <c r="N21" s="4">
        <f t="shared" si="2"/>
        <v>153</v>
      </c>
      <c r="O21" s="4">
        <f t="shared" si="2"/>
        <v>840.5</v>
      </c>
      <c r="P21" s="4">
        <f t="shared" si="2"/>
        <v>345.5</v>
      </c>
      <c r="Q21" s="4">
        <f t="shared" si="2"/>
        <v>175</v>
      </c>
      <c r="R21" s="4">
        <f t="shared" si="2"/>
        <v>134</v>
      </c>
      <c r="S21" s="4">
        <f t="shared" si="2"/>
        <v>135</v>
      </c>
      <c r="T21" s="4">
        <f t="shared" si="2"/>
        <v>235</v>
      </c>
      <c r="U21" s="4">
        <f t="shared" si="2"/>
        <v>121.5</v>
      </c>
      <c r="V21" s="4">
        <f t="shared" si="2"/>
        <v>248</v>
      </c>
      <c r="X21" s="2" t="s">
        <v>1</v>
      </c>
    </row>
    <row r="22" spans="1:24" x14ac:dyDescent="0.2">
      <c r="A22" s="7">
        <f t="shared" ref="A22:O22" si="3">AVERAGE(A12:A13)</f>
        <v>31282.5</v>
      </c>
      <c r="B22" s="4">
        <f t="shared" si="3"/>
        <v>1.55</v>
      </c>
      <c r="C22" s="4">
        <f t="shared" si="3"/>
        <v>504.5</v>
      </c>
      <c r="D22" s="4">
        <f t="shared" si="3"/>
        <v>91</v>
      </c>
      <c r="E22" s="4">
        <f t="shared" si="3"/>
        <v>92</v>
      </c>
      <c r="F22" s="4">
        <f t="shared" si="3"/>
        <v>1612</v>
      </c>
      <c r="G22" s="4">
        <f t="shared" si="3"/>
        <v>344</v>
      </c>
      <c r="H22" s="4">
        <f t="shared" si="3"/>
        <v>334</v>
      </c>
      <c r="I22" s="4">
        <f t="shared" si="3"/>
        <v>361</v>
      </c>
      <c r="J22" s="4">
        <f t="shared" si="3"/>
        <v>325</v>
      </c>
      <c r="K22" s="4">
        <f t="shared" si="3"/>
        <v>21</v>
      </c>
      <c r="L22" s="4">
        <f t="shared" si="3"/>
        <v>27</v>
      </c>
      <c r="M22" s="4">
        <f t="shared" si="3"/>
        <v>165.5</v>
      </c>
      <c r="N22" s="4">
        <f t="shared" si="3"/>
        <v>152</v>
      </c>
      <c r="O22" s="4">
        <f t="shared" si="3"/>
        <v>772</v>
      </c>
      <c r="P22" s="4"/>
      <c r="Q22" s="4"/>
      <c r="R22" s="4"/>
      <c r="S22" s="4"/>
      <c r="T22" s="4"/>
      <c r="U22" s="4"/>
      <c r="V22" s="4"/>
      <c r="X22" s="2" t="s">
        <v>1</v>
      </c>
    </row>
    <row r="23" spans="1:24" x14ac:dyDescent="0.2">
      <c r="A23" s="7">
        <f>AVERAGE(A14:A15)</f>
        <v>31439.5</v>
      </c>
      <c r="B23" s="4">
        <f>AVERAGE(B14:B15)</f>
        <v>2.5499999999999998</v>
      </c>
      <c r="C23" s="4">
        <f>AVERAGE(C14:C15)</f>
        <v>503</v>
      </c>
      <c r="D23" s="4">
        <f>AVERAGE(D14:D15)</f>
        <v>50</v>
      </c>
      <c r="E23" s="4"/>
      <c r="F23" s="4">
        <f>AVERAGE(F14:F15)</f>
        <v>1602</v>
      </c>
      <c r="G23" s="4">
        <f>AVERAGE(G14:G15)</f>
        <v>362</v>
      </c>
      <c r="H23" s="4">
        <f>AVERAGE(H14:H15)</f>
        <v>338.5</v>
      </c>
      <c r="I23" s="4">
        <f>AVERAGE(I14:I15)</f>
        <v>394.5</v>
      </c>
      <c r="J23" s="4">
        <f>AVERAGE(J14:J15)</f>
        <v>227</v>
      </c>
      <c r="K23" s="4"/>
      <c r="L23" s="4">
        <f>AVERAGE(L14:L15)</f>
        <v>10</v>
      </c>
      <c r="M23" s="4"/>
      <c r="N23" s="4"/>
      <c r="O23" s="4">
        <f t="shared" ref="O23:V23" si="4">AVERAGE(O14:O15)</f>
        <v>733.5</v>
      </c>
      <c r="P23" s="4">
        <f t="shared" si="4"/>
        <v>182</v>
      </c>
      <c r="Q23" s="4">
        <f t="shared" si="4"/>
        <v>113</v>
      </c>
      <c r="R23" s="4">
        <f t="shared" si="4"/>
        <v>98.5</v>
      </c>
      <c r="S23" s="4">
        <f t="shared" si="4"/>
        <v>32.5</v>
      </c>
      <c r="T23" s="4">
        <f t="shared" si="4"/>
        <v>123</v>
      </c>
      <c r="U23" s="4">
        <f t="shared" si="4"/>
        <v>16</v>
      </c>
      <c r="V23" s="4">
        <f t="shared" si="4"/>
        <v>23.5</v>
      </c>
      <c r="X23" s="2" t="s">
        <v>1</v>
      </c>
    </row>
    <row r="24" spans="1:24" x14ac:dyDescent="0.2">
      <c r="A24" s="7">
        <f t="shared" ref="A24:V24" si="5">AVERAGE(A16)</f>
        <v>31903</v>
      </c>
      <c r="B24" s="4">
        <f t="shared" si="5"/>
        <v>4</v>
      </c>
      <c r="C24" s="4">
        <f t="shared" si="5"/>
        <v>541</v>
      </c>
      <c r="D24" s="4">
        <f t="shared" si="5"/>
        <v>53</v>
      </c>
      <c r="E24" s="4">
        <f t="shared" si="5"/>
        <v>50</v>
      </c>
      <c r="F24" s="4">
        <f t="shared" si="5"/>
        <v>1630</v>
      </c>
      <c r="G24" s="4">
        <f t="shared" si="5"/>
        <v>349</v>
      </c>
      <c r="H24" s="4">
        <f t="shared" si="5"/>
        <v>342</v>
      </c>
      <c r="I24" s="4">
        <f t="shared" si="5"/>
        <v>456</v>
      </c>
      <c r="J24" s="4">
        <f t="shared" si="5"/>
        <v>244</v>
      </c>
      <c r="K24" s="4">
        <f t="shared" si="5"/>
        <v>37</v>
      </c>
      <c r="L24" s="4">
        <f t="shared" si="5"/>
        <v>6</v>
      </c>
      <c r="M24" s="4">
        <f t="shared" si="5"/>
        <v>165</v>
      </c>
      <c r="N24" s="4">
        <f t="shared" si="5"/>
        <v>166</v>
      </c>
      <c r="O24" s="4">
        <f t="shared" si="5"/>
        <v>820</v>
      </c>
      <c r="P24" s="4">
        <f t="shared" si="5"/>
        <v>321</v>
      </c>
      <c r="Q24" s="4">
        <f t="shared" si="5"/>
        <v>243</v>
      </c>
      <c r="R24" s="4">
        <f t="shared" si="5"/>
        <v>117</v>
      </c>
      <c r="S24" s="4">
        <f t="shared" si="5"/>
        <v>89</v>
      </c>
      <c r="T24" s="4">
        <f t="shared" si="5"/>
        <v>95</v>
      </c>
      <c r="U24" s="4">
        <f t="shared" si="5"/>
        <v>46</v>
      </c>
      <c r="V24" s="4">
        <f t="shared" si="5"/>
        <v>159</v>
      </c>
      <c r="X24" s="2" t="s">
        <v>1</v>
      </c>
    </row>
    <row r="25" spans="1:24" x14ac:dyDescent="0.2">
      <c r="X25" s="2" t="s">
        <v>1</v>
      </c>
    </row>
    <row r="26" spans="1:24" x14ac:dyDescent="0.2">
      <c r="A26" s="2" t="s">
        <v>1695</v>
      </c>
      <c r="X26" s="2" t="s">
        <v>1</v>
      </c>
    </row>
    <row r="27" spans="1:24" x14ac:dyDescent="0.2">
      <c r="B27" s="8" t="s">
        <v>116</v>
      </c>
      <c r="C27" s="8" t="s">
        <v>117</v>
      </c>
      <c r="D27" s="8" t="s">
        <v>118</v>
      </c>
      <c r="E27" s="8" t="s">
        <v>118</v>
      </c>
      <c r="F27" s="8" t="s">
        <v>123</v>
      </c>
      <c r="G27" s="8" t="s">
        <v>134</v>
      </c>
      <c r="H27" s="8" t="s">
        <v>138</v>
      </c>
      <c r="I27" s="8" t="s">
        <v>136</v>
      </c>
      <c r="J27" s="8" t="s">
        <v>130</v>
      </c>
      <c r="K27" s="8" t="s">
        <v>133</v>
      </c>
      <c r="L27" s="8" t="s">
        <v>127</v>
      </c>
      <c r="M27" s="8" t="s">
        <v>121</v>
      </c>
      <c r="N27" s="8" t="s">
        <v>112</v>
      </c>
      <c r="O27" s="8" t="s">
        <v>115</v>
      </c>
      <c r="P27" s="8" t="s">
        <v>126</v>
      </c>
      <c r="Q27" s="8" t="s">
        <v>122</v>
      </c>
      <c r="R27" s="8" t="s">
        <v>113</v>
      </c>
      <c r="S27" s="8" t="s">
        <v>131</v>
      </c>
      <c r="T27" s="8" t="s">
        <v>129</v>
      </c>
      <c r="U27" s="8" t="s">
        <v>149</v>
      </c>
      <c r="V27" s="8" t="s">
        <v>151</v>
      </c>
      <c r="X27" s="2" t="s">
        <v>1</v>
      </c>
    </row>
    <row r="28" spans="1:24" x14ac:dyDescent="0.2">
      <c r="B28" s="8" t="s">
        <v>635</v>
      </c>
      <c r="C28" s="8" t="s">
        <v>266</v>
      </c>
      <c r="D28" s="8" t="s">
        <v>266</v>
      </c>
      <c r="E28" s="8" t="s">
        <v>266</v>
      </c>
      <c r="F28" s="8" t="s">
        <v>266</v>
      </c>
      <c r="G28" s="8" t="s">
        <v>371</v>
      </c>
      <c r="H28" s="8" t="s">
        <v>266</v>
      </c>
      <c r="I28" s="8" t="s">
        <v>144</v>
      </c>
      <c r="J28" s="8" t="s">
        <v>144</v>
      </c>
      <c r="K28" s="8" t="s">
        <v>144</v>
      </c>
      <c r="L28" s="8" t="s">
        <v>144</v>
      </c>
      <c r="M28" s="8" t="s">
        <v>144</v>
      </c>
      <c r="N28" s="8" t="s">
        <v>144</v>
      </c>
      <c r="O28" s="8" t="s">
        <v>144</v>
      </c>
      <c r="P28" s="8" t="s">
        <v>144</v>
      </c>
      <c r="Q28" s="8" t="s">
        <v>144</v>
      </c>
      <c r="R28" s="8" t="s">
        <v>144</v>
      </c>
      <c r="S28" s="8" t="s">
        <v>144</v>
      </c>
      <c r="T28" s="8" t="s">
        <v>144</v>
      </c>
      <c r="U28" s="8" t="s">
        <v>144</v>
      </c>
      <c r="V28" s="8" t="s">
        <v>144</v>
      </c>
      <c r="X28" s="2" t="s">
        <v>1</v>
      </c>
    </row>
    <row r="29" spans="1:24" x14ac:dyDescent="0.2">
      <c r="X29" s="2" t="s">
        <v>1</v>
      </c>
    </row>
    <row r="30" spans="1:24" x14ac:dyDescent="0.2">
      <c r="A30" s="7">
        <f t="shared" ref="A30:V30" si="6">AVERAGE(A19:A24)</f>
        <v>31370</v>
      </c>
      <c r="B30" s="4">
        <f t="shared" si="6"/>
        <v>2.79</v>
      </c>
      <c r="C30" s="4">
        <f t="shared" si="6"/>
        <v>509.58333333333331</v>
      </c>
      <c r="D30" s="4">
        <f t="shared" si="6"/>
        <v>61</v>
      </c>
      <c r="E30" s="4" t="e">
        <f t="shared" si="6"/>
        <v>#DIV/0!</v>
      </c>
      <c r="F30" s="4">
        <f t="shared" si="6"/>
        <v>1608.5833333333333</v>
      </c>
      <c r="G30" s="4">
        <f t="shared" si="6"/>
        <v>345.83333333333331</v>
      </c>
      <c r="H30" s="4">
        <f t="shared" si="6"/>
        <v>336.83333333333331</v>
      </c>
      <c r="I30" s="4">
        <f t="shared" si="6"/>
        <v>397.9</v>
      </c>
      <c r="J30" s="4">
        <f t="shared" si="6"/>
        <v>248.1</v>
      </c>
      <c r="K30" s="4">
        <f t="shared" si="6"/>
        <v>28</v>
      </c>
      <c r="L30" s="4" t="e">
        <f t="shared" si="6"/>
        <v>#DIV/0!</v>
      </c>
      <c r="M30" s="4">
        <f t="shared" si="6"/>
        <v>153.1</v>
      </c>
      <c r="N30" s="4">
        <f t="shared" si="6"/>
        <v>154.80000000000001</v>
      </c>
      <c r="O30" s="4">
        <f t="shared" si="6"/>
        <v>766.83333333333337</v>
      </c>
      <c r="P30" s="4">
        <f t="shared" si="6"/>
        <v>265.10000000000002</v>
      </c>
      <c r="Q30" s="4">
        <f t="shared" si="6"/>
        <v>176</v>
      </c>
      <c r="R30" s="4">
        <f t="shared" si="6"/>
        <v>320.89999999999998</v>
      </c>
      <c r="S30" s="4">
        <f t="shared" si="6"/>
        <v>265.10000000000002</v>
      </c>
      <c r="T30" s="4">
        <f t="shared" si="6"/>
        <v>2504.6</v>
      </c>
      <c r="U30" s="4">
        <f t="shared" si="6"/>
        <v>5938.7</v>
      </c>
      <c r="V30" s="4">
        <f t="shared" si="6"/>
        <v>202.375</v>
      </c>
      <c r="X30" s="2" t="s">
        <v>1</v>
      </c>
    </row>
    <row r="31" spans="1:24" x14ac:dyDescent="0.2">
      <c r="B31" s="4">
        <f t="shared" ref="B31:V31" si="7">STDEV(B19:B24)</f>
        <v>1.8335075674782475</v>
      </c>
      <c r="C31" s="4">
        <f t="shared" si="7"/>
        <v>19.920885187829043</v>
      </c>
      <c r="D31" s="4">
        <f t="shared" si="7"/>
        <v>16.431676725154983</v>
      </c>
      <c r="E31" s="4" t="e">
        <f t="shared" si="7"/>
        <v>#DIV/0!</v>
      </c>
      <c r="F31" s="4">
        <f t="shared" si="7"/>
        <v>11.732078531388488</v>
      </c>
      <c r="G31" s="4">
        <f t="shared" si="7"/>
        <v>12.400268814290547</v>
      </c>
      <c r="H31" s="4">
        <f t="shared" si="7"/>
        <v>2.9776948578836393</v>
      </c>
      <c r="I31" s="4">
        <f t="shared" si="7"/>
        <v>35.373719058080397</v>
      </c>
      <c r="J31" s="4">
        <f t="shared" si="7"/>
        <v>43.952246814013989</v>
      </c>
      <c r="K31" s="4">
        <f t="shared" si="7"/>
        <v>9.8994949366116654</v>
      </c>
      <c r="L31" s="4" t="e">
        <f t="shared" si="7"/>
        <v>#DIV/0!</v>
      </c>
      <c r="M31" s="4">
        <f t="shared" si="7"/>
        <v>11.160197130875423</v>
      </c>
      <c r="N31" s="4">
        <f t="shared" si="7"/>
        <v>6.7601775124622279</v>
      </c>
      <c r="O31" s="4">
        <f t="shared" si="7"/>
        <v>58.69128271444292</v>
      </c>
      <c r="P31" s="4">
        <f t="shared" si="7"/>
        <v>107.23129207465516</v>
      </c>
      <c r="Q31" s="4">
        <f t="shared" si="7"/>
        <v>50.219518117958877</v>
      </c>
      <c r="R31" s="4">
        <f t="shared" si="7"/>
        <v>444.20946635568225</v>
      </c>
      <c r="S31" s="4">
        <f t="shared" si="7"/>
        <v>378.42344007738211</v>
      </c>
      <c r="T31" s="4">
        <f t="shared" si="7"/>
        <v>5196.8060671916555</v>
      </c>
      <c r="U31" s="4">
        <f t="shared" si="7"/>
        <v>13059.57929835414</v>
      </c>
      <c r="V31" s="4">
        <f t="shared" si="7"/>
        <v>149.61694144269447</v>
      </c>
      <c r="X31" s="2" t="s">
        <v>1</v>
      </c>
    </row>
    <row r="32" spans="1:24" x14ac:dyDescent="0.2">
      <c r="B32" s="2">
        <f t="shared" ref="B32:V32" si="8">COUNTA(B19:B24)</f>
        <v>5</v>
      </c>
      <c r="C32" s="2">
        <f t="shared" si="8"/>
        <v>6</v>
      </c>
      <c r="D32" s="2">
        <f t="shared" si="8"/>
        <v>6</v>
      </c>
      <c r="E32" s="2">
        <f t="shared" si="8"/>
        <v>3</v>
      </c>
      <c r="F32" s="2">
        <f t="shared" si="8"/>
        <v>6</v>
      </c>
      <c r="G32" s="2">
        <f t="shared" si="8"/>
        <v>6</v>
      </c>
      <c r="H32" s="2">
        <f t="shared" si="8"/>
        <v>6</v>
      </c>
      <c r="I32" s="2">
        <f t="shared" si="8"/>
        <v>5</v>
      </c>
      <c r="J32" s="2">
        <f t="shared" si="8"/>
        <v>5</v>
      </c>
      <c r="K32" s="2">
        <f t="shared" si="8"/>
        <v>4</v>
      </c>
      <c r="L32" s="2">
        <f t="shared" si="8"/>
        <v>5</v>
      </c>
      <c r="M32" s="2">
        <f t="shared" si="8"/>
        <v>5</v>
      </c>
      <c r="N32" s="2">
        <f t="shared" si="8"/>
        <v>5</v>
      </c>
      <c r="O32" s="2">
        <f t="shared" si="8"/>
        <v>6</v>
      </c>
      <c r="P32" s="2">
        <f t="shared" si="8"/>
        <v>5</v>
      </c>
      <c r="Q32" s="2">
        <f t="shared" si="8"/>
        <v>5</v>
      </c>
      <c r="R32" s="2">
        <f t="shared" si="8"/>
        <v>5</v>
      </c>
      <c r="S32" s="2">
        <f t="shared" si="8"/>
        <v>5</v>
      </c>
      <c r="T32" s="2">
        <f t="shared" si="8"/>
        <v>5</v>
      </c>
      <c r="U32" s="2">
        <f t="shared" si="8"/>
        <v>5</v>
      </c>
      <c r="V32" s="2">
        <f t="shared" si="8"/>
        <v>4</v>
      </c>
      <c r="X32" s="2" t="s">
        <v>1</v>
      </c>
    </row>
    <row r="33" spans="24:24" x14ac:dyDescent="0.2">
      <c r="X33" s="2" t="s">
        <v>1</v>
      </c>
    </row>
    <row r="34" spans="24:24" x14ac:dyDescent="0.2">
      <c r="X34" s="2" t="s">
        <v>1</v>
      </c>
    </row>
    <row r="35" spans="24:24" x14ac:dyDescent="0.2">
      <c r="X35" s="2" t="s">
        <v>1</v>
      </c>
    </row>
    <row r="36" spans="24:24" x14ac:dyDescent="0.2">
      <c r="X36" s="2" t="s">
        <v>1</v>
      </c>
    </row>
    <row r="37" spans="24:24" x14ac:dyDescent="0.2">
      <c r="X37" s="2" t="s">
        <v>1</v>
      </c>
    </row>
    <row r="38" spans="24:24" x14ac:dyDescent="0.2">
      <c r="X38" s="2" t="s">
        <v>1</v>
      </c>
    </row>
    <row r="39" spans="24:24" x14ac:dyDescent="0.2">
      <c r="X39" s="2" t="s">
        <v>1</v>
      </c>
    </row>
    <row r="40" spans="24:24" x14ac:dyDescent="0.2">
      <c r="X40" s="2" t="s">
        <v>1</v>
      </c>
    </row>
    <row r="41" spans="24:24" x14ac:dyDescent="0.2">
      <c r="X41" s="2" t="s">
        <v>1</v>
      </c>
    </row>
    <row r="42" spans="24:24" x14ac:dyDescent="0.2">
      <c r="X42" s="2" t="s">
        <v>1</v>
      </c>
    </row>
    <row r="43" spans="24:24" x14ac:dyDescent="0.2">
      <c r="X43" s="2" t="s">
        <v>1</v>
      </c>
    </row>
    <row r="44" spans="24:24" x14ac:dyDescent="0.2">
      <c r="X44" s="2" t="s">
        <v>1</v>
      </c>
    </row>
    <row r="45" spans="24:24" x14ac:dyDescent="0.2">
      <c r="X45" s="2" t="s">
        <v>1</v>
      </c>
    </row>
  </sheetData>
  <pageMargins left="0.5" right="0.5" top="0.75" bottom="0.75" header="0.5" footer="0.5"/>
  <pageSetup orientation="portrait" horizontalDpi="0" verticalDpi="0" copies="0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5"/>
  <sheetViews>
    <sheetView showOutlineSymbols="0" defaultGridColor="0" colorId="9" workbookViewId="0"/>
  </sheetViews>
  <sheetFormatPr defaultColWidth="8.6640625" defaultRowHeight="15" x14ac:dyDescent="0.2"/>
  <cols>
    <col min="1" max="16384" width="8.6640625" style="2"/>
  </cols>
  <sheetData>
    <row r="1" spans="1:30" x14ac:dyDescent="0.2">
      <c r="A1" s="2" t="s">
        <v>1696</v>
      </c>
      <c r="AD1" s="2" t="s">
        <v>1</v>
      </c>
    </row>
    <row r="2" spans="1:30" x14ac:dyDescent="0.2">
      <c r="AD2" s="2" t="s">
        <v>1</v>
      </c>
    </row>
    <row r="3" spans="1:30" x14ac:dyDescent="0.2">
      <c r="A3" s="15" t="s">
        <v>253</v>
      </c>
      <c r="B3" s="8" t="s">
        <v>286</v>
      </c>
      <c r="C3" s="2" t="s">
        <v>203</v>
      </c>
      <c r="D3" s="8" t="s">
        <v>123</v>
      </c>
      <c r="E3" s="8" t="s">
        <v>118</v>
      </c>
      <c r="F3" s="8" t="s">
        <v>134</v>
      </c>
      <c r="G3" s="8" t="s">
        <v>138</v>
      </c>
      <c r="H3" s="8" t="s">
        <v>136</v>
      </c>
      <c r="I3" s="8" t="s">
        <v>130</v>
      </c>
      <c r="J3" s="8" t="s">
        <v>121</v>
      </c>
      <c r="K3" s="8" t="s">
        <v>112</v>
      </c>
      <c r="L3" s="8" t="s">
        <v>133</v>
      </c>
      <c r="M3" s="8" t="s">
        <v>142</v>
      </c>
      <c r="N3" s="8" t="s">
        <v>140</v>
      </c>
      <c r="O3" s="8" t="s">
        <v>148</v>
      </c>
      <c r="P3" s="8" t="s">
        <v>115</v>
      </c>
      <c r="Q3" s="8" t="s">
        <v>133</v>
      </c>
      <c r="R3" s="8" t="s">
        <v>128</v>
      </c>
      <c r="S3" s="8" t="s">
        <v>126</v>
      </c>
      <c r="T3" s="8" t="s">
        <v>122</v>
      </c>
      <c r="U3" s="8" t="s">
        <v>113</v>
      </c>
      <c r="V3" s="8" t="s">
        <v>131</v>
      </c>
      <c r="W3" s="8" t="s">
        <v>129</v>
      </c>
      <c r="X3" s="8" t="s">
        <v>149</v>
      </c>
      <c r="Y3" s="8" t="s">
        <v>151</v>
      </c>
      <c r="Z3" s="8" t="s">
        <v>116</v>
      </c>
      <c r="AA3" s="8" t="s">
        <v>132</v>
      </c>
      <c r="AB3" s="8" t="s">
        <v>135</v>
      </c>
      <c r="AD3" s="2" t="s">
        <v>1</v>
      </c>
    </row>
    <row r="4" spans="1:30" x14ac:dyDescent="0.2">
      <c r="B4" s="8" t="s">
        <v>369</v>
      </c>
      <c r="D4" s="8" t="s">
        <v>266</v>
      </c>
      <c r="E4" s="8" t="s">
        <v>266</v>
      </c>
      <c r="F4" s="8" t="s">
        <v>371</v>
      </c>
      <c r="G4" s="8" t="s">
        <v>266</v>
      </c>
      <c r="H4" s="8" t="s">
        <v>144</v>
      </c>
      <c r="I4" s="8" t="s">
        <v>144</v>
      </c>
      <c r="J4" s="8" t="s">
        <v>144</v>
      </c>
      <c r="K4" s="8" t="s">
        <v>144</v>
      </c>
      <c r="L4" s="8" t="s">
        <v>144</v>
      </c>
      <c r="M4" s="8" t="s">
        <v>144</v>
      </c>
      <c r="N4" s="8" t="s">
        <v>144</v>
      </c>
      <c r="O4" s="8" t="s">
        <v>144</v>
      </c>
      <c r="P4" s="8" t="s">
        <v>144</v>
      </c>
      <c r="Q4" s="8" t="s">
        <v>144</v>
      </c>
      <c r="R4" s="8" t="s">
        <v>144</v>
      </c>
      <c r="S4" s="8" t="s">
        <v>144</v>
      </c>
      <c r="T4" s="8" t="s">
        <v>144</v>
      </c>
      <c r="U4" s="8" t="s">
        <v>144</v>
      </c>
      <c r="V4" s="8" t="s">
        <v>144</v>
      </c>
      <c r="W4" s="8" t="s">
        <v>144</v>
      </c>
      <c r="X4" s="8" t="s">
        <v>144</v>
      </c>
      <c r="Y4" s="8" t="s">
        <v>144</v>
      </c>
      <c r="Z4" s="8" t="s">
        <v>144</v>
      </c>
      <c r="AA4" s="8" t="s">
        <v>144</v>
      </c>
      <c r="AB4" s="8" t="s">
        <v>144</v>
      </c>
      <c r="AD4" s="2" t="s">
        <v>1</v>
      </c>
    </row>
    <row r="5" spans="1:30" x14ac:dyDescent="0.2">
      <c r="A5" s="19"/>
      <c r="AD5" s="2" t="s">
        <v>1</v>
      </c>
    </row>
    <row r="6" spans="1:30" x14ac:dyDescent="0.2">
      <c r="A6" s="19">
        <f>DATE(83,8,13)</f>
        <v>30541</v>
      </c>
      <c r="B6" s="2">
        <v>1452</v>
      </c>
      <c r="C6" s="2" t="s">
        <v>1697</v>
      </c>
      <c r="D6" s="2">
        <v>1681</v>
      </c>
      <c r="E6" s="2">
        <v>104</v>
      </c>
      <c r="F6" s="2">
        <v>334</v>
      </c>
      <c r="G6" s="2">
        <v>335</v>
      </c>
      <c r="H6" s="2">
        <v>402</v>
      </c>
      <c r="I6" s="2">
        <v>874</v>
      </c>
      <c r="J6" s="2">
        <v>333</v>
      </c>
      <c r="K6" s="2">
        <v>169</v>
      </c>
      <c r="L6" s="17">
        <v>19.2</v>
      </c>
      <c r="M6" s="2">
        <v>39</v>
      </c>
      <c r="N6" s="2">
        <v>74</v>
      </c>
      <c r="O6" s="2">
        <v>90</v>
      </c>
      <c r="P6" s="2">
        <v>526</v>
      </c>
      <c r="Q6" s="17">
        <v>28.8</v>
      </c>
      <c r="R6" s="2">
        <v>46</v>
      </c>
      <c r="S6" s="2">
        <v>1068</v>
      </c>
      <c r="T6" s="2">
        <v>118</v>
      </c>
      <c r="U6" s="2">
        <v>225</v>
      </c>
      <c r="V6" s="2">
        <v>263</v>
      </c>
      <c r="W6" s="2">
        <v>100</v>
      </c>
      <c r="X6" s="2">
        <v>258</v>
      </c>
      <c r="Y6" s="2">
        <v>170</v>
      </c>
      <c r="Z6" s="2">
        <v>562</v>
      </c>
      <c r="AA6" s="2">
        <v>65</v>
      </c>
      <c r="AB6" s="2">
        <v>145</v>
      </c>
      <c r="AD6" s="2" t="s">
        <v>1</v>
      </c>
    </row>
    <row r="7" spans="1:30" x14ac:dyDescent="0.2">
      <c r="A7" s="19">
        <f>DATE(83,8,13)</f>
        <v>30541</v>
      </c>
      <c r="B7" s="2">
        <v>2146</v>
      </c>
      <c r="D7" s="2">
        <v>1679</v>
      </c>
      <c r="E7" s="2">
        <v>130</v>
      </c>
      <c r="F7" s="2">
        <v>334</v>
      </c>
      <c r="G7" s="2">
        <v>337</v>
      </c>
      <c r="H7" s="2">
        <v>400</v>
      </c>
      <c r="I7" s="2">
        <v>824</v>
      </c>
      <c r="J7" s="2">
        <v>296</v>
      </c>
      <c r="K7" s="2">
        <v>164</v>
      </c>
      <c r="L7" s="17">
        <v>18.7</v>
      </c>
      <c r="M7" s="8" t="s">
        <v>1187</v>
      </c>
      <c r="N7" s="2">
        <v>48</v>
      </c>
      <c r="O7" s="2">
        <v>88</v>
      </c>
      <c r="P7" s="2">
        <v>537</v>
      </c>
      <c r="Q7" s="17">
        <v>28</v>
      </c>
      <c r="R7" s="2">
        <v>42</v>
      </c>
      <c r="S7" s="2">
        <v>1056</v>
      </c>
      <c r="T7" s="2">
        <v>295</v>
      </c>
      <c r="U7" s="2">
        <v>368</v>
      </c>
      <c r="V7" s="2">
        <v>313</v>
      </c>
      <c r="W7" s="2">
        <v>278</v>
      </c>
      <c r="X7" s="2">
        <v>321</v>
      </c>
      <c r="Y7" s="2">
        <v>302</v>
      </c>
      <c r="Z7" s="2">
        <v>254</v>
      </c>
      <c r="AA7" s="2">
        <v>150</v>
      </c>
      <c r="AB7" s="2">
        <v>233</v>
      </c>
      <c r="AD7" s="2" t="s">
        <v>1</v>
      </c>
    </row>
    <row r="8" spans="1:30" x14ac:dyDescent="0.2">
      <c r="A8" s="19">
        <f>DATE(83,8,14)</f>
        <v>30542</v>
      </c>
      <c r="B8" s="2">
        <v>1225</v>
      </c>
      <c r="D8" s="2">
        <v>1684</v>
      </c>
      <c r="E8" s="2">
        <v>123</v>
      </c>
      <c r="F8" s="2">
        <v>334</v>
      </c>
      <c r="G8" s="2">
        <v>334</v>
      </c>
      <c r="H8" s="2">
        <v>377</v>
      </c>
      <c r="I8" s="2">
        <v>234</v>
      </c>
      <c r="J8" s="2">
        <v>241</v>
      </c>
      <c r="K8" s="2">
        <v>167</v>
      </c>
      <c r="L8" s="17">
        <v>22.2</v>
      </c>
      <c r="M8" s="8" t="s">
        <v>1187</v>
      </c>
      <c r="N8" s="2">
        <v>68</v>
      </c>
      <c r="O8" s="2">
        <v>85</v>
      </c>
      <c r="P8" s="2">
        <v>562</v>
      </c>
      <c r="Q8" s="17">
        <v>29.1</v>
      </c>
      <c r="R8" s="2">
        <v>36</v>
      </c>
      <c r="S8" s="2">
        <v>1025</v>
      </c>
      <c r="T8" s="2">
        <v>208</v>
      </c>
      <c r="U8" s="2">
        <v>341</v>
      </c>
      <c r="V8" s="2">
        <v>786</v>
      </c>
      <c r="W8" s="2">
        <v>149</v>
      </c>
      <c r="X8" s="2">
        <v>194</v>
      </c>
      <c r="Y8" s="2">
        <v>307</v>
      </c>
      <c r="Z8" s="2">
        <v>904</v>
      </c>
      <c r="AA8" s="2">
        <v>91</v>
      </c>
      <c r="AB8" s="2">
        <v>82</v>
      </c>
      <c r="AD8" s="2" t="s">
        <v>1</v>
      </c>
    </row>
    <row r="9" spans="1:30" x14ac:dyDescent="0.2">
      <c r="A9" s="19">
        <f>DATE(83,8,14)</f>
        <v>30542</v>
      </c>
      <c r="B9" s="2">
        <v>2145</v>
      </c>
      <c r="D9" s="2">
        <v>1684</v>
      </c>
      <c r="E9" s="2">
        <v>164</v>
      </c>
      <c r="F9" s="2">
        <v>336</v>
      </c>
      <c r="G9" s="2">
        <v>336</v>
      </c>
      <c r="H9" s="2">
        <v>391</v>
      </c>
      <c r="I9" s="2">
        <v>236</v>
      </c>
      <c r="J9" s="2">
        <v>242</v>
      </c>
      <c r="K9" s="2">
        <v>166</v>
      </c>
      <c r="L9" s="17">
        <v>22</v>
      </c>
      <c r="M9" s="8" t="s">
        <v>1187</v>
      </c>
      <c r="N9" s="2">
        <v>60</v>
      </c>
      <c r="O9" s="2">
        <v>82</v>
      </c>
      <c r="P9" s="2">
        <v>525</v>
      </c>
      <c r="Q9" s="17">
        <v>28.6</v>
      </c>
      <c r="R9" s="2">
        <v>28</v>
      </c>
      <c r="S9" s="2">
        <v>1135</v>
      </c>
      <c r="T9" s="2">
        <v>247</v>
      </c>
      <c r="U9" s="2">
        <v>556</v>
      </c>
      <c r="V9" s="2">
        <v>374</v>
      </c>
      <c r="W9" s="2">
        <v>337</v>
      </c>
      <c r="X9" s="2">
        <v>304</v>
      </c>
      <c r="Y9" s="2">
        <v>518</v>
      </c>
      <c r="Z9" s="2">
        <v>341</v>
      </c>
      <c r="AA9" s="2">
        <v>145</v>
      </c>
      <c r="AB9" s="2">
        <v>317</v>
      </c>
      <c r="AD9" s="2" t="s">
        <v>1</v>
      </c>
    </row>
    <row r="10" spans="1:30" x14ac:dyDescent="0.2">
      <c r="A10" s="19">
        <f>DATE(83,8,15)</f>
        <v>30543</v>
      </c>
      <c r="B10" s="2">
        <v>1320</v>
      </c>
      <c r="D10" s="2">
        <v>1720</v>
      </c>
      <c r="E10" s="2">
        <v>142</v>
      </c>
      <c r="F10" s="2">
        <v>328</v>
      </c>
      <c r="G10" s="2">
        <v>337</v>
      </c>
      <c r="H10" s="2">
        <v>391</v>
      </c>
      <c r="I10" s="2">
        <v>232</v>
      </c>
      <c r="J10" s="2">
        <v>234</v>
      </c>
      <c r="K10" s="2">
        <v>164</v>
      </c>
      <c r="L10" s="17">
        <v>21.9</v>
      </c>
      <c r="M10" s="8" t="s">
        <v>1187</v>
      </c>
      <c r="N10" s="8" t="s">
        <v>1187</v>
      </c>
      <c r="O10" s="2">
        <v>82</v>
      </c>
      <c r="P10" s="2">
        <v>548</v>
      </c>
      <c r="Q10" s="17">
        <v>29.3</v>
      </c>
      <c r="R10" s="2">
        <v>33</v>
      </c>
      <c r="S10" s="2">
        <v>1629</v>
      </c>
      <c r="T10" s="2">
        <v>159</v>
      </c>
      <c r="U10" s="2">
        <v>365</v>
      </c>
      <c r="V10" s="2">
        <v>772</v>
      </c>
      <c r="W10" s="2">
        <v>105</v>
      </c>
      <c r="X10" s="2">
        <v>204</v>
      </c>
      <c r="Y10" s="2">
        <v>332</v>
      </c>
      <c r="Z10" s="2">
        <v>1620</v>
      </c>
      <c r="AA10" s="2">
        <v>105</v>
      </c>
      <c r="AB10" s="2">
        <v>324</v>
      </c>
      <c r="AD10" s="2" t="s">
        <v>1</v>
      </c>
    </row>
    <row r="11" spans="1:30" x14ac:dyDescent="0.2">
      <c r="A11" s="19">
        <f>DATE(83,8,15)</f>
        <v>30543</v>
      </c>
      <c r="B11" s="2">
        <v>1918</v>
      </c>
      <c r="C11" s="2" t="s">
        <v>1697</v>
      </c>
      <c r="D11" s="2">
        <v>1744</v>
      </c>
      <c r="E11" s="2">
        <v>253</v>
      </c>
      <c r="F11" s="2">
        <v>330</v>
      </c>
      <c r="G11" s="2">
        <v>343</v>
      </c>
      <c r="H11" s="2">
        <v>426</v>
      </c>
      <c r="I11" s="2">
        <v>1085</v>
      </c>
      <c r="J11" s="2">
        <v>427</v>
      </c>
      <c r="K11" s="2">
        <v>168</v>
      </c>
      <c r="L11" s="17">
        <v>21</v>
      </c>
      <c r="M11" s="2">
        <v>70</v>
      </c>
      <c r="N11" s="2">
        <v>192</v>
      </c>
      <c r="O11" s="2">
        <v>97</v>
      </c>
      <c r="P11" s="2">
        <v>525</v>
      </c>
      <c r="Q11" s="17">
        <v>31.2</v>
      </c>
      <c r="R11" s="2">
        <v>76</v>
      </c>
      <c r="S11" s="2">
        <v>2515</v>
      </c>
      <c r="T11" s="2">
        <v>366</v>
      </c>
      <c r="U11" s="2">
        <v>752</v>
      </c>
      <c r="V11" s="2">
        <v>1105</v>
      </c>
      <c r="W11" s="2">
        <v>575</v>
      </c>
      <c r="X11" s="2">
        <v>795</v>
      </c>
      <c r="Y11" s="2">
        <v>1064</v>
      </c>
      <c r="Z11" s="2">
        <v>1339</v>
      </c>
      <c r="AA11" s="2">
        <v>210</v>
      </c>
      <c r="AB11" s="2">
        <v>339</v>
      </c>
      <c r="AD11" s="2" t="s">
        <v>1</v>
      </c>
    </row>
    <row r="12" spans="1:30" x14ac:dyDescent="0.2">
      <c r="A12" s="19">
        <f>DATE(83,8,16)</f>
        <v>30544</v>
      </c>
      <c r="B12" s="2">
        <v>2130</v>
      </c>
      <c r="D12" s="2">
        <v>1768</v>
      </c>
      <c r="E12" s="2">
        <v>197</v>
      </c>
      <c r="F12" s="2">
        <v>331</v>
      </c>
      <c r="G12" s="2">
        <v>334</v>
      </c>
      <c r="H12" s="2">
        <v>397</v>
      </c>
      <c r="I12" s="2">
        <v>240</v>
      </c>
      <c r="J12" s="2">
        <v>351</v>
      </c>
      <c r="K12" s="2">
        <v>167</v>
      </c>
      <c r="L12" s="17">
        <v>22.1</v>
      </c>
      <c r="M12" s="8" t="s">
        <v>1187</v>
      </c>
      <c r="N12" s="2">
        <v>120</v>
      </c>
      <c r="O12" s="2">
        <v>90</v>
      </c>
      <c r="P12" s="2">
        <v>572</v>
      </c>
      <c r="Q12" s="17">
        <v>30</v>
      </c>
      <c r="R12" s="2">
        <v>64</v>
      </c>
      <c r="S12" s="2">
        <v>2846</v>
      </c>
      <c r="T12" s="2">
        <v>220</v>
      </c>
      <c r="U12" s="2">
        <v>687</v>
      </c>
      <c r="V12" s="2">
        <v>933</v>
      </c>
      <c r="W12" s="2">
        <v>182</v>
      </c>
      <c r="X12" s="2">
        <v>519</v>
      </c>
      <c r="Y12" s="2">
        <v>864</v>
      </c>
      <c r="Z12" s="2">
        <v>139</v>
      </c>
      <c r="AA12" s="2">
        <v>173</v>
      </c>
      <c r="AB12" s="2">
        <v>147</v>
      </c>
      <c r="AD12" s="2" t="s">
        <v>1</v>
      </c>
    </row>
    <row r="13" spans="1:30" x14ac:dyDescent="0.2">
      <c r="A13" s="19">
        <f>DATE(83,8,16)</f>
        <v>30544</v>
      </c>
      <c r="B13" s="8" t="s">
        <v>1698</v>
      </c>
      <c r="C13" s="2" t="s">
        <v>435</v>
      </c>
      <c r="D13" s="2">
        <v>1754</v>
      </c>
      <c r="E13" s="2">
        <v>180</v>
      </c>
      <c r="F13" s="2">
        <v>378</v>
      </c>
      <c r="G13" s="2">
        <v>337</v>
      </c>
      <c r="H13" s="2">
        <v>390</v>
      </c>
      <c r="I13" s="2">
        <v>231</v>
      </c>
      <c r="J13" s="2">
        <v>241</v>
      </c>
      <c r="K13" s="2">
        <v>160</v>
      </c>
      <c r="L13" s="17">
        <v>22.7</v>
      </c>
      <c r="M13" s="8" t="s">
        <v>1187</v>
      </c>
      <c r="N13" s="8" t="s">
        <v>1187</v>
      </c>
      <c r="O13" s="2">
        <v>89</v>
      </c>
      <c r="P13" s="2">
        <v>552</v>
      </c>
      <c r="Q13" s="17">
        <v>30.2</v>
      </c>
      <c r="R13" s="2">
        <v>48</v>
      </c>
      <c r="S13" s="2">
        <v>4885</v>
      </c>
      <c r="T13" s="2">
        <v>183</v>
      </c>
      <c r="U13" s="2">
        <v>450</v>
      </c>
      <c r="V13" s="2">
        <v>1554</v>
      </c>
      <c r="W13" s="2">
        <v>184</v>
      </c>
      <c r="X13" s="2">
        <v>503</v>
      </c>
      <c r="Y13" s="2">
        <v>751</v>
      </c>
      <c r="Z13" s="2">
        <v>1164</v>
      </c>
      <c r="AA13" s="2">
        <v>137</v>
      </c>
      <c r="AB13" s="2">
        <v>122</v>
      </c>
      <c r="AD13" s="2" t="s">
        <v>1</v>
      </c>
    </row>
    <row r="14" spans="1:30" x14ac:dyDescent="0.2">
      <c r="A14" s="19">
        <f>DATE(83,8,16)</f>
        <v>30544</v>
      </c>
      <c r="B14" s="2">
        <v>1310</v>
      </c>
      <c r="D14" s="2">
        <v>1859</v>
      </c>
      <c r="E14" s="2">
        <v>149</v>
      </c>
      <c r="F14" s="2">
        <v>322</v>
      </c>
      <c r="G14" s="2">
        <v>335</v>
      </c>
      <c r="H14" s="2">
        <v>391</v>
      </c>
      <c r="I14" s="2">
        <v>233</v>
      </c>
      <c r="J14" s="2">
        <v>230</v>
      </c>
      <c r="K14" s="2">
        <v>170</v>
      </c>
      <c r="L14" s="17">
        <v>24.9</v>
      </c>
      <c r="M14" s="8" t="s">
        <v>1187</v>
      </c>
      <c r="N14" s="2">
        <v>66</v>
      </c>
      <c r="O14" s="2">
        <v>90</v>
      </c>
      <c r="P14" s="2">
        <v>606</v>
      </c>
      <c r="Q14" s="17">
        <v>32.299999999999997</v>
      </c>
      <c r="R14" s="2">
        <v>36</v>
      </c>
      <c r="S14" s="2">
        <v>9446</v>
      </c>
      <c r="T14" s="2">
        <v>253</v>
      </c>
      <c r="U14" s="2">
        <v>423</v>
      </c>
      <c r="V14" s="2">
        <v>3740</v>
      </c>
      <c r="W14" s="2">
        <v>495</v>
      </c>
      <c r="X14" s="2">
        <v>746</v>
      </c>
      <c r="Y14" s="2">
        <v>1037</v>
      </c>
      <c r="Z14" s="2">
        <v>617</v>
      </c>
      <c r="AA14" s="2">
        <v>128</v>
      </c>
      <c r="AB14" s="2">
        <v>821</v>
      </c>
      <c r="AD14" s="2" t="s">
        <v>1</v>
      </c>
    </row>
    <row r="15" spans="1:30" x14ac:dyDescent="0.2">
      <c r="A15" s="19">
        <f>DATE(83,8,16)</f>
        <v>30544</v>
      </c>
      <c r="B15" s="2">
        <v>2000</v>
      </c>
      <c r="C15" s="2" t="s">
        <v>432</v>
      </c>
      <c r="D15" s="2">
        <v>1860</v>
      </c>
      <c r="E15" s="2">
        <v>270</v>
      </c>
      <c r="F15" s="2">
        <v>342</v>
      </c>
      <c r="G15" s="2">
        <v>342</v>
      </c>
      <c r="H15" s="2">
        <v>403</v>
      </c>
      <c r="I15" s="2">
        <v>238</v>
      </c>
      <c r="J15" s="2">
        <v>270</v>
      </c>
      <c r="K15" s="2">
        <v>169</v>
      </c>
      <c r="L15" s="17">
        <v>22.8</v>
      </c>
      <c r="M15" s="2">
        <v>26</v>
      </c>
      <c r="N15" s="2">
        <v>78</v>
      </c>
      <c r="O15" s="2">
        <v>94</v>
      </c>
      <c r="P15" s="2">
        <v>811</v>
      </c>
      <c r="Q15" s="17">
        <v>29.6</v>
      </c>
      <c r="R15" s="2">
        <v>63</v>
      </c>
      <c r="S15" s="2">
        <v>7506</v>
      </c>
      <c r="T15" s="2">
        <v>1092</v>
      </c>
      <c r="U15" s="2">
        <v>865</v>
      </c>
      <c r="V15" s="2">
        <v>3362</v>
      </c>
      <c r="W15" s="2">
        <v>1380</v>
      </c>
      <c r="X15" s="2">
        <v>902</v>
      </c>
      <c r="Y15" s="2">
        <v>1577</v>
      </c>
      <c r="Z15" s="2">
        <v>935</v>
      </c>
      <c r="AA15" s="2">
        <v>272</v>
      </c>
      <c r="AB15" s="2">
        <v>344</v>
      </c>
      <c r="AD15" s="2" t="s">
        <v>1</v>
      </c>
    </row>
    <row r="16" spans="1:30" x14ac:dyDescent="0.2">
      <c r="A16" s="19">
        <f>DATE(83,8,16)</f>
        <v>30544</v>
      </c>
      <c r="B16" s="2">
        <v>2035</v>
      </c>
      <c r="D16" s="2">
        <v>1889</v>
      </c>
      <c r="E16" s="2">
        <v>258</v>
      </c>
      <c r="F16" s="2">
        <v>332</v>
      </c>
      <c r="G16" s="2">
        <v>344</v>
      </c>
      <c r="H16" s="2">
        <v>391</v>
      </c>
      <c r="I16" s="2">
        <v>237</v>
      </c>
      <c r="J16" s="2">
        <v>273</v>
      </c>
      <c r="K16" s="2">
        <v>172</v>
      </c>
      <c r="L16" s="17">
        <v>21</v>
      </c>
      <c r="M16" s="2">
        <v>45</v>
      </c>
      <c r="N16" s="2">
        <v>93</v>
      </c>
      <c r="O16" s="2">
        <v>89</v>
      </c>
      <c r="P16" s="2">
        <v>824</v>
      </c>
      <c r="Q16" s="17">
        <v>28.7</v>
      </c>
      <c r="R16" s="2">
        <v>83</v>
      </c>
      <c r="S16" s="2">
        <v>8289</v>
      </c>
      <c r="T16" s="2">
        <v>847</v>
      </c>
      <c r="U16" s="2">
        <v>856</v>
      </c>
      <c r="V16" s="2">
        <v>3401</v>
      </c>
      <c r="W16" s="2">
        <v>1176</v>
      </c>
      <c r="X16" s="2">
        <v>927</v>
      </c>
      <c r="Y16" s="2">
        <v>1577</v>
      </c>
      <c r="Z16" s="2">
        <v>310</v>
      </c>
      <c r="AA16" s="2">
        <v>264</v>
      </c>
      <c r="AB16" s="2">
        <v>273</v>
      </c>
      <c r="AD16" s="2" t="s">
        <v>1</v>
      </c>
    </row>
    <row r="17" spans="1:30" x14ac:dyDescent="0.2">
      <c r="A17" s="19">
        <f>DATE(83,8,17)</f>
        <v>30545</v>
      </c>
      <c r="B17" s="2">
        <v>1213</v>
      </c>
      <c r="C17" s="2" t="s">
        <v>1699</v>
      </c>
      <c r="D17" s="2">
        <v>1756</v>
      </c>
      <c r="E17" s="2">
        <v>225</v>
      </c>
      <c r="F17" s="2">
        <v>323</v>
      </c>
      <c r="G17" s="2">
        <v>333</v>
      </c>
      <c r="H17" s="2">
        <v>416</v>
      </c>
      <c r="I17" s="2">
        <v>251</v>
      </c>
      <c r="J17" s="2">
        <v>311</v>
      </c>
      <c r="K17" s="2">
        <v>173</v>
      </c>
      <c r="L17" s="17">
        <v>24.6</v>
      </c>
      <c r="M17" s="8" t="s">
        <v>1187</v>
      </c>
      <c r="N17" s="8" t="s">
        <v>1187</v>
      </c>
      <c r="O17" s="2">
        <v>110</v>
      </c>
      <c r="P17" s="2">
        <v>602</v>
      </c>
      <c r="Q17" s="17">
        <v>32.700000000000003</v>
      </c>
      <c r="R17" s="2">
        <v>68</v>
      </c>
      <c r="S17" s="2">
        <v>5827</v>
      </c>
      <c r="T17" s="2">
        <v>279</v>
      </c>
      <c r="U17" s="2">
        <v>611</v>
      </c>
      <c r="V17" s="2">
        <v>3306</v>
      </c>
      <c r="W17" s="2">
        <v>419</v>
      </c>
      <c r="X17" s="2">
        <v>540</v>
      </c>
      <c r="Y17" s="2">
        <v>1176</v>
      </c>
      <c r="Z17" s="2">
        <v>2380</v>
      </c>
      <c r="AA17" s="2">
        <v>208</v>
      </c>
      <c r="AB17" s="2">
        <v>135</v>
      </c>
      <c r="AD17" s="2" t="s">
        <v>1</v>
      </c>
    </row>
    <row r="18" spans="1:30" x14ac:dyDescent="0.2">
      <c r="A18" s="19">
        <f>DATE(83,8,17)</f>
        <v>30545</v>
      </c>
      <c r="B18" s="2">
        <v>2115</v>
      </c>
      <c r="D18" s="2">
        <v>1784</v>
      </c>
      <c r="E18" s="2">
        <v>228</v>
      </c>
      <c r="F18" s="2">
        <v>334</v>
      </c>
      <c r="G18" s="2">
        <v>336</v>
      </c>
      <c r="H18" s="2">
        <v>423</v>
      </c>
      <c r="I18" s="2">
        <v>248</v>
      </c>
      <c r="J18" s="2">
        <v>289</v>
      </c>
      <c r="K18" s="2">
        <v>165</v>
      </c>
      <c r="L18" s="17">
        <v>24.7</v>
      </c>
      <c r="M18" s="8" t="s">
        <v>1187</v>
      </c>
      <c r="N18" s="2">
        <v>162</v>
      </c>
      <c r="O18" s="2">
        <v>112</v>
      </c>
      <c r="P18" s="2">
        <v>605</v>
      </c>
      <c r="Q18" s="17">
        <v>33.4</v>
      </c>
      <c r="R18" s="2">
        <v>52</v>
      </c>
      <c r="S18" s="2">
        <v>7074</v>
      </c>
      <c r="T18" s="2">
        <v>262</v>
      </c>
      <c r="U18" s="2">
        <v>677</v>
      </c>
      <c r="V18" s="2">
        <v>3990</v>
      </c>
      <c r="W18" s="2">
        <v>338</v>
      </c>
      <c r="X18" s="2">
        <v>755</v>
      </c>
      <c r="Y18" s="2">
        <v>1328</v>
      </c>
      <c r="Z18" s="2">
        <v>248</v>
      </c>
      <c r="AA18" s="2">
        <v>172</v>
      </c>
      <c r="AB18" s="2">
        <v>126</v>
      </c>
      <c r="AD18" s="2" t="s">
        <v>1</v>
      </c>
    </row>
    <row r="19" spans="1:30" x14ac:dyDescent="0.2">
      <c r="A19" s="19">
        <f>DATE(83,8,18)</f>
        <v>30546</v>
      </c>
      <c r="B19" s="2">
        <v>1730</v>
      </c>
      <c r="D19" s="2">
        <v>1860</v>
      </c>
      <c r="E19" s="2">
        <v>267</v>
      </c>
      <c r="F19" s="2">
        <v>348</v>
      </c>
      <c r="G19" s="2">
        <v>340</v>
      </c>
      <c r="H19" s="2">
        <v>482</v>
      </c>
      <c r="I19" s="2">
        <v>578</v>
      </c>
      <c r="J19" s="2">
        <v>322</v>
      </c>
      <c r="K19" s="2">
        <v>176</v>
      </c>
      <c r="L19" s="17">
        <v>24.8</v>
      </c>
      <c r="M19" s="2">
        <v>27</v>
      </c>
      <c r="N19" s="2">
        <v>199</v>
      </c>
      <c r="O19" s="2">
        <v>126</v>
      </c>
      <c r="P19" s="2">
        <v>1039</v>
      </c>
      <c r="Q19" s="17">
        <v>36.1</v>
      </c>
      <c r="R19" s="2">
        <v>67</v>
      </c>
      <c r="S19" s="2">
        <v>10800</v>
      </c>
      <c r="T19" s="2">
        <v>568</v>
      </c>
      <c r="U19" s="2">
        <v>997</v>
      </c>
      <c r="V19" s="2">
        <v>1445</v>
      </c>
      <c r="W19" s="2">
        <v>472</v>
      </c>
      <c r="X19" s="2">
        <v>1593</v>
      </c>
      <c r="Y19" s="2">
        <v>3077</v>
      </c>
      <c r="Z19" s="2">
        <v>176</v>
      </c>
      <c r="AA19" s="2">
        <v>290</v>
      </c>
      <c r="AB19" s="2">
        <v>543</v>
      </c>
      <c r="AD19" s="2" t="s">
        <v>1</v>
      </c>
    </row>
    <row r="20" spans="1:30" x14ac:dyDescent="0.2">
      <c r="A20" s="19">
        <f>DATE(83,8,19)</f>
        <v>30547</v>
      </c>
      <c r="B20" s="8" t="s">
        <v>1700</v>
      </c>
      <c r="D20" s="2">
        <v>1805</v>
      </c>
      <c r="E20" s="2">
        <v>218</v>
      </c>
      <c r="F20" s="2">
        <v>350</v>
      </c>
      <c r="G20" s="2">
        <v>335</v>
      </c>
      <c r="H20" s="2">
        <v>429</v>
      </c>
      <c r="I20" s="2">
        <v>316</v>
      </c>
      <c r="J20" s="2">
        <v>362</v>
      </c>
      <c r="K20" s="2">
        <v>173</v>
      </c>
      <c r="L20" s="2">
        <v>25.5</v>
      </c>
      <c r="M20" s="2">
        <v>45</v>
      </c>
      <c r="N20" s="2">
        <v>196</v>
      </c>
      <c r="O20" s="2">
        <v>103</v>
      </c>
      <c r="P20" s="2">
        <v>590</v>
      </c>
      <c r="Q20" s="2">
        <v>32.5</v>
      </c>
      <c r="R20" s="2">
        <v>72</v>
      </c>
      <c r="S20" s="2">
        <v>6618</v>
      </c>
      <c r="T20" s="2">
        <v>428</v>
      </c>
      <c r="U20" s="2">
        <v>734</v>
      </c>
      <c r="V20" s="2">
        <v>3695</v>
      </c>
      <c r="W20" s="2">
        <v>460</v>
      </c>
      <c r="X20" s="2">
        <v>1033</v>
      </c>
      <c r="Y20" s="2">
        <v>1804</v>
      </c>
      <c r="AA20" s="2">
        <v>227</v>
      </c>
      <c r="AB20" s="2">
        <v>354</v>
      </c>
      <c r="AD20" s="2" t="s">
        <v>1</v>
      </c>
    </row>
    <row r="21" spans="1:30" x14ac:dyDescent="0.2">
      <c r="A21" s="19">
        <f>DATE(83,8,19)</f>
        <v>30547</v>
      </c>
      <c r="B21" s="2">
        <v>1422</v>
      </c>
      <c r="D21" s="2">
        <v>1767</v>
      </c>
      <c r="E21" s="2">
        <v>222</v>
      </c>
      <c r="F21" s="2">
        <v>340</v>
      </c>
      <c r="G21" s="2">
        <v>339</v>
      </c>
      <c r="H21" s="2">
        <v>414</v>
      </c>
      <c r="I21" s="2">
        <v>246</v>
      </c>
      <c r="J21" s="2">
        <v>325</v>
      </c>
      <c r="K21" s="2">
        <v>166</v>
      </c>
      <c r="L21" s="17">
        <v>23.7</v>
      </c>
      <c r="M21" s="2">
        <v>36</v>
      </c>
      <c r="N21" s="2">
        <v>27</v>
      </c>
      <c r="O21" s="2">
        <v>90.2</v>
      </c>
      <c r="P21" s="2">
        <v>567</v>
      </c>
      <c r="Q21" s="17">
        <v>31.8</v>
      </c>
      <c r="R21" s="2">
        <v>65</v>
      </c>
      <c r="S21" s="2">
        <v>4230</v>
      </c>
      <c r="T21" s="2">
        <v>489</v>
      </c>
      <c r="U21" s="2">
        <v>668</v>
      </c>
      <c r="V21" s="2">
        <v>29000</v>
      </c>
      <c r="W21" s="2">
        <v>1158</v>
      </c>
      <c r="X21" s="2">
        <v>1037</v>
      </c>
      <c r="Y21" s="2">
        <v>1218</v>
      </c>
      <c r="Z21" s="2">
        <v>1923</v>
      </c>
      <c r="AA21" s="2">
        <v>246</v>
      </c>
      <c r="AB21" s="2">
        <v>218</v>
      </c>
      <c r="AD21" s="2" t="s">
        <v>1</v>
      </c>
    </row>
    <row r="22" spans="1:30" x14ac:dyDescent="0.2">
      <c r="A22" s="19">
        <f>DATE(83,8,19)</f>
        <v>30547</v>
      </c>
      <c r="B22" s="2">
        <v>2341</v>
      </c>
      <c r="C22" s="2" t="s">
        <v>1701</v>
      </c>
      <c r="D22" s="2">
        <v>1808</v>
      </c>
      <c r="E22" s="2">
        <v>199</v>
      </c>
      <c r="F22" s="2">
        <v>340</v>
      </c>
      <c r="G22" s="2">
        <v>333</v>
      </c>
      <c r="H22" s="2">
        <v>410</v>
      </c>
      <c r="I22" s="2">
        <v>238</v>
      </c>
      <c r="J22" s="2">
        <v>297</v>
      </c>
      <c r="K22" s="2">
        <v>172</v>
      </c>
      <c r="L22" s="17">
        <v>22.4</v>
      </c>
      <c r="M22" s="8" t="s">
        <v>1187</v>
      </c>
      <c r="N22" s="2">
        <v>140</v>
      </c>
      <c r="O22" s="2">
        <v>99</v>
      </c>
      <c r="P22" s="2">
        <v>670</v>
      </c>
      <c r="Q22" s="17">
        <v>30.6</v>
      </c>
      <c r="R22" s="2">
        <v>62</v>
      </c>
      <c r="S22" s="2">
        <v>6862</v>
      </c>
      <c r="T22" s="2">
        <v>358</v>
      </c>
      <c r="U22" s="2">
        <v>592</v>
      </c>
      <c r="V22" s="2">
        <v>3095</v>
      </c>
      <c r="W22" s="2">
        <v>483</v>
      </c>
      <c r="X22" s="2">
        <v>856</v>
      </c>
      <c r="Y22" s="2">
        <v>1332</v>
      </c>
      <c r="AA22" s="2">
        <v>342</v>
      </c>
      <c r="AB22" s="2">
        <v>184</v>
      </c>
      <c r="AD22" s="2" t="s">
        <v>1</v>
      </c>
    </row>
    <row r="23" spans="1:30" x14ac:dyDescent="0.2">
      <c r="A23" s="19">
        <f>DATE(83,8,20)</f>
        <v>30548</v>
      </c>
      <c r="B23" s="8" t="s">
        <v>1702</v>
      </c>
      <c r="D23" s="2">
        <v>1827</v>
      </c>
      <c r="E23" s="2">
        <v>231</v>
      </c>
      <c r="F23" s="2">
        <v>348</v>
      </c>
      <c r="G23" s="2">
        <v>338</v>
      </c>
      <c r="H23" s="2">
        <v>424</v>
      </c>
      <c r="I23" s="2">
        <v>249</v>
      </c>
      <c r="J23" s="2">
        <v>341</v>
      </c>
      <c r="K23" s="2">
        <v>172</v>
      </c>
      <c r="L23" s="17">
        <v>24.5</v>
      </c>
      <c r="M23" s="2">
        <v>37</v>
      </c>
      <c r="N23" s="2">
        <v>222</v>
      </c>
      <c r="O23" s="2">
        <v>114</v>
      </c>
      <c r="P23" s="2">
        <v>805</v>
      </c>
      <c r="Q23" s="17">
        <v>33.6</v>
      </c>
      <c r="R23" s="2">
        <v>46</v>
      </c>
      <c r="S23" s="2">
        <v>12200</v>
      </c>
      <c r="T23" s="2">
        <v>332</v>
      </c>
      <c r="U23" s="2">
        <v>705</v>
      </c>
      <c r="V23" s="2">
        <v>6652</v>
      </c>
      <c r="W23" s="2">
        <v>477</v>
      </c>
      <c r="X23" s="2">
        <v>1530</v>
      </c>
      <c r="Y23" s="2">
        <v>2867</v>
      </c>
      <c r="AA23" s="2">
        <v>149</v>
      </c>
      <c r="AB23" s="2">
        <v>186</v>
      </c>
      <c r="AD23" s="2" t="s">
        <v>1</v>
      </c>
    </row>
    <row r="24" spans="1:30" x14ac:dyDescent="0.2">
      <c r="A24" s="19">
        <f>DATE(83,8,20)</f>
        <v>30548</v>
      </c>
      <c r="B24" s="2">
        <v>1010</v>
      </c>
      <c r="D24" s="2">
        <v>1831</v>
      </c>
      <c r="E24" s="2">
        <v>237</v>
      </c>
      <c r="F24" s="2">
        <v>342</v>
      </c>
      <c r="G24" s="2">
        <v>338</v>
      </c>
      <c r="H24" s="2">
        <v>659</v>
      </c>
      <c r="I24" s="2">
        <v>2607</v>
      </c>
      <c r="J24" s="2">
        <v>404</v>
      </c>
      <c r="K24" s="2">
        <v>170</v>
      </c>
      <c r="L24" s="17">
        <v>24.3</v>
      </c>
      <c r="M24" s="2">
        <v>820</v>
      </c>
      <c r="N24" s="2">
        <v>1370</v>
      </c>
      <c r="O24" s="2">
        <v>245</v>
      </c>
      <c r="P24" s="2">
        <v>775</v>
      </c>
      <c r="Q24" s="17">
        <v>52.5</v>
      </c>
      <c r="R24" s="2">
        <v>84</v>
      </c>
      <c r="S24" s="2">
        <v>12300</v>
      </c>
      <c r="T24" s="2">
        <v>437</v>
      </c>
      <c r="U24" s="2">
        <v>809</v>
      </c>
      <c r="V24" s="2">
        <v>7080</v>
      </c>
      <c r="W24" s="2">
        <v>803</v>
      </c>
      <c r="X24" s="2">
        <v>1779</v>
      </c>
      <c r="Y24" s="2">
        <v>2926</v>
      </c>
      <c r="Z24" s="2">
        <v>2020</v>
      </c>
      <c r="AA24" s="2">
        <v>292</v>
      </c>
      <c r="AB24" s="2">
        <v>488</v>
      </c>
      <c r="AD24" s="2" t="s">
        <v>1</v>
      </c>
    </row>
    <row r="25" spans="1:30" x14ac:dyDescent="0.2">
      <c r="A25" s="19">
        <f>DATE(83,8,20)</f>
        <v>30548</v>
      </c>
      <c r="B25" s="2">
        <v>2050</v>
      </c>
      <c r="D25" s="2">
        <v>1724</v>
      </c>
      <c r="E25" s="2">
        <v>169</v>
      </c>
      <c r="F25" s="2">
        <v>343</v>
      </c>
      <c r="G25" s="2">
        <v>335</v>
      </c>
      <c r="H25" s="2">
        <v>2547</v>
      </c>
      <c r="I25" s="2">
        <v>7481</v>
      </c>
      <c r="J25" s="2">
        <v>958</v>
      </c>
      <c r="K25" s="2">
        <v>164</v>
      </c>
      <c r="L25" s="9" t="s">
        <v>1187</v>
      </c>
      <c r="M25" s="2">
        <v>4818</v>
      </c>
      <c r="N25" s="2">
        <v>7502</v>
      </c>
      <c r="O25" s="2">
        <v>1300</v>
      </c>
      <c r="P25" s="2">
        <v>1827</v>
      </c>
      <c r="Q25" s="17">
        <v>20.8</v>
      </c>
      <c r="R25" s="2">
        <v>210</v>
      </c>
      <c r="S25" s="2">
        <v>3146</v>
      </c>
      <c r="T25" s="2">
        <v>419</v>
      </c>
      <c r="U25" s="2">
        <v>686</v>
      </c>
      <c r="V25" s="2">
        <v>2150</v>
      </c>
      <c r="W25" s="2">
        <v>710</v>
      </c>
      <c r="X25" s="2">
        <v>1336</v>
      </c>
      <c r="Y25" s="2">
        <v>1357</v>
      </c>
      <c r="Z25" s="2">
        <v>648</v>
      </c>
      <c r="AA25" s="2">
        <v>215</v>
      </c>
      <c r="AB25" s="2">
        <v>1613</v>
      </c>
      <c r="AD25" s="2" t="s">
        <v>1</v>
      </c>
    </row>
    <row r="26" spans="1:30" x14ac:dyDescent="0.2">
      <c r="A26" s="19">
        <f>DATE(83,8,21)</f>
        <v>30549</v>
      </c>
      <c r="B26" s="2">
        <v>1530</v>
      </c>
      <c r="D26" s="2">
        <v>1721</v>
      </c>
      <c r="E26" s="2">
        <v>164</v>
      </c>
      <c r="F26" s="2">
        <v>336</v>
      </c>
      <c r="G26" s="2">
        <v>339</v>
      </c>
      <c r="H26" s="2">
        <v>393</v>
      </c>
      <c r="I26" s="2">
        <v>233</v>
      </c>
      <c r="J26" s="2">
        <v>236</v>
      </c>
      <c r="K26" s="2">
        <v>167</v>
      </c>
      <c r="L26" s="17">
        <v>21</v>
      </c>
      <c r="M26" s="8" t="s">
        <v>1187</v>
      </c>
      <c r="N26" s="2">
        <v>53</v>
      </c>
      <c r="Q26" s="17"/>
      <c r="S26" s="2">
        <v>2184</v>
      </c>
      <c r="T26" s="2">
        <v>428</v>
      </c>
      <c r="U26" s="2">
        <v>480</v>
      </c>
      <c r="V26" s="2">
        <v>811</v>
      </c>
      <c r="W26" s="2">
        <v>600</v>
      </c>
      <c r="X26" s="2">
        <v>485</v>
      </c>
      <c r="Y26" s="2">
        <v>873</v>
      </c>
      <c r="Z26" s="2">
        <v>2021</v>
      </c>
      <c r="AA26" s="2">
        <v>114</v>
      </c>
      <c r="AB26" s="2">
        <v>203</v>
      </c>
      <c r="AD26" s="2" t="s">
        <v>1</v>
      </c>
    </row>
    <row r="27" spans="1:30" x14ac:dyDescent="0.2">
      <c r="A27" s="19">
        <f>DATE(83,8,21)</f>
        <v>30549</v>
      </c>
      <c r="B27" s="2">
        <v>1940</v>
      </c>
      <c r="D27" s="2">
        <v>1765</v>
      </c>
      <c r="E27" s="2">
        <v>212</v>
      </c>
      <c r="F27" s="2">
        <v>346</v>
      </c>
      <c r="G27" s="2">
        <v>338</v>
      </c>
      <c r="H27" s="2">
        <v>400</v>
      </c>
      <c r="I27" s="2">
        <v>235</v>
      </c>
      <c r="J27" s="2">
        <v>318</v>
      </c>
      <c r="K27" s="2">
        <v>166</v>
      </c>
      <c r="L27" s="17">
        <v>21.8</v>
      </c>
      <c r="M27" s="8" t="s">
        <v>1187</v>
      </c>
      <c r="N27" s="2">
        <v>15</v>
      </c>
      <c r="O27" s="2">
        <v>87</v>
      </c>
      <c r="P27" s="2">
        <v>554</v>
      </c>
      <c r="Q27" s="17">
        <v>27.7</v>
      </c>
      <c r="R27" s="2">
        <v>35</v>
      </c>
      <c r="S27" s="2">
        <v>2901</v>
      </c>
      <c r="T27" s="2">
        <v>541</v>
      </c>
      <c r="U27" s="2">
        <v>630</v>
      </c>
      <c r="V27" s="2">
        <v>967</v>
      </c>
      <c r="W27" s="2">
        <v>576</v>
      </c>
      <c r="X27" s="2">
        <v>679</v>
      </c>
      <c r="Y27" s="2">
        <v>1265</v>
      </c>
      <c r="Z27" s="2">
        <v>1493</v>
      </c>
      <c r="AA27" s="2">
        <v>251</v>
      </c>
      <c r="AB27" s="2">
        <v>214</v>
      </c>
      <c r="AD27" s="2" t="s">
        <v>1</v>
      </c>
    </row>
    <row r="28" spans="1:30" x14ac:dyDescent="0.2">
      <c r="A28" s="19">
        <f>DATE(83,8,21)</f>
        <v>30549</v>
      </c>
      <c r="B28" s="2">
        <v>2207</v>
      </c>
      <c r="D28" s="2">
        <v>1698</v>
      </c>
      <c r="E28" s="2">
        <v>119</v>
      </c>
      <c r="F28" s="2">
        <v>374</v>
      </c>
      <c r="G28" s="2">
        <v>343</v>
      </c>
      <c r="H28" s="2">
        <v>387</v>
      </c>
      <c r="I28" s="2">
        <v>232</v>
      </c>
      <c r="J28" s="2">
        <v>223</v>
      </c>
      <c r="K28" s="4">
        <v>165</v>
      </c>
      <c r="L28" s="2">
        <v>19.7</v>
      </c>
      <c r="M28" s="8" t="s">
        <v>1187</v>
      </c>
      <c r="N28" s="8" t="s">
        <v>1187</v>
      </c>
      <c r="O28" s="2">
        <v>82</v>
      </c>
      <c r="P28" s="4">
        <v>566</v>
      </c>
      <c r="Q28" s="2">
        <v>27.1</v>
      </c>
      <c r="R28" s="2">
        <v>68</v>
      </c>
      <c r="S28" s="2">
        <v>1679</v>
      </c>
      <c r="T28" s="2">
        <v>148</v>
      </c>
      <c r="U28" s="2">
        <v>282</v>
      </c>
      <c r="V28" s="2">
        <v>456</v>
      </c>
      <c r="W28" s="2">
        <v>180</v>
      </c>
      <c r="X28" s="2">
        <v>211</v>
      </c>
      <c r="Y28" s="2">
        <v>392</v>
      </c>
      <c r="Z28" s="2">
        <v>83</v>
      </c>
      <c r="AA28" s="2">
        <v>122</v>
      </c>
      <c r="AB28" s="2">
        <v>66</v>
      </c>
      <c r="AD28" s="2" t="s">
        <v>1</v>
      </c>
    </row>
    <row r="29" spans="1:30" x14ac:dyDescent="0.2">
      <c r="A29" s="19">
        <f t="shared" ref="A29:A35" si="0">DATE(83,8,26)</f>
        <v>30554</v>
      </c>
      <c r="B29" s="2">
        <v>1030</v>
      </c>
      <c r="D29" s="2">
        <v>1714</v>
      </c>
      <c r="E29" s="2">
        <v>184</v>
      </c>
      <c r="F29" s="2">
        <v>339</v>
      </c>
      <c r="G29" s="2">
        <v>336</v>
      </c>
      <c r="H29" s="2">
        <v>426</v>
      </c>
      <c r="I29" s="2">
        <v>278</v>
      </c>
      <c r="J29" s="2">
        <v>326</v>
      </c>
      <c r="K29" s="4">
        <v>168</v>
      </c>
      <c r="L29" s="17">
        <v>27</v>
      </c>
      <c r="M29" s="8" t="s">
        <v>1187</v>
      </c>
      <c r="N29" s="2">
        <v>237</v>
      </c>
      <c r="O29" s="2">
        <v>112</v>
      </c>
      <c r="P29" s="4">
        <v>656</v>
      </c>
      <c r="Q29" s="2">
        <v>37.200000000000003</v>
      </c>
      <c r="R29" s="2">
        <v>67</v>
      </c>
      <c r="S29" s="2">
        <v>2584</v>
      </c>
      <c r="T29" s="2">
        <v>210</v>
      </c>
      <c r="U29" s="2">
        <v>536</v>
      </c>
      <c r="V29" s="2">
        <v>1845</v>
      </c>
      <c r="W29" s="2">
        <v>669</v>
      </c>
      <c r="X29" s="2">
        <v>455</v>
      </c>
      <c r="Y29" s="2">
        <v>759</v>
      </c>
      <c r="Z29" s="2">
        <v>1836</v>
      </c>
      <c r="AA29" s="2">
        <v>182</v>
      </c>
      <c r="AB29" s="2">
        <v>166</v>
      </c>
      <c r="AD29" s="2" t="s">
        <v>1</v>
      </c>
    </row>
    <row r="30" spans="1:30" x14ac:dyDescent="0.2">
      <c r="A30" s="19">
        <f t="shared" si="0"/>
        <v>30554</v>
      </c>
      <c r="B30" s="2">
        <v>1130</v>
      </c>
      <c r="D30" s="2">
        <v>1727</v>
      </c>
      <c r="E30" s="2">
        <v>205</v>
      </c>
      <c r="F30" s="2">
        <v>366</v>
      </c>
      <c r="G30" s="2">
        <v>336</v>
      </c>
      <c r="H30" s="2">
        <v>438</v>
      </c>
      <c r="I30" s="2">
        <v>515</v>
      </c>
      <c r="J30" s="2">
        <v>346</v>
      </c>
      <c r="K30" s="4">
        <v>162</v>
      </c>
      <c r="L30" s="2">
        <v>26.7</v>
      </c>
      <c r="M30" s="2">
        <v>14</v>
      </c>
      <c r="N30" s="2">
        <v>222</v>
      </c>
      <c r="O30" s="2">
        <v>112</v>
      </c>
      <c r="P30" s="4">
        <v>675</v>
      </c>
      <c r="Q30" s="17">
        <v>39</v>
      </c>
      <c r="R30" s="2">
        <v>91</v>
      </c>
      <c r="S30" s="2">
        <v>3399</v>
      </c>
      <c r="T30" s="2">
        <v>297</v>
      </c>
      <c r="U30" s="2">
        <v>602</v>
      </c>
      <c r="V30" s="2">
        <v>617</v>
      </c>
      <c r="W30" s="2">
        <v>1778</v>
      </c>
      <c r="X30" s="2">
        <v>611</v>
      </c>
      <c r="Y30" s="2">
        <v>948</v>
      </c>
      <c r="Z30" s="2">
        <v>3074</v>
      </c>
      <c r="AA30" s="2">
        <v>167</v>
      </c>
      <c r="AB30" s="2">
        <v>224</v>
      </c>
      <c r="AD30" s="2" t="s">
        <v>1</v>
      </c>
    </row>
    <row r="31" spans="1:30" x14ac:dyDescent="0.2">
      <c r="A31" s="19">
        <f t="shared" si="0"/>
        <v>30554</v>
      </c>
      <c r="B31" s="2">
        <v>1230</v>
      </c>
      <c r="D31" s="2">
        <v>1734</v>
      </c>
      <c r="E31" s="2">
        <v>187</v>
      </c>
      <c r="F31" s="2">
        <v>346</v>
      </c>
      <c r="G31" s="2">
        <v>335</v>
      </c>
      <c r="H31" s="2">
        <v>428</v>
      </c>
      <c r="I31" s="2">
        <v>251</v>
      </c>
      <c r="J31" s="2">
        <v>307</v>
      </c>
      <c r="K31" s="4">
        <v>172</v>
      </c>
      <c r="L31" s="2">
        <v>27.2</v>
      </c>
      <c r="M31" s="8" t="s">
        <v>1187</v>
      </c>
      <c r="N31" s="2">
        <v>198</v>
      </c>
      <c r="P31" s="4"/>
      <c r="S31" s="2">
        <v>5240</v>
      </c>
      <c r="T31" s="2">
        <v>183</v>
      </c>
      <c r="U31" s="2">
        <v>545</v>
      </c>
      <c r="V31" s="2">
        <v>3340</v>
      </c>
      <c r="W31" s="2">
        <v>349</v>
      </c>
      <c r="X31" s="2">
        <v>793</v>
      </c>
      <c r="Y31" s="2">
        <v>1273</v>
      </c>
      <c r="Z31" s="2">
        <v>2586</v>
      </c>
      <c r="AA31" s="2">
        <v>196</v>
      </c>
      <c r="AB31" s="2">
        <v>332</v>
      </c>
      <c r="AD31" s="2" t="s">
        <v>1</v>
      </c>
    </row>
    <row r="32" spans="1:30" x14ac:dyDescent="0.2">
      <c r="A32" s="19">
        <f t="shared" si="0"/>
        <v>30554</v>
      </c>
      <c r="B32" s="2">
        <v>1330</v>
      </c>
      <c r="D32" s="2">
        <v>1740</v>
      </c>
      <c r="E32" s="2">
        <v>176</v>
      </c>
      <c r="F32" s="2">
        <v>338</v>
      </c>
      <c r="G32" s="2">
        <v>336</v>
      </c>
      <c r="H32" s="2">
        <v>405</v>
      </c>
      <c r="I32" s="2">
        <v>239</v>
      </c>
      <c r="J32" s="2">
        <v>290</v>
      </c>
      <c r="K32" s="4">
        <v>170</v>
      </c>
      <c r="L32" s="2">
        <v>24.2</v>
      </c>
      <c r="M32" s="8" t="s">
        <v>1187</v>
      </c>
      <c r="N32" s="2">
        <v>167</v>
      </c>
      <c r="O32" s="2">
        <v>104</v>
      </c>
      <c r="P32" s="4">
        <v>648</v>
      </c>
      <c r="Q32" s="2">
        <v>33.4</v>
      </c>
      <c r="R32" s="2">
        <v>36.700000000000003</v>
      </c>
      <c r="S32" s="2">
        <v>7058</v>
      </c>
      <c r="T32" s="2">
        <v>227</v>
      </c>
      <c r="U32" s="2">
        <v>480</v>
      </c>
      <c r="V32" s="2">
        <v>3490</v>
      </c>
      <c r="W32" s="2">
        <v>361</v>
      </c>
      <c r="X32" s="2">
        <v>721</v>
      </c>
      <c r="Y32" s="2">
        <v>1176</v>
      </c>
      <c r="Z32" s="2">
        <v>2392</v>
      </c>
      <c r="AA32" s="2">
        <v>159</v>
      </c>
      <c r="AB32" s="2">
        <v>138</v>
      </c>
      <c r="AD32" s="2" t="s">
        <v>1</v>
      </c>
    </row>
    <row r="33" spans="1:30" x14ac:dyDescent="0.2">
      <c r="A33" s="19">
        <f t="shared" si="0"/>
        <v>30554</v>
      </c>
      <c r="B33" s="2">
        <v>1430</v>
      </c>
      <c r="D33" s="2">
        <v>1742</v>
      </c>
      <c r="E33" s="2">
        <v>216</v>
      </c>
      <c r="F33" s="2">
        <v>337</v>
      </c>
      <c r="G33" s="2">
        <v>339</v>
      </c>
      <c r="H33" s="2">
        <v>423</v>
      </c>
      <c r="I33" s="2">
        <v>302</v>
      </c>
      <c r="J33" s="2">
        <v>396</v>
      </c>
      <c r="K33" s="4">
        <v>174</v>
      </c>
      <c r="L33" s="2">
        <v>37.200000000000003</v>
      </c>
      <c r="M33" s="2">
        <v>59</v>
      </c>
      <c r="N33" s="2">
        <v>388</v>
      </c>
      <c r="O33" s="2">
        <v>112</v>
      </c>
      <c r="P33" s="4">
        <v>652</v>
      </c>
      <c r="Q33" s="2">
        <v>34.5</v>
      </c>
      <c r="R33" s="2">
        <v>62</v>
      </c>
      <c r="S33" s="2">
        <v>5371</v>
      </c>
      <c r="T33" s="2">
        <v>393</v>
      </c>
      <c r="U33" s="2">
        <v>781</v>
      </c>
      <c r="V33" s="2">
        <v>2678</v>
      </c>
      <c r="W33" s="2">
        <v>495</v>
      </c>
      <c r="X33" s="2">
        <v>991</v>
      </c>
      <c r="Y33" s="2">
        <v>1644</v>
      </c>
      <c r="Z33" s="2">
        <v>2208</v>
      </c>
      <c r="AA33" s="2">
        <v>217</v>
      </c>
      <c r="AB33" s="2">
        <v>177</v>
      </c>
      <c r="AD33" s="2" t="s">
        <v>1</v>
      </c>
    </row>
    <row r="34" spans="1:30" x14ac:dyDescent="0.2">
      <c r="A34" s="19">
        <f t="shared" si="0"/>
        <v>30554</v>
      </c>
      <c r="B34" s="2">
        <v>1530</v>
      </c>
      <c r="D34" s="2">
        <v>1738</v>
      </c>
      <c r="E34" s="2">
        <v>199</v>
      </c>
      <c r="F34" s="2">
        <v>337</v>
      </c>
      <c r="G34" s="2">
        <v>336</v>
      </c>
      <c r="H34" s="2">
        <v>417</v>
      </c>
      <c r="I34" s="2">
        <v>243</v>
      </c>
      <c r="J34" s="2">
        <v>283</v>
      </c>
      <c r="K34" s="4">
        <v>168</v>
      </c>
      <c r="L34" s="2">
        <v>24.9</v>
      </c>
      <c r="M34" s="8" t="s">
        <v>1187</v>
      </c>
      <c r="N34" s="2">
        <v>174</v>
      </c>
      <c r="O34" s="2">
        <v>107</v>
      </c>
      <c r="P34" s="4">
        <v>650</v>
      </c>
      <c r="Q34" s="2">
        <v>33.9</v>
      </c>
      <c r="R34" s="2">
        <v>50</v>
      </c>
      <c r="S34" s="2">
        <v>5501</v>
      </c>
      <c r="T34" s="2">
        <v>192</v>
      </c>
      <c r="U34" s="2">
        <v>498</v>
      </c>
      <c r="V34" s="2">
        <v>2317</v>
      </c>
      <c r="W34" s="2">
        <v>256</v>
      </c>
      <c r="X34" s="2">
        <v>599</v>
      </c>
      <c r="Y34" s="2">
        <v>995</v>
      </c>
      <c r="Z34" s="2">
        <v>1692</v>
      </c>
      <c r="AA34" s="2">
        <v>155</v>
      </c>
      <c r="AB34" s="2">
        <v>133</v>
      </c>
      <c r="AD34" s="2" t="s">
        <v>1</v>
      </c>
    </row>
    <row r="35" spans="1:30" x14ac:dyDescent="0.2">
      <c r="A35" s="19">
        <f t="shared" si="0"/>
        <v>30554</v>
      </c>
      <c r="B35" s="2">
        <v>1630</v>
      </c>
      <c r="D35" s="2">
        <v>1731</v>
      </c>
      <c r="E35" s="2">
        <v>181</v>
      </c>
      <c r="F35" s="2">
        <v>338</v>
      </c>
      <c r="G35" s="2">
        <v>337</v>
      </c>
      <c r="H35" s="2">
        <v>412</v>
      </c>
      <c r="I35" s="2">
        <v>239</v>
      </c>
      <c r="J35" s="2">
        <v>277</v>
      </c>
      <c r="K35" s="4">
        <v>167</v>
      </c>
      <c r="L35" s="17">
        <v>24</v>
      </c>
      <c r="M35" s="8" t="s">
        <v>1187</v>
      </c>
      <c r="N35" s="2">
        <v>172</v>
      </c>
      <c r="O35" s="2">
        <v>104</v>
      </c>
      <c r="P35" s="4">
        <v>658</v>
      </c>
      <c r="Q35" s="2">
        <v>33.6</v>
      </c>
      <c r="R35" s="2">
        <v>80</v>
      </c>
      <c r="S35" s="2">
        <v>6308</v>
      </c>
      <c r="T35" s="2">
        <v>314</v>
      </c>
      <c r="U35" s="2">
        <v>564</v>
      </c>
      <c r="V35" s="2">
        <v>3517</v>
      </c>
      <c r="W35" s="2">
        <v>413</v>
      </c>
      <c r="X35" s="2">
        <v>894</v>
      </c>
      <c r="Y35" s="2">
        <v>1391</v>
      </c>
      <c r="Z35" s="2">
        <v>1495</v>
      </c>
      <c r="AA35" s="2">
        <v>146</v>
      </c>
      <c r="AB35" s="2">
        <v>79</v>
      </c>
      <c r="AD35" s="2" t="s">
        <v>1</v>
      </c>
    </row>
    <row r="36" spans="1:30" x14ac:dyDescent="0.2">
      <c r="A36" s="19"/>
      <c r="K36" s="4"/>
      <c r="P36" s="4"/>
      <c r="AD36" s="2" t="s">
        <v>1</v>
      </c>
    </row>
    <row r="37" spans="1:30" x14ac:dyDescent="0.2">
      <c r="AD37" s="2" t="s">
        <v>1</v>
      </c>
    </row>
    <row r="38" spans="1:30" x14ac:dyDescent="0.2">
      <c r="D38" s="8" t="s">
        <v>123</v>
      </c>
      <c r="E38" s="8" t="s">
        <v>118</v>
      </c>
      <c r="F38" s="8" t="s">
        <v>134</v>
      </c>
      <c r="G38" s="8" t="s">
        <v>138</v>
      </c>
      <c r="H38" s="8" t="s">
        <v>136</v>
      </c>
      <c r="I38" s="8" t="s">
        <v>130</v>
      </c>
      <c r="J38" s="8" t="s">
        <v>121</v>
      </c>
      <c r="K38" s="8" t="s">
        <v>112</v>
      </c>
      <c r="L38" s="8" t="s">
        <v>133</v>
      </c>
      <c r="M38" s="8" t="s">
        <v>142</v>
      </c>
      <c r="N38" s="8" t="s">
        <v>140</v>
      </c>
      <c r="O38" s="8" t="s">
        <v>148</v>
      </c>
      <c r="P38" s="8" t="s">
        <v>115</v>
      </c>
      <c r="Q38" s="8" t="s">
        <v>133</v>
      </c>
      <c r="R38" s="8" t="s">
        <v>128</v>
      </c>
      <c r="S38" s="8" t="s">
        <v>126</v>
      </c>
      <c r="T38" s="8" t="s">
        <v>122</v>
      </c>
      <c r="U38" s="8" t="s">
        <v>113</v>
      </c>
      <c r="V38" s="8" t="s">
        <v>131</v>
      </c>
      <c r="W38" s="8" t="s">
        <v>129</v>
      </c>
      <c r="X38" s="8" t="s">
        <v>149</v>
      </c>
      <c r="Y38" s="8" t="s">
        <v>151</v>
      </c>
      <c r="Z38" s="8" t="s">
        <v>116</v>
      </c>
      <c r="AA38" s="8" t="s">
        <v>132</v>
      </c>
      <c r="AB38" s="8" t="s">
        <v>135</v>
      </c>
      <c r="AD38" s="2" t="s">
        <v>1</v>
      </c>
    </row>
    <row r="39" spans="1:30" x14ac:dyDescent="0.2">
      <c r="D39" s="8" t="s">
        <v>266</v>
      </c>
      <c r="E39" s="8" t="s">
        <v>266</v>
      </c>
      <c r="F39" s="8" t="s">
        <v>371</v>
      </c>
      <c r="G39" s="8" t="s">
        <v>266</v>
      </c>
      <c r="H39" s="8" t="s">
        <v>144</v>
      </c>
      <c r="I39" s="8" t="s">
        <v>144</v>
      </c>
      <c r="J39" s="8" t="s">
        <v>144</v>
      </c>
      <c r="K39" s="8" t="s">
        <v>144</v>
      </c>
      <c r="L39" s="8" t="s">
        <v>144</v>
      </c>
      <c r="M39" s="8" t="s">
        <v>144</v>
      </c>
      <c r="N39" s="8" t="s">
        <v>144</v>
      </c>
      <c r="O39" s="8" t="s">
        <v>144</v>
      </c>
      <c r="P39" s="8" t="s">
        <v>144</v>
      </c>
      <c r="Q39" s="8" t="s">
        <v>144</v>
      </c>
      <c r="R39" s="8" t="s">
        <v>144</v>
      </c>
      <c r="S39" s="8" t="s">
        <v>144</v>
      </c>
      <c r="T39" s="8" t="s">
        <v>144</v>
      </c>
      <c r="U39" s="8" t="s">
        <v>144</v>
      </c>
      <c r="V39" s="8" t="s">
        <v>144</v>
      </c>
      <c r="W39" s="8" t="s">
        <v>144</v>
      </c>
      <c r="X39" s="8" t="s">
        <v>144</v>
      </c>
      <c r="Y39" s="8" t="s">
        <v>144</v>
      </c>
      <c r="Z39" s="8" t="s">
        <v>144</v>
      </c>
      <c r="AA39" s="8" t="s">
        <v>144</v>
      </c>
      <c r="AB39" s="8" t="s">
        <v>144</v>
      </c>
      <c r="AD39" s="2" t="s">
        <v>1</v>
      </c>
    </row>
    <row r="40" spans="1:30" x14ac:dyDescent="0.2">
      <c r="AD40" s="2" t="s">
        <v>1</v>
      </c>
    </row>
    <row r="41" spans="1:30" x14ac:dyDescent="0.2">
      <c r="A41" s="7">
        <f>AVERAGE(A30:A35)</f>
        <v>30554</v>
      </c>
      <c r="B41" s="4"/>
      <c r="D41" s="4">
        <f t="shared" ref="D41:AB41" si="1">AVERAGE(D30:D35)</f>
        <v>1735.3333333333333</v>
      </c>
      <c r="E41" s="4">
        <f t="shared" si="1"/>
        <v>194</v>
      </c>
      <c r="F41" s="4">
        <f t="shared" si="1"/>
        <v>343.66666666666669</v>
      </c>
      <c r="G41" s="4">
        <f t="shared" si="1"/>
        <v>336.5</v>
      </c>
      <c r="H41" s="4">
        <f t="shared" si="1"/>
        <v>420.5</v>
      </c>
      <c r="I41" s="4">
        <f t="shared" si="1"/>
        <v>298.16666666666669</v>
      </c>
      <c r="J41" s="4">
        <f t="shared" si="1"/>
        <v>316.5</v>
      </c>
      <c r="K41" s="4">
        <f t="shared" si="1"/>
        <v>168.83333333333334</v>
      </c>
      <c r="L41" s="4">
        <f t="shared" si="1"/>
        <v>27.366666666666664</v>
      </c>
      <c r="M41" s="4">
        <f t="shared" si="1"/>
        <v>36.5</v>
      </c>
      <c r="N41" s="4">
        <f t="shared" si="1"/>
        <v>220.16666666666666</v>
      </c>
      <c r="O41" s="4">
        <f t="shared" si="1"/>
        <v>107.8</v>
      </c>
      <c r="P41" s="4">
        <f t="shared" si="1"/>
        <v>656.6</v>
      </c>
      <c r="Q41" s="4">
        <f t="shared" si="1"/>
        <v>34.880000000000003</v>
      </c>
      <c r="R41" s="4">
        <f t="shared" si="1"/>
        <v>63.94</v>
      </c>
      <c r="S41" s="4">
        <f t="shared" si="1"/>
        <v>5479.5</v>
      </c>
      <c r="T41" s="4">
        <f t="shared" si="1"/>
        <v>267.66666666666669</v>
      </c>
      <c r="U41" s="4">
        <f t="shared" si="1"/>
        <v>578.33333333333337</v>
      </c>
      <c r="V41" s="4">
        <f t="shared" si="1"/>
        <v>2659.8333333333335</v>
      </c>
      <c r="W41" s="4">
        <f t="shared" si="1"/>
        <v>608.66666666666663</v>
      </c>
      <c r="X41" s="4">
        <f t="shared" si="1"/>
        <v>768.16666666666663</v>
      </c>
      <c r="Y41" s="4">
        <f t="shared" si="1"/>
        <v>1237.8333333333333</v>
      </c>
      <c r="Z41" s="4">
        <f t="shared" si="1"/>
        <v>2241.1666666666665</v>
      </c>
      <c r="AA41" s="4">
        <f t="shared" si="1"/>
        <v>173.33333333333334</v>
      </c>
      <c r="AB41" s="4">
        <f t="shared" si="1"/>
        <v>180.5</v>
      </c>
      <c r="AD41" s="2" t="s">
        <v>1</v>
      </c>
    </row>
    <row r="42" spans="1:30" x14ac:dyDescent="0.2">
      <c r="B42" s="4"/>
      <c r="D42" s="4">
        <f t="shared" ref="D42:AB42" si="2">STDEV(D30:D35)</f>
        <v>5.715476066494082</v>
      </c>
      <c r="E42" s="4">
        <f t="shared" si="2"/>
        <v>15.310127367203711</v>
      </c>
      <c r="F42" s="4">
        <f t="shared" si="2"/>
        <v>11.465891446663301</v>
      </c>
      <c r="G42" s="4">
        <f t="shared" si="2"/>
        <v>1.3784048752090221</v>
      </c>
      <c r="H42" s="4">
        <f t="shared" si="2"/>
        <v>11.77709641634983</v>
      </c>
      <c r="I42" s="4">
        <f t="shared" si="2"/>
        <v>108.90439232035904</v>
      </c>
      <c r="J42" s="4">
        <f t="shared" si="2"/>
        <v>46.185495558670794</v>
      </c>
      <c r="K42" s="4">
        <f t="shared" si="2"/>
        <v>4.2150523919242877</v>
      </c>
      <c r="L42" s="4">
        <f t="shared" si="2"/>
        <v>4.9922606769545537</v>
      </c>
      <c r="M42" s="4">
        <f t="shared" si="2"/>
        <v>31.81980515339464</v>
      </c>
      <c r="N42" s="4">
        <f t="shared" si="2"/>
        <v>84.783056483395683</v>
      </c>
      <c r="O42" s="4">
        <f t="shared" si="2"/>
        <v>4.0249223594996213</v>
      </c>
      <c r="P42" s="4">
        <f t="shared" si="2"/>
        <v>10.9453186340097</v>
      </c>
      <c r="Q42" s="4">
        <f t="shared" si="2"/>
        <v>2.3402991261802413</v>
      </c>
      <c r="R42" s="4">
        <f t="shared" si="2"/>
        <v>21.967430436899082</v>
      </c>
      <c r="S42" s="4">
        <f t="shared" si="2"/>
        <v>1230.946749457506</v>
      </c>
      <c r="T42" s="4">
        <f t="shared" si="2"/>
        <v>81.56388089507918</v>
      </c>
      <c r="U42" s="4">
        <f t="shared" si="2"/>
        <v>108.69529275302888</v>
      </c>
      <c r="V42" s="4">
        <f t="shared" si="2"/>
        <v>1111.5368489918214</v>
      </c>
      <c r="W42" s="4">
        <f t="shared" si="2"/>
        <v>578.21887436045074</v>
      </c>
      <c r="X42" s="4">
        <f t="shared" si="2"/>
        <v>155.98002008804428</v>
      </c>
      <c r="Y42" s="4">
        <f t="shared" si="2"/>
        <v>259.40810832868505</v>
      </c>
      <c r="Z42" s="4">
        <f t="shared" si="2"/>
        <v>582.18911589505558</v>
      </c>
      <c r="AA42" s="4">
        <f t="shared" si="2"/>
        <v>27.383693444578814</v>
      </c>
      <c r="AB42" s="4">
        <f t="shared" si="2"/>
        <v>88.568052931065381</v>
      </c>
      <c r="AD42" s="2" t="s">
        <v>1</v>
      </c>
    </row>
    <row r="43" spans="1:30" x14ac:dyDescent="0.2">
      <c r="D43" s="2">
        <f t="shared" ref="D43:AB43" si="3">COUNTA(D30:D35)</f>
        <v>6</v>
      </c>
      <c r="E43" s="2">
        <f t="shared" si="3"/>
        <v>6</v>
      </c>
      <c r="F43" s="2">
        <f t="shared" si="3"/>
        <v>6</v>
      </c>
      <c r="G43" s="2">
        <f t="shared" si="3"/>
        <v>6</v>
      </c>
      <c r="H43" s="2">
        <f t="shared" si="3"/>
        <v>6</v>
      </c>
      <c r="I43" s="2">
        <f t="shared" si="3"/>
        <v>6</v>
      </c>
      <c r="J43" s="2">
        <f t="shared" si="3"/>
        <v>6</v>
      </c>
      <c r="K43" s="2">
        <f t="shared" si="3"/>
        <v>6</v>
      </c>
      <c r="L43" s="2">
        <f t="shared" si="3"/>
        <v>6</v>
      </c>
      <c r="M43" s="2">
        <f t="shared" si="3"/>
        <v>6</v>
      </c>
      <c r="N43" s="2">
        <f t="shared" si="3"/>
        <v>6</v>
      </c>
      <c r="O43" s="2">
        <f t="shared" si="3"/>
        <v>5</v>
      </c>
      <c r="P43" s="2">
        <f t="shared" si="3"/>
        <v>5</v>
      </c>
      <c r="Q43" s="2">
        <f t="shared" si="3"/>
        <v>5</v>
      </c>
      <c r="R43" s="2">
        <f t="shared" si="3"/>
        <v>5</v>
      </c>
      <c r="S43" s="2">
        <f t="shared" si="3"/>
        <v>6</v>
      </c>
      <c r="T43" s="2">
        <f t="shared" si="3"/>
        <v>6</v>
      </c>
      <c r="U43" s="2">
        <f t="shared" si="3"/>
        <v>6</v>
      </c>
      <c r="V43" s="2">
        <f t="shared" si="3"/>
        <v>6</v>
      </c>
      <c r="W43" s="2">
        <f t="shared" si="3"/>
        <v>6</v>
      </c>
      <c r="X43" s="2">
        <f t="shared" si="3"/>
        <v>6</v>
      </c>
      <c r="Y43" s="2">
        <f t="shared" si="3"/>
        <v>6</v>
      </c>
      <c r="Z43" s="2">
        <f t="shared" si="3"/>
        <v>6</v>
      </c>
      <c r="AA43" s="2">
        <f t="shared" si="3"/>
        <v>6</v>
      </c>
      <c r="AB43" s="2">
        <f t="shared" si="3"/>
        <v>6</v>
      </c>
      <c r="AD43" s="2" t="s">
        <v>1</v>
      </c>
    </row>
    <row r="44" spans="1:30" x14ac:dyDescent="0.2">
      <c r="AD44" s="2" t="s">
        <v>1</v>
      </c>
    </row>
    <row r="45" spans="1:30" x14ac:dyDescent="0.2">
      <c r="AD45" s="2" t="s">
        <v>1</v>
      </c>
    </row>
  </sheetData>
  <pageMargins left="0.5" right="0.5" top="0.75" bottom="0.75" header="0.5" footer="0.5"/>
  <pageSetup orientation="portrait" horizontalDpi="0" verticalDpi="0" copies="0"/>
  <headerFooter alignWithMargins="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5"/>
  <sheetViews>
    <sheetView showOutlineSymbols="0" defaultGridColor="0" topLeftCell="A5" colorId="9" workbookViewId="0">
      <selection activeCell="A41" sqref="A41"/>
    </sheetView>
  </sheetViews>
  <sheetFormatPr defaultColWidth="8.6640625" defaultRowHeight="15" x14ac:dyDescent="0.2"/>
  <cols>
    <col min="1" max="16384" width="8.6640625" style="2"/>
  </cols>
  <sheetData>
    <row r="1" spans="1:14" ht="15.75" x14ac:dyDescent="0.25">
      <c r="A1" s="6" t="s">
        <v>1703</v>
      </c>
      <c r="N1" s="2" t="s">
        <v>1</v>
      </c>
    </row>
    <row r="2" spans="1:14" x14ac:dyDescent="0.2">
      <c r="E2" s="8" t="s">
        <v>125</v>
      </c>
      <c r="F2" s="8" t="s">
        <v>125</v>
      </c>
      <c r="N2" s="2" t="s">
        <v>1</v>
      </c>
    </row>
    <row r="3" spans="1:14" x14ac:dyDescent="0.2">
      <c r="A3" s="15" t="s">
        <v>253</v>
      </c>
      <c r="B3" s="8" t="s">
        <v>138</v>
      </c>
      <c r="C3" s="8" t="s">
        <v>136</v>
      </c>
      <c r="D3" s="8" t="s">
        <v>130</v>
      </c>
      <c r="E3" s="8" t="s">
        <v>524</v>
      </c>
      <c r="F3" s="8" t="s">
        <v>525</v>
      </c>
      <c r="G3" s="8" t="s">
        <v>133</v>
      </c>
      <c r="H3" s="8" t="s">
        <v>127</v>
      </c>
      <c r="I3" s="8" t="s">
        <v>121</v>
      </c>
      <c r="J3" s="8" t="s">
        <v>112</v>
      </c>
      <c r="K3" s="8" t="s">
        <v>142</v>
      </c>
      <c r="L3" s="8" t="s">
        <v>140</v>
      </c>
      <c r="N3" s="2" t="s">
        <v>1</v>
      </c>
    </row>
    <row r="4" spans="1:14" x14ac:dyDescent="0.2">
      <c r="B4" s="8" t="s">
        <v>266</v>
      </c>
      <c r="C4" s="8" t="s">
        <v>144</v>
      </c>
      <c r="D4" s="8" t="s">
        <v>144</v>
      </c>
      <c r="E4" s="8" t="s">
        <v>144</v>
      </c>
      <c r="F4" s="8" t="s">
        <v>144</v>
      </c>
      <c r="G4" s="8" t="s">
        <v>144</v>
      </c>
      <c r="H4" s="8" t="s">
        <v>144</v>
      </c>
      <c r="I4" s="8" t="s">
        <v>144</v>
      </c>
      <c r="J4" s="8" t="s">
        <v>144</v>
      </c>
      <c r="K4" s="8" t="s">
        <v>144</v>
      </c>
      <c r="L4" s="8" t="s">
        <v>144</v>
      </c>
      <c r="N4" s="2" t="s">
        <v>1</v>
      </c>
    </row>
    <row r="5" spans="1:14" x14ac:dyDescent="0.2">
      <c r="N5" s="2" t="s">
        <v>1</v>
      </c>
    </row>
    <row r="6" spans="1:14" x14ac:dyDescent="0.2">
      <c r="N6" s="2" t="s">
        <v>1</v>
      </c>
    </row>
    <row r="7" spans="1:14" x14ac:dyDescent="0.2">
      <c r="A7" s="7">
        <f>DATE(81,7,4)</f>
        <v>29771</v>
      </c>
      <c r="B7" s="4">
        <v>330.76666666666665</v>
      </c>
      <c r="C7" s="4">
        <v>319.26666666666665</v>
      </c>
      <c r="D7" s="4">
        <v>173.3</v>
      </c>
      <c r="E7" s="4">
        <v>3.86</v>
      </c>
      <c r="G7" s="4">
        <v>19.32</v>
      </c>
      <c r="H7" s="4">
        <v>20.329999999999998</v>
      </c>
      <c r="I7" s="4">
        <v>131.53333333333333</v>
      </c>
      <c r="J7" s="4">
        <v>147.16666666666666</v>
      </c>
      <c r="K7" s="4">
        <v>12.753333333333334</v>
      </c>
      <c r="L7" s="4">
        <v>19.87</v>
      </c>
      <c r="N7" s="2" t="s">
        <v>1</v>
      </c>
    </row>
    <row r="8" spans="1:14" x14ac:dyDescent="0.2">
      <c r="A8" s="7">
        <f>DATE(81,7,18)</f>
        <v>29785</v>
      </c>
      <c r="B8" s="4">
        <v>334.46666666666664</v>
      </c>
      <c r="C8" s="4">
        <v>317.36666666666667</v>
      </c>
      <c r="D8" s="4">
        <v>179.43333333333334</v>
      </c>
      <c r="E8" s="4">
        <v>2.5299999999999998</v>
      </c>
      <c r="G8" s="4">
        <v>22.02</v>
      </c>
      <c r="H8" s="4">
        <v>40.016666666666666</v>
      </c>
      <c r="I8" s="4">
        <v>128.76666666666668</v>
      </c>
      <c r="K8" s="4">
        <v>20.09</v>
      </c>
      <c r="L8" s="4">
        <v>18.86</v>
      </c>
    </row>
    <row r="9" spans="1:14" x14ac:dyDescent="0.2">
      <c r="A9" s="7">
        <f>DATE(81,7,25)</f>
        <v>29792</v>
      </c>
      <c r="B9" s="4">
        <v>330.8</v>
      </c>
      <c r="C9" s="4">
        <v>323.10000000000002</v>
      </c>
      <c r="E9" s="4">
        <v>1.74</v>
      </c>
      <c r="G9" s="4">
        <v>20.9</v>
      </c>
      <c r="H9" s="4">
        <v>33.770000000000003</v>
      </c>
      <c r="I9" s="4">
        <v>141.9</v>
      </c>
      <c r="J9" s="4">
        <v>147.1</v>
      </c>
      <c r="K9" s="4">
        <v>6.8666666666666663</v>
      </c>
      <c r="L9" s="4">
        <v>21.276666666666667</v>
      </c>
    </row>
    <row r="10" spans="1:14" x14ac:dyDescent="0.2">
      <c r="A10" s="7">
        <f>DATE(81,8,1)</f>
        <v>29799</v>
      </c>
      <c r="B10" s="4">
        <v>318.35000000000002</v>
      </c>
      <c r="C10" s="4">
        <v>304.5</v>
      </c>
      <c r="E10" s="4">
        <v>2.9550000000000001</v>
      </c>
      <c r="G10" s="4">
        <v>20.71</v>
      </c>
      <c r="H10" s="4">
        <v>18.475000000000001</v>
      </c>
      <c r="I10" s="4">
        <v>127.95</v>
      </c>
      <c r="J10" s="4">
        <v>145.55000000000001</v>
      </c>
      <c r="K10" s="4">
        <v>9.61</v>
      </c>
      <c r="L10" s="4">
        <v>19.395</v>
      </c>
    </row>
    <row r="11" spans="1:14" x14ac:dyDescent="0.2">
      <c r="A11" s="7">
        <f>DATE(81,8,8)</f>
        <v>29806</v>
      </c>
      <c r="B11" s="4">
        <v>325.63333333333333</v>
      </c>
      <c r="C11" s="4">
        <v>313.46666666666664</v>
      </c>
      <c r="D11" s="4">
        <v>175.86666666666667</v>
      </c>
      <c r="E11" s="4">
        <v>3.79</v>
      </c>
      <c r="G11" s="4">
        <v>20.363333333333333</v>
      </c>
      <c r="H11" s="4">
        <v>31.02</v>
      </c>
      <c r="I11" s="4">
        <v>130.83333333333334</v>
      </c>
      <c r="J11" s="4">
        <v>145.26666666666668</v>
      </c>
      <c r="K11" s="4">
        <v>11.996666666666666</v>
      </c>
      <c r="L11" s="4">
        <v>14.483333333333333</v>
      </c>
    </row>
    <row r="12" spans="1:14" x14ac:dyDescent="0.2">
      <c r="A12" s="7">
        <f>DATE(81,8,29)</f>
        <v>29827</v>
      </c>
      <c r="B12" s="4">
        <v>320.56666666666666</v>
      </c>
      <c r="C12" s="4">
        <v>312.39999999999998</v>
      </c>
      <c r="D12" s="4">
        <v>188.76666666666668</v>
      </c>
      <c r="E12" s="4">
        <v>2.7833333333333332</v>
      </c>
      <c r="F12" s="4">
        <v>3.3433333333333333</v>
      </c>
      <c r="G12" s="4">
        <v>23.236666666666668</v>
      </c>
      <c r="H12" s="4">
        <v>19.486666666666668</v>
      </c>
      <c r="I12" s="4">
        <v>127.83333333333333</v>
      </c>
      <c r="J12" s="4">
        <v>146.43333333333334</v>
      </c>
      <c r="K12" s="4">
        <v>8.4966666666666661</v>
      </c>
      <c r="L12" s="4">
        <v>12.09</v>
      </c>
    </row>
    <row r="13" spans="1:14" x14ac:dyDescent="0.2">
      <c r="A13" s="7">
        <f>DATE(81,9,5)</f>
        <v>29834</v>
      </c>
      <c r="B13" s="4">
        <v>330.73333333333335</v>
      </c>
      <c r="C13" s="4">
        <v>319.03333333333336</v>
      </c>
      <c r="D13" s="4">
        <v>198.43333333333334</v>
      </c>
      <c r="E13" s="4">
        <v>2.8133333333333335</v>
      </c>
      <c r="F13" s="4">
        <v>2.6</v>
      </c>
      <c r="G13" s="4">
        <v>22.206666666666667</v>
      </c>
      <c r="H13" s="4">
        <v>27.033333333333335</v>
      </c>
      <c r="J13" s="4">
        <v>151.19999999999999</v>
      </c>
      <c r="K13" s="4">
        <v>11.973333333333333</v>
      </c>
      <c r="L13" s="4">
        <v>19.010000000000002</v>
      </c>
    </row>
    <row r="14" spans="1:14" x14ac:dyDescent="0.2">
      <c r="A14" s="7">
        <f>DATE(81,9,19)</f>
        <v>29848</v>
      </c>
      <c r="B14" s="4">
        <v>327.23333333333335</v>
      </c>
      <c r="C14" s="4">
        <v>331.63333333333333</v>
      </c>
      <c r="D14" s="4">
        <v>185.5</v>
      </c>
      <c r="E14" s="4">
        <v>2.8866666666666667</v>
      </c>
      <c r="F14" s="4">
        <v>3.1466666666666665</v>
      </c>
      <c r="G14" s="4">
        <v>23.263333333333332</v>
      </c>
      <c r="H14" s="4">
        <v>19.38</v>
      </c>
      <c r="I14" s="4">
        <v>150.03333333333333</v>
      </c>
      <c r="J14" s="4">
        <v>149.86666666666667</v>
      </c>
      <c r="K14" s="4">
        <v>7.2166666666666668</v>
      </c>
      <c r="L14" s="4">
        <v>20.676666666666666</v>
      </c>
    </row>
    <row r="15" spans="1:14" x14ac:dyDescent="0.2">
      <c r="A15" s="7">
        <f>DATE(81,10,25)</f>
        <v>29884</v>
      </c>
      <c r="B15" s="4">
        <v>329.13333333333333</v>
      </c>
      <c r="C15" s="4">
        <v>320.39999999999998</v>
      </c>
      <c r="D15" s="4">
        <v>181.53333333333333</v>
      </c>
      <c r="E15" s="4">
        <v>3.03</v>
      </c>
      <c r="F15" s="4">
        <v>2.3466666666666667</v>
      </c>
      <c r="G15" s="4">
        <v>20.393333333333334</v>
      </c>
      <c r="H15" s="4">
        <v>29.11</v>
      </c>
      <c r="I15" s="4">
        <v>131.03333333333333</v>
      </c>
      <c r="J15" s="4">
        <v>147.93333333333334</v>
      </c>
      <c r="K15" s="4">
        <v>11.756666666666666</v>
      </c>
      <c r="L15" s="4">
        <v>15.903333333333334</v>
      </c>
    </row>
    <row r="20" spans="1:12" x14ac:dyDescent="0.2">
      <c r="A20" s="19" t="s">
        <v>1704</v>
      </c>
    </row>
    <row r="21" spans="1:12" x14ac:dyDescent="0.2">
      <c r="A21" s="7">
        <f>AVERAGE(A7:A9)</f>
        <v>29782.666666666668</v>
      </c>
      <c r="B21" s="4">
        <f>AVERAGE(B7:B9)</f>
        <v>332.01111111111112</v>
      </c>
      <c r="C21" s="4">
        <f>AVERAGE(C7:C9)</f>
        <v>319.9111111111111</v>
      </c>
      <c r="D21" s="4">
        <f>AVERAGE(D7:D9)</f>
        <v>176.36666666666667</v>
      </c>
      <c r="E21" s="4">
        <f>AVERAGE(E7:E9)</f>
        <v>2.7099999999999995</v>
      </c>
      <c r="G21" s="4">
        <f t="shared" ref="G21:L21" si="0">AVERAGE(G7:G9)</f>
        <v>20.746666666666666</v>
      </c>
      <c r="H21" s="4">
        <f t="shared" si="0"/>
        <v>31.372222222222224</v>
      </c>
      <c r="I21" s="4">
        <f t="shared" si="0"/>
        <v>134.06666666666669</v>
      </c>
      <c r="J21" s="4">
        <f t="shared" si="0"/>
        <v>147.13333333333333</v>
      </c>
      <c r="K21" s="4">
        <f t="shared" si="0"/>
        <v>13.236666666666666</v>
      </c>
      <c r="L21" s="4">
        <f t="shared" si="0"/>
        <v>20.002222222222226</v>
      </c>
    </row>
    <row r="22" spans="1:12" x14ac:dyDescent="0.2">
      <c r="A22" s="7">
        <f t="shared" ref="A22:L22" si="1">AVERAGE(A10:A12)</f>
        <v>29810.666666666668</v>
      </c>
      <c r="B22" s="4">
        <f t="shared" si="1"/>
        <v>321.51666666666665</v>
      </c>
      <c r="C22" s="4">
        <f t="shared" si="1"/>
        <v>310.12222222222221</v>
      </c>
      <c r="D22" s="4">
        <f t="shared" si="1"/>
        <v>182.31666666666666</v>
      </c>
      <c r="E22" s="4">
        <f t="shared" si="1"/>
        <v>3.1761111111111107</v>
      </c>
      <c r="F22" s="4">
        <f t="shared" si="1"/>
        <v>3.3433333333333333</v>
      </c>
      <c r="G22" s="4">
        <f t="shared" si="1"/>
        <v>21.436666666666667</v>
      </c>
      <c r="H22" s="4">
        <f t="shared" si="1"/>
        <v>22.99388888888889</v>
      </c>
      <c r="I22" s="4">
        <f t="shared" si="1"/>
        <v>128.87222222222223</v>
      </c>
      <c r="J22" s="4">
        <f t="shared" si="1"/>
        <v>145.75000000000003</v>
      </c>
      <c r="K22" s="4">
        <f t="shared" si="1"/>
        <v>10.034444444444444</v>
      </c>
      <c r="L22" s="4">
        <f t="shared" si="1"/>
        <v>15.322777777777778</v>
      </c>
    </row>
    <row r="23" spans="1:12" x14ac:dyDescent="0.2">
      <c r="A23" s="7">
        <f t="shared" ref="A23:L23" si="2">AVERAGE(A13:A14)</f>
        <v>29841</v>
      </c>
      <c r="B23" s="4">
        <f t="shared" si="2"/>
        <v>328.98333333333335</v>
      </c>
      <c r="C23" s="4">
        <f t="shared" si="2"/>
        <v>325.33333333333337</v>
      </c>
      <c r="D23" s="4">
        <f t="shared" si="2"/>
        <v>191.96666666666667</v>
      </c>
      <c r="E23" s="4">
        <f t="shared" si="2"/>
        <v>2.85</v>
      </c>
      <c r="F23" s="4">
        <f t="shared" si="2"/>
        <v>2.8733333333333331</v>
      </c>
      <c r="G23" s="4">
        <f t="shared" si="2"/>
        <v>22.734999999999999</v>
      </c>
      <c r="H23" s="4">
        <f t="shared" si="2"/>
        <v>23.206666666666667</v>
      </c>
      <c r="I23" s="4">
        <f t="shared" si="2"/>
        <v>150.03333333333333</v>
      </c>
      <c r="J23" s="4">
        <f t="shared" si="2"/>
        <v>150.53333333333333</v>
      </c>
      <c r="K23" s="4">
        <f t="shared" si="2"/>
        <v>9.5949999999999989</v>
      </c>
      <c r="L23" s="4">
        <f t="shared" si="2"/>
        <v>19.843333333333334</v>
      </c>
    </row>
    <row r="24" spans="1:12" x14ac:dyDescent="0.2">
      <c r="A24" s="7">
        <f t="shared" ref="A24:L24" si="3">AVERAGE(A15)</f>
        <v>29884</v>
      </c>
      <c r="B24" s="4">
        <f t="shared" si="3"/>
        <v>329.13333333333333</v>
      </c>
      <c r="C24" s="4">
        <f t="shared" si="3"/>
        <v>320.39999999999998</v>
      </c>
      <c r="D24" s="4">
        <f t="shared" si="3"/>
        <v>181.53333333333333</v>
      </c>
      <c r="E24" s="4">
        <f t="shared" si="3"/>
        <v>3.03</v>
      </c>
      <c r="F24" s="4">
        <f t="shared" si="3"/>
        <v>2.3466666666666667</v>
      </c>
      <c r="G24" s="4">
        <f t="shared" si="3"/>
        <v>20.393333333333334</v>
      </c>
      <c r="H24" s="4">
        <f t="shared" si="3"/>
        <v>29.11</v>
      </c>
      <c r="I24" s="4">
        <f t="shared" si="3"/>
        <v>131.03333333333333</v>
      </c>
      <c r="J24" s="4">
        <f t="shared" si="3"/>
        <v>147.93333333333334</v>
      </c>
      <c r="K24" s="4">
        <f t="shared" si="3"/>
        <v>11.756666666666666</v>
      </c>
      <c r="L24" s="4">
        <f t="shared" si="3"/>
        <v>15.903333333333334</v>
      </c>
    </row>
    <row r="27" spans="1:12" x14ac:dyDescent="0.2">
      <c r="A27" s="19" t="s">
        <v>277</v>
      </c>
    </row>
    <row r="28" spans="1:12" x14ac:dyDescent="0.2">
      <c r="A28" s="7">
        <v>29782.666666666668</v>
      </c>
      <c r="B28" s="4">
        <v>2.1266388016286624</v>
      </c>
      <c r="C28" s="4">
        <v>2.9204895581493284</v>
      </c>
      <c r="D28" s="4">
        <v>79.90641053410198</v>
      </c>
      <c r="E28" s="4">
        <v>1.0714009520249643</v>
      </c>
      <c r="G28" s="4">
        <v>1.3565151430534541</v>
      </c>
      <c r="H28" s="4">
        <v>10.059980855588883</v>
      </c>
      <c r="I28" s="4">
        <v>6.9234705491136772</v>
      </c>
      <c r="J28" s="4">
        <v>4.7140452079103175E-2</v>
      </c>
      <c r="K28" s="4">
        <v>6.6249033535927486</v>
      </c>
      <c r="L28" s="4">
        <v>1.2137468770223392</v>
      </c>
    </row>
    <row r="29" spans="1:12" x14ac:dyDescent="0.2">
      <c r="A29" s="7">
        <v>29810.666666666668</v>
      </c>
      <c r="B29" s="4">
        <v>3.7334449388080055</v>
      </c>
      <c r="C29" s="4">
        <v>4.8981099907496448</v>
      </c>
      <c r="D29" s="4">
        <v>13.217931143098896</v>
      </c>
      <c r="E29" s="4">
        <v>0.53852765670579728</v>
      </c>
      <c r="G29" s="4">
        <v>1.5684528824432198</v>
      </c>
      <c r="H29" s="4">
        <v>6.9691973739475221</v>
      </c>
      <c r="I29" s="4">
        <v>1.6993735229108315</v>
      </c>
      <c r="J29" s="4">
        <v>0.60850454211762284</v>
      </c>
      <c r="K29" s="4">
        <v>1.7881875781960948</v>
      </c>
      <c r="L29" s="4">
        <v>3.7241450671907885</v>
      </c>
    </row>
    <row r="30" spans="1:12" x14ac:dyDescent="0.2">
      <c r="A30" s="7">
        <v>29841</v>
      </c>
      <c r="B30" s="4">
        <v>2.4748737341529163</v>
      </c>
      <c r="C30" s="4">
        <v>8.909545442950499</v>
      </c>
      <c r="D30" s="4">
        <v>9.1452477033460138</v>
      </c>
      <c r="E30" s="4">
        <v>5.1854497287013482E-2</v>
      </c>
      <c r="F30" s="4">
        <v>0.386551707048646</v>
      </c>
      <c r="G30" s="4">
        <v>0.74717616545378518</v>
      </c>
      <c r="H30" s="4">
        <v>5.4117238986810436</v>
      </c>
      <c r="J30" s="4">
        <v>0.94280904158206336</v>
      </c>
      <c r="K30" s="4">
        <v>3.363471255844011</v>
      </c>
      <c r="L30" s="4">
        <v>1.1785113019775793</v>
      </c>
    </row>
    <row r="31" spans="1:12" x14ac:dyDescent="0.2">
      <c r="A31" s="7">
        <v>29884</v>
      </c>
    </row>
    <row r="33" spans="1:12" x14ac:dyDescent="0.2">
      <c r="A33" s="19" t="s">
        <v>279</v>
      </c>
    </row>
    <row r="34" spans="1:12" x14ac:dyDescent="0.2">
      <c r="A34" s="7">
        <v>29782.666666666668</v>
      </c>
      <c r="B34" s="4">
        <v>3</v>
      </c>
      <c r="C34" s="4">
        <v>3</v>
      </c>
      <c r="D34" s="4">
        <v>3</v>
      </c>
      <c r="E34" s="4">
        <v>3</v>
      </c>
      <c r="G34" s="4">
        <v>3</v>
      </c>
      <c r="H34" s="4">
        <v>3</v>
      </c>
      <c r="I34" s="4">
        <v>3</v>
      </c>
      <c r="J34" s="4">
        <v>2</v>
      </c>
      <c r="K34" s="4">
        <v>3</v>
      </c>
      <c r="L34" s="4">
        <v>3</v>
      </c>
    </row>
    <row r="35" spans="1:12" x14ac:dyDescent="0.2">
      <c r="A35" s="7">
        <v>29810.666666666668</v>
      </c>
      <c r="B35" s="4">
        <v>3</v>
      </c>
      <c r="C35" s="4">
        <v>3</v>
      </c>
      <c r="D35" s="4">
        <v>3</v>
      </c>
      <c r="E35" s="4">
        <v>3</v>
      </c>
      <c r="F35" s="4">
        <v>1</v>
      </c>
      <c r="G35" s="4">
        <v>3</v>
      </c>
      <c r="H35" s="4">
        <v>3</v>
      </c>
      <c r="I35" s="4">
        <v>3</v>
      </c>
      <c r="J35" s="4">
        <v>3</v>
      </c>
      <c r="K35" s="4">
        <v>3</v>
      </c>
      <c r="L35" s="4">
        <v>3</v>
      </c>
    </row>
    <row r="36" spans="1:12" x14ac:dyDescent="0.2">
      <c r="A36" s="7">
        <v>29841</v>
      </c>
      <c r="B36" s="4">
        <v>2</v>
      </c>
      <c r="C36" s="4">
        <v>2</v>
      </c>
      <c r="D36" s="4">
        <v>2</v>
      </c>
      <c r="E36" s="4">
        <v>2</v>
      </c>
      <c r="F36" s="4">
        <v>2</v>
      </c>
      <c r="G36" s="4">
        <v>2</v>
      </c>
      <c r="H36" s="4">
        <v>2</v>
      </c>
      <c r="I36" s="4">
        <v>1</v>
      </c>
      <c r="J36" s="4">
        <v>2</v>
      </c>
      <c r="K36" s="4">
        <v>2</v>
      </c>
      <c r="L36" s="4">
        <v>2</v>
      </c>
    </row>
    <row r="37" spans="1:12" x14ac:dyDescent="0.2">
      <c r="A37" s="7">
        <v>29884</v>
      </c>
      <c r="B37" s="4">
        <v>1</v>
      </c>
      <c r="C37" s="4">
        <v>1</v>
      </c>
      <c r="D37" s="4">
        <v>1</v>
      </c>
      <c r="E37" s="4">
        <v>1</v>
      </c>
      <c r="F37" s="4">
        <v>1</v>
      </c>
      <c r="G37" s="4">
        <v>1</v>
      </c>
      <c r="H37" s="4">
        <v>1</v>
      </c>
      <c r="I37" s="4">
        <v>1</v>
      </c>
      <c r="J37" s="4">
        <v>1</v>
      </c>
      <c r="K37" s="4">
        <v>1</v>
      </c>
      <c r="L37" s="4">
        <v>1</v>
      </c>
    </row>
    <row r="39" spans="1:12" x14ac:dyDescent="0.2">
      <c r="A39" s="19" t="s">
        <v>1705</v>
      </c>
    </row>
    <row r="40" spans="1:12" x14ac:dyDescent="0.2">
      <c r="B40" s="8" t="s">
        <v>138</v>
      </c>
      <c r="C40" s="8" t="s">
        <v>136</v>
      </c>
      <c r="D40" s="8" t="s">
        <v>130</v>
      </c>
      <c r="E40" s="2" t="s">
        <v>125</v>
      </c>
      <c r="F40" s="2" t="s">
        <v>125</v>
      </c>
      <c r="G40" s="8" t="s">
        <v>133</v>
      </c>
      <c r="H40" s="8" t="s">
        <v>127</v>
      </c>
      <c r="I40" s="8" t="s">
        <v>121</v>
      </c>
      <c r="J40" s="8" t="s">
        <v>112</v>
      </c>
      <c r="K40" s="8" t="s">
        <v>142</v>
      </c>
      <c r="L40" s="8" t="s">
        <v>140</v>
      </c>
    </row>
    <row r="41" spans="1:12" x14ac:dyDescent="0.2">
      <c r="A41" s="7">
        <f>AVERAGE(A34:A37)</f>
        <v>29829.583333333336</v>
      </c>
      <c r="B41" s="8" t="s">
        <v>266</v>
      </c>
      <c r="C41" s="8" t="s">
        <v>144</v>
      </c>
      <c r="D41" s="8" t="s">
        <v>144</v>
      </c>
      <c r="E41" s="8" t="s">
        <v>144</v>
      </c>
      <c r="F41" s="8" t="s">
        <v>144</v>
      </c>
      <c r="G41" s="8" t="s">
        <v>144</v>
      </c>
      <c r="H41" s="8" t="s">
        <v>144</v>
      </c>
      <c r="I41" s="8" t="s">
        <v>144</v>
      </c>
      <c r="J41" s="8" t="s">
        <v>144</v>
      </c>
      <c r="K41" s="8" t="s">
        <v>144</v>
      </c>
      <c r="L41" s="8" t="s">
        <v>144</v>
      </c>
    </row>
    <row r="43" spans="1:12" x14ac:dyDescent="0.2">
      <c r="A43" s="19" t="s">
        <v>529</v>
      </c>
      <c r="B43" s="4">
        <f t="shared" ref="B43:L43" si="4">AVERAGE(B7:B15)</f>
        <v>327.52037037037036</v>
      </c>
      <c r="C43" s="4">
        <f t="shared" si="4"/>
        <v>317.90740740740739</v>
      </c>
      <c r="D43" s="4">
        <f t="shared" si="4"/>
        <v>183.26190476190476</v>
      </c>
      <c r="E43" s="4">
        <f t="shared" si="4"/>
        <v>2.9320370370370368</v>
      </c>
      <c r="F43" s="4">
        <f t="shared" si="4"/>
        <v>2.8591666666666669</v>
      </c>
      <c r="G43" s="4">
        <f t="shared" si="4"/>
        <v>21.379259259259257</v>
      </c>
      <c r="H43" s="4">
        <f t="shared" si="4"/>
        <v>26.51351851851852</v>
      </c>
      <c r="I43" s="4">
        <f t="shared" si="4"/>
        <v>133.73541666666668</v>
      </c>
      <c r="J43" s="4">
        <f t="shared" si="4"/>
        <v>147.56458333333336</v>
      </c>
      <c r="K43" s="4">
        <f t="shared" si="4"/>
        <v>11.195555555555554</v>
      </c>
      <c r="L43" s="4">
        <f t="shared" si="4"/>
        <v>17.951666666666668</v>
      </c>
    </row>
    <row r="44" spans="1:12" x14ac:dyDescent="0.2">
      <c r="A44" s="19" t="s">
        <v>1706</v>
      </c>
      <c r="B44" s="4">
        <f t="shared" ref="B44:L44" si="5">STDEV(B7:B15)</f>
        <v>5.2268921200430194</v>
      </c>
      <c r="C44" s="4">
        <f t="shared" si="5"/>
        <v>7.5398529638216045</v>
      </c>
      <c r="D44" s="4">
        <f t="shared" si="5"/>
        <v>8.534818199183956</v>
      </c>
      <c r="E44" s="4">
        <f t="shared" si="5"/>
        <v>0.63523496187640982</v>
      </c>
      <c r="F44" s="4">
        <f t="shared" si="5"/>
        <v>0.46436236648484697</v>
      </c>
      <c r="G44" s="4">
        <f t="shared" si="5"/>
        <v>1.370088985124869</v>
      </c>
      <c r="H44" s="4">
        <f t="shared" si="5"/>
        <v>7.6274934194791335</v>
      </c>
      <c r="I44" s="4">
        <f t="shared" si="5"/>
        <v>7.9807727154029777</v>
      </c>
      <c r="J44" s="4">
        <f t="shared" si="5"/>
        <v>2.0579007160557663</v>
      </c>
      <c r="K44" s="4">
        <f t="shared" si="5"/>
        <v>3.9916819763102374</v>
      </c>
      <c r="L44" s="4">
        <f t="shared" si="5"/>
        <v>3.0978570101855043</v>
      </c>
    </row>
    <row r="45" spans="1:12" x14ac:dyDescent="0.2">
      <c r="A45" s="19" t="s">
        <v>365</v>
      </c>
      <c r="B45" s="4">
        <f t="shared" ref="B45:L45" si="6">COUNTA(B7:B15)</f>
        <v>9</v>
      </c>
      <c r="C45" s="4">
        <f t="shared" si="6"/>
        <v>9</v>
      </c>
      <c r="D45" s="4">
        <f t="shared" si="6"/>
        <v>7</v>
      </c>
      <c r="E45" s="4">
        <f t="shared" si="6"/>
        <v>9</v>
      </c>
      <c r="F45" s="4">
        <f t="shared" si="6"/>
        <v>4</v>
      </c>
      <c r="G45" s="4">
        <f t="shared" si="6"/>
        <v>9</v>
      </c>
      <c r="H45" s="4">
        <f t="shared" si="6"/>
        <v>9</v>
      </c>
      <c r="I45" s="4">
        <f t="shared" si="6"/>
        <v>8</v>
      </c>
      <c r="J45" s="4">
        <f t="shared" si="6"/>
        <v>8</v>
      </c>
      <c r="K45" s="4">
        <f t="shared" si="6"/>
        <v>9</v>
      </c>
      <c r="L45" s="4">
        <f t="shared" si="6"/>
        <v>9</v>
      </c>
    </row>
  </sheetData>
  <pageMargins left="0.5" right="0.5" top="0.75" bottom="0.75" header="0.5" footer="0.5"/>
  <pageSetup orientation="portrait" horizontalDpi="0" verticalDpi="0" copies="0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5"/>
  <sheetViews>
    <sheetView showOutlineSymbols="0" defaultGridColor="0" colorId="9" workbookViewId="0">
      <selection activeCell="A18" sqref="A18"/>
    </sheetView>
  </sheetViews>
  <sheetFormatPr defaultColWidth="8.6640625" defaultRowHeight="15" x14ac:dyDescent="0.2"/>
  <cols>
    <col min="1" max="16384" width="8.6640625" style="2"/>
  </cols>
  <sheetData>
    <row r="1" spans="1:14" ht="18" x14ac:dyDescent="0.25">
      <c r="A1" s="18" t="s">
        <v>42</v>
      </c>
      <c r="N1" s="2" t="s">
        <v>1</v>
      </c>
    </row>
    <row r="2" spans="1:14" x14ac:dyDescent="0.2">
      <c r="N2" s="2" t="s">
        <v>1</v>
      </c>
    </row>
    <row r="3" spans="1:14" x14ac:dyDescent="0.2">
      <c r="A3" s="15" t="s">
        <v>253</v>
      </c>
      <c r="B3" s="8" t="s">
        <v>138</v>
      </c>
      <c r="C3" s="8" t="s">
        <v>136</v>
      </c>
      <c r="D3" s="8" t="s">
        <v>130</v>
      </c>
      <c r="E3" s="8" t="s">
        <v>125</v>
      </c>
      <c r="F3" s="8" t="s">
        <v>133</v>
      </c>
      <c r="G3" s="8" t="s">
        <v>127</v>
      </c>
      <c r="H3" s="8" t="s">
        <v>121</v>
      </c>
      <c r="I3" s="8" t="s">
        <v>112</v>
      </c>
      <c r="J3" s="8" t="s">
        <v>142</v>
      </c>
      <c r="K3" s="8" t="s">
        <v>140</v>
      </c>
      <c r="N3" s="2" t="s">
        <v>1</v>
      </c>
    </row>
    <row r="4" spans="1:14" x14ac:dyDescent="0.2">
      <c r="B4" s="8" t="s">
        <v>266</v>
      </c>
      <c r="C4" s="8" t="s">
        <v>144</v>
      </c>
      <c r="D4" s="8" t="s">
        <v>144</v>
      </c>
      <c r="E4" s="8" t="s">
        <v>144</v>
      </c>
      <c r="F4" s="8" t="s">
        <v>144</v>
      </c>
      <c r="G4" s="8" t="s">
        <v>144</v>
      </c>
      <c r="H4" s="8" t="s">
        <v>144</v>
      </c>
      <c r="I4" s="8" t="s">
        <v>144</v>
      </c>
      <c r="J4" s="8" t="s">
        <v>144</v>
      </c>
      <c r="K4" s="8" t="s">
        <v>144</v>
      </c>
      <c r="N4" s="2" t="s">
        <v>1</v>
      </c>
    </row>
    <row r="5" spans="1:14" x14ac:dyDescent="0.2">
      <c r="N5" s="2" t="s">
        <v>1</v>
      </c>
    </row>
    <row r="6" spans="1:14" x14ac:dyDescent="0.2">
      <c r="A6" s="7">
        <f>DATE(82,6,29)</f>
        <v>30131</v>
      </c>
      <c r="B6" s="4">
        <v>331.45</v>
      </c>
      <c r="C6" s="4">
        <v>344.8</v>
      </c>
      <c r="D6" s="4">
        <v>192.75</v>
      </c>
      <c r="E6" s="12">
        <v>0.3125</v>
      </c>
      <c r="F6" s="4">
        <v>21.22</v>
      </c>
      <c r="G6" s="4">
        <v>19.739999999999998</v>
      </c>
      <c r="H6" s="4">
        <v>149.5</v>
      </c>
      <c r="I6" s="4">
        <v>149.85</v>
      </c>
      <c r="K6" s="4">
        <v>47.755000000000003</v>
      </c>
      <c r="N6" s="2" t="s">
        <v>1</v>
      </c>
    </row>
    <row r="7" spans="1:14" x14ac:dyDescent="0.2">
      <c r="A7" s="7">
        <f>DATE(82,7,6)</f>
        <v>30138</v>
      </c>
      <c r="B7" s="4">
        <v>334.1</v>
      </c>
      <c r="C7" s="4">
        <v>352.05</v>
      </c>
      <c r="D7" s="4">
        <v>197.1</v>
      </c>
      <c r="E7" s="12">
        <v>0.4</v>
      </c>
      <c r="F7" s="4">
        <v>21.7</v>
      </c>
      <c r="G7" s="4">
        <v>27.484999999999999</v>
      </c>
      <c r="H7" s="4">
        <v>161.1</v>
      </c>
      <c r="I7" s="4">
        <v>153.25</v>
      </c>
      <c r="K7" s="4">
        <v>57.674999999999997</v>
      </c>
      <c r="N7" s="2" t="s">
        <v>1</v>
      </c>
    </row>
    <row r="8" spans="1:14" x14ac:dyDescent="0.2">
      <c r="A8" s="7">
        <f>DATE(82,7,13)</f>
        <v>30145</v>
      </c>
      <c r="B8" s="4">
        <v>331.05</v>
      </c>
      <c r="C8" s="4">
        <v>350.15</v>
      </c>
      <c r="D8" s="4">
        <v>201.3</v>
      </c>
      <c r="E8" s="12">
        <v>0.45250000000000001</v>
      </c>
      <c r="F8" s="4">
        <v>23.364999999999998</v>
      </c>
      <c r="G8" s="4">
        <v>28.815000000000001</v>
      </c>
      <c r="H8" s="4">
        <v>168.95</v>
      </c>
      <c r="I8" s="4">
        <v>158.19999999999999</v>
      </c>
      <c r="J8" s="4">
        <v>12.07</v>
      </c>
      <c r="K8" s="4">
        <v>77.734999999999999</v>
      </c>
      <c r="N8" s="2" t="s">
        <v>1</v>
      </c>
    </row>
    <row r="9" spans="1:14" x14ac:dyDescent="0.2">
      <c r="A9" s="7">
        <f>DATE(82,7,20)</f>
        <v>30152</v>
      </c>
      <c r="B9" s="4">
        <v>332.45</v>
      </c>
      <c r="C9" s="4">
        <v>343.2</v>
      </c>
      <c r="D9" s="4">
        <v>207.5</v>
      </c>
      <c r="E9" s="12">
        <v>0.39500000000000002</v>
      </c>
      <c r="F9" s="4">
        <v>24.204999999999998</v>
      </c>
      <c r="G9" s="4">
        <v>22.19</v>
      </c>
      <c r="H9" s="4">
        <v>163.95</v>
      </c>
      <c r="I9" s="4">
        <v>154.65</v>
      </c>
      <c r="K9" s="4">
        <v>56.155000000000001</v>
      </c>
      <c r="N9" s="2" t="s">
        <v>1</v>
      </c>
    </row>
    <row r="10" spans="1:14" x14ac:dyDescent="0.2">
      <c r="A10" s="7">
        <f>DATE(82,7,30)</f>
        <v>30162</v>
      </c>
      <c r="B10" s="4">
        <v>334.2</v>
      </c>
      <c r="C10" s="4">
        <v>365.65</v>
      </c>
      <c r="D10" s="4">
        <v>191</v>
      </c>
      <c r="E10" s="12">
        <v>0.96750000000000003</v>
      </c>
      <c r="F10" s="4">
        <v>21.24</v>
      </c>
      <c r="G10" s="4">
        <v>26.77</v>
      </c>
      <c r="H10" s="4">
        <v>175.55</v>
      </c>
      <c r="I10" s="4">
        <v>155.9</v>
      </c>
      <c r="J10" s="4">
        <v>5.18</v>
      </c>
      <c r="K10" s="4">
        <v>59.73</v>
      </c>
      <c r="N10" s="2" t="s">
        <v>1</v>
      </c>
    </row>
    <row r="11" spans="1:14" x14ac:dyDescent="0.2">
      <c r="A11" s="7">
        <f>DATE(82,8,3)</f>
        <v>30166</v>
      </c>
      <c r="B11" s="4">
        <v>336.75</v>
      </c>
      <c r="C11" s="4">
        <v>352.3</v>
      </c>
      <c r="D11" s="4">
        <v>205.35</v>
      </c>
      <c r="E11" s="12">
        <v>0.69750000000000001</v>
      </c>
      <c r="F11" s="4">
        <v>23.135000000000002</v>
      </c>
      <c r="G11" s="4">
        <v>23.344999999999999</v>
      </c>
      <c r="H11" s="4">
        <v>169.65</v>
      </c>
      <c r="I11" s="4">
        <v>153.25</v>
      </c>
      <c r="J11" s="4">
        <v>17.87</v>
      </c>
      <c r="K11" s="4">
        <v>67.125</v>
      </c>
      <c r="N11" s="2" t="s">
        <v>1</v>
      </c>
    </row>
    <row r="12" spans="1:14" x14ac:dyDescent="0.2">
      <c r="A12" s="7">
        <f>DATE(82,8,10)</f>
        <v>30173</v>
      </c>
      <c r="B12" s="4">
        <v>348.85</v>
      </c>
      <c r="C12" s="4">
        <v>372.3</v>
      </c>
      <c r="D12" s="4">
        <v>191.75</v>
      </c>
      <c r="E12" s="12">
        <v>0.60250000000000004</v>
      </c>
      <c r="F12" s="4">
        <v>23.004999999999999</v>
      </c>
      <c r="G12" s="4">
        <v>27.04</v>
      </c>
      <c r="H12" s="4">
        <v>177.8</v>
      </c>
      <c r="I12" s="4">
        <v>163.6</v>
      </c>
      <c r="K12" s="4">
        <v>47.62</v>
      </c>
      <c r="N12" s="2" t="s">
        <v>1</v>
      </c>
    </row>
    <row r="13" spans="1:14" x14ac:dyDescent="0.2">
      <c r="A13" s="7">
        <f>DATE(82,8,17)</f>
        <v>30180</v>
      </c>
      <c r="B13" s="4">
        <v>339.65</v>
      </c>
      <c r="C13" s="4">
        <v>352.7</v>
      </c>
      <c r="D13" s="4">
        <v>198.15</v>
      </c>
      <c r="E13" s="12">
        <v>0.95250000000000001</v>
      </c>
      <c r="F13" s="4">
        <v>22.66</v>
      </c>
      <c r="G13" s="4">
        <v>20.68</v>
      </c>
      <c r="H13" s="4">
        <v>152.19999999999999</v>
      </c>
      <c r="I13" s="4">
        <v>157.30000000000001</v>
      </c>
      <c r="J13" s="4">
        <v>14.39</v>
      </c>
      <c r="K13" s="4">
        <v>43.48</v>
      </c>
      <c r="N13" s="2" t="s">
        <v>1</v>
      </c>
    </row>
    <row r="14" spans="1:14" x14ac:dyDescent="0.2">
      <c r="A14" s="7">
        <f>DATE(82,8,27)</f>
        <v>30190</v>
      </c>
      <c r="B14" s="4">
        <v>331.3</v>
      </c>
      <c r="C14" s="4">
        <v>349.5</v>
      </c>
      <c r="D14" s="4">
        <v>212.75</v>
      </c>
      <c r="E14" s="12">
        <v>1.1125</v>
      </c>
      <c r="F14" s="4">
        <v>25.57</v>
      </c>
      <c r="G14" s="4">
        <v>25.445</v>
      </c>
      <c r="H14" s="4">
        <v>161.25</v>
      </c>
      <c r="I14" s="4">
        <v>159.35</v>
      </c>
      <c r="J14" s="4">
        <v>17.71</v>
      </c>
      <c r="K14" s="4">
        <v>54.134999999999998</v>
      </c>
      <c r="N14" s="2" t="s">
        <v>1</v>
      </c>
    </row>
    <row r="15" spans="1:14" x14ac:dyDescent="0.2">
      <c r="A15" s="7">
        <f>DATE(82,8,31)</f>
        <v>30194</v>
      </c>
      <c r="B15" s="4">
        <v>328.9</v>
      </c>
      <c r="C15" s="4">
        <v>339.35</v>
      </c>
      <c r="D15" s="4">
        <v>207.05</v>
      </c>
      <c r="E15" s="12">
        <v>0.34499999999999997</v>
      </c>
      <c r="F15" s="4">
        <v>33.36</v>
      </c>
      <c r="H15" s="4">
        <v>154.9</v>
      </c>
      <c r="I15" s="4">
        <v>158.19999999999999</v>
      </c>
      <c r="J15" s="4">
        <v>7.75</v>
      </c>
      <c r="K15" s="4">
        <v>33.83</v>
      </c>
      <c r="N15" s="2" t="s">
        <v>1</v>
      </c>
    </row>
    <row r="16" spans="1:14" x14ac:dyDescent="0.2">
      <c r="N16" s="2" t="s">
        <v>1</v>
      </c>
    </row>
    <row r="17" spans="1:14" x14ac:dyDescent="0.2">
      <c r="B17" s="8" t="s">
        <v>138</v>
      </c>
      <c r="C17" s="8" t="s">
        <v>136</v>
      </c>
      <c r="D17" s="8" t="s">
        <v>130</v>
      </c>
      <c r="E17" s="8" t="s">
        <v>125</v>
      </c>
      <c r="F17" s="8" t="s">
        <v>133</v>
      </c>
      <c r="G17" s="8" t="s">
        <v>127</v>
      </c>
      <c r="H17" s="8" t="s">
        <v>121</v>
      </c>
      <c r="I17" s="8" t="s">
        <v>112</v>
      </c>
      <c r="J17" s="8" t="s">
        <v>142</v>
      </c>
      <c r="K17" s="8" t="s">
        <v>140</v>
      </c>
      <c r="N17" s="2" t="s">
        <v>1</v>
      </c>
    </row>
    <row r="18" spans="1:14" x14ac:dyDescent="0.2">
      <c r="A18" s="7">
        <f>AVERAGE(A6:A15)</f>
        <v>30163.1</v>
      </c>
      <c r="B18" s="8" t="s">
        <v>266</v>
      </c>
      <c r="C18" s="8" t="s">
        <v>144</v>
      </c>
      <c r="D18" s="8" t="s">
        <v>144</v>
      </c>
      <c r="E18" s="8" t="s">
        <v>144</v>
      </c>
      <c r="F18" s="8" t="s">
        <v>144</v>
      </c>
      <c r="G18" s="8" t="s">
        <v>144</v>
      </c>
      <c r="H18" s="8" t="s">
        <v>144</v>
      </c>
      <c r="I18" s="8" t="s">
        <v>144</v>
      </c>
      <c r="J18" s="8" t="s">
        <v>144</v>
      </c>
      <c r="K18" s="8" t="s">
        <v>144</v>
      </c>
      <c r="N18" s="2" t="s">
        <v>1</v>
      </c>
    </row>
    <row r="19" spans="1:14" x14ac:dyDescent="0.2">
      <c r="A19" s="19" t="s">
        <v>529</v>
      </c>
      <c r="B19" s="4">
        <f t="shared" ref="B19:K19" si="0">AVERAGE(B6:B15)</f>
        <v>334.87</v>
      </c>
      <c r="C19" s="4">
        <f t="shared" si="0"/>
        <v>352.2</v>
      </c>
      <c r="D19" s="4">
        <f t="shared" si="0"/>
        <v>200.47</v>
      </c>
      <c r="E19" s="4">
        <f t="shared" si="0"/>
        <v>0.62374999999999992</v>
      </c>
      <c r="F19" s="4">
        <f t="shared" si="0"/>
        <v>23.945999999999998</v>
      </c>
      <c r="G19" s="4">
        <f t="shared" si="0"/>
        <v>24.612222222222218</v>
      </c>
      <c r="H19" s="4">
        <f t="shared" si="0"/>
        <v>163.48500000000001</v>
      </c>
      <c r="I19" s="4">
        <f t="shared" si="0"/>
        <v>156.35499999999999</v>
      </c>
      <c r="J19" s="4">
        <f t="shared" si="0"/>
        <v>12.494999999999999</v>
      </c>
      <c r="K19" s="4">
        <f t="shared" si="0"/>
        <v>54.524000000000001</v>
      </c>
      <c r="N19" s="2" t="s">
        <v>1</v>
      </c>
    </row>
    <row r="20" spans="1:14" x14ac:dyDescent="0.2">
      <c r="A20" s="19" t="s">
        <v>1078</v>
      </c>
      <c r="B20" s="4">
        <f t="shared" ref="B20:K20" si="1">STDEV(B6:B15)</f>
        <v>5.8060887580768821</v>
      </c>
      <c r="C20" s="4">
        <f t="shared" si="1"/>
        <v>9.9864908751773225</v>
      </c>
      <c r="D20" s="4">
        <f t="shared" si="1"/>
        <v>7.5282873956239964</v>
      </c>
      <c r="E20" s="4">
        <f t="shared" si="1"/>
        <v>0.29388265326298019</v>
      </c>
      <c r="F20" s="4">
        <f t="shared" si="1"/>
        <v>3.5693205080083454</v>
      </c>
      <c r="G20" s="4">
        <f t="shared" si="1"/>
        <v>3.2371622517947185</v>
      </c>
      <c r="H20" s="4">
        <f t="shared" si="1"/>
        <v>9.5794354391755991</v>
      </c>
      <c r="I20" s="4">
        <f t="shared" si="1"/>
        <v>3.8567725424821764</v>
      </c>
      <c r="J20" s="4">
        <f t="shared" si="1"/>
        <v>5.2131132732753871</v>
      </c>
      <c r="K20" s="4">
        <f t="shared" si="1"/>
        <v>12.387603974224469</v>
      </c>
      <c r="N20" s="2" t="s">
        <v>1</v>
      </c>
    </row>
    <row r="21" spans="1:14" x14ac:dyDescent="0.2">
      <c r="A21" s="19" t="s">
        <v>365</v>
      </c>
      <c r="B21" s="2">
        <f t="shared" ref="B21:K21" si="2">COUNTA(B6:B15)</f>
        <v>10</v>
      </c>
      <c r="C21" s="2">
        <f t="shared" si="2"/>
        <v>10</v>
      </c>
      <c r="D21" s="2">
        <f t="shared" si="2"/>
        <v>10</v>
      </c>
      <c r="E21" s="2">
        <f t="shared" si="2"/>
        <v>10</v>
      </c>
      <c r="F21" s="2">
        <f t="shared" si="2"/>
        <v>10</v>
      </c>
      <c r="G21" s="2">
        <f t="shared" si="2"/>
        <v>9</v>
      </c>
      <c r="H21" s="2">
        <f t="shared" si="2"/>
        <v>10</v>
      </c>
      <c r="I21" s="2">
        <f t="shared" si="2"/>
        <v>10</v>
      </c>
      <c r="J21" s="2">
        <f t="shared" si="2"/>
        <v>6</v>
      </c>
      <c r="K21" s="2">
        <f t="shared" si="2"/>
        <v>10</v>
      </c>
      <c r="N21" s="2" t="s">
        <v>1</v>
      </c>
    </row>
    <row r="22" spans="1:14" x14ac:dyDescent="0.2">
      <c r="N22" s="2" t="s">
        <v>1</v>
      </c>
    </row>
    <row r="23" spans="1:14" x14ac:dyDescent="0.2">
      <c r="N23" s="2" t="s">
        <v>1</v>
      </c>
    </row>
    <row r="24" spans="1:14" x14ac:dyDescent="0.2">
      <c r="N24" s="2" t="s">
        <v>1</v>
      </c>
    </row>
    <row r="25" spans="1:14" x14ac:dyDescent="0.2">
      <c r="N25" s="2" t="s">
        <v>1</v>
      </c>
    </row>
    <row r="26" spans="1:14" x14ac:dyDescent="0.2">
      <c r="N26" s="2" t="s">
        <v>1</v>
      </c>
    </row>
    <row r="27" spans="1:14" x14ac:dyDescent="0.2">
      <c r="N27" s="2" t="s">
        <v>1</v>
      </c>
    </row>
    <row r="28" spans="1:14" x14ac:dyDescent="0.2">
      <c r="N28" s="2" t="s">
        <v>1</v>
      </c>
    </row>
    <row r="29" spans="1:14" x14ac:dyDescent="0.2">
      <c r="N29" s="2" t="s">
        <v>1</v>
      </c>
    </row>
    <row r="30" spans="1:14" x14ac:dyDescent="0.2">
      <c r="N30" s="2" t="s">
        <v>1</v>
      </c>
    </row>
    <row r="31" spans="1:14" x14ac:dyDescent="0.2">
      <c r="N31" s="2" t="s">
        <v>1</v>
      </c>
    </row>
    <row r="32" spans="1:14" x14ac:dyDescent="0.2">
      <c r="N32" s="2" t="s">
        <v>1</v>
      </c>
    </row>
    <row r="33" spans="14:14" x14ac:dyDescent="0.2">
      <c r="N33" s="2" t="s">
        <v>1</v>
      </c>
    </row>
    <row r="34" spans="14:14" x14ac:dyDescent="0.2">
      <c r="N34" s="2" t="s">
        <v>1</v>
      </c>
    </row>
    <row r="35" spans="14:14" x14ac:dyDescent="0.2">
      <c r="N35" s="2" t="s">
        <v>1</v>
      </c>
    </row>
    <row r="36" spans="14:14" x14ac:dyDescent="0.2">
      <c r="N36" s="2" t="s">
        <v>1</v>
      </c>
    </row>
    <row r="37" spans="14:14" x14ac:dyDescent="0.2">
      <c r="N37" s="2" t="s">
        <v>1</v>
      </c>
    </row>
    <row r="38" spans="14:14" x14ac:dyDescent="0.2">
      <c r="N38" s="2" t="s">
        <v>1</v>
      </c>
    </row>
    <row r="39" spans="14:14" x14ac:dyDescent="0.2">
      <c r="N39" s="2" t="s">
        <v>1</v>
      </c>
    </row>
    <row r="40" spans="14:14" x14ac:dyDescent="0.2">
      <c r="N40" s="2" t="s">
        <v>1</v>
      </c>
    </row>
    <row r="41" spans="14:14" x14ac:dyDescent="0.2">
      <c r="N41" s="2" t="s">
        <v>1</v>
      </c>
    </row>
    <row r="42" spans="14:14" x14ac:dyDescent="0.2">
      <c r="N42" s="2" t="s">
        <v>1</v>
      </c>
    </row>
    <row r="43" spans="14:14" x14ac:dyDescent="0.2">
      <c r="N43" s="2" t="s">
        <v>1</v>
      </c>
    </row>
    <row r="44" spans="14:14" x14ac:dyDescent="0.2">
      <c r="N44" s="2" t="s">
        <v>1</v>
      </c>
    </row>
    <row r="45" spans="14:14" x14ac:dyDescent="0.2">
      <c r="N45" s="2" t="s">
        <v>1</v>
      </c>
    </row>
  </sheetData>
  <pageMargins left="0.5" right="0.5" top="0.75" bottom="0.75" header="0.5" footer="0.5"/>
  <pageSetup orientation="portrait" horizontalDpi="0" verticalDpi="0" copies="0"/>
  <headerFooter alignWithMargins="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49"/>
  <sheetViews>
    <sheetView showOutlineSymbols="0" defaultGridColor="0" topLeftCell="A3" colorId="9" workbookViewId="0">
      <selection activeCell="A45" sqref="A45"/>
    </sheetView>
  </sheetViews>
  <sheetFormatPr defaultColWidth="8.6640625" defaultRowHeight="15" x14ac:dyDescent="0.2"/>
  <cols>
    <col min="1" max="16384" width="8.6640625" style="2"/>
  </cols>
  <sheetData>
    <row r="1" spans="1:42" ht="18" x14ac:dyDescent="0.25">
      <c r="A1" s="18" t="s">
        <v>1707</v>
      </c>
      <c r="Y1" s="2" t="s">
        <v>1</v>
      </c>
      <c r="AP1" s="2" t="s">
        <v>444</v>
      </c>
    </row>
    <row r="2" spans="1:42" x14ac:dyDescent="0.2">
      <c r="Y2" s="2" t="s">
        <v>1</v>
      </c>
    </row>
    <row r="3" spans="1:42" x14ac:dyDescent="0.2">
      <c r="A3" s="21" t="s">
        <v>253</v>
      </c>
      <c r="B3" s="8" t="s">
        <v>286</v>
      </c>
      <c r="C3" s="8" t="s">
        <v>287</v>
      </c>
      <c r="D3" s="8" t="s">
        <v>117</v>
      </c>
      <c r="E3" s="8" t="s">
        <v>118</v>
      </c>
      <c r="F3" s="8" t="s">
        <v>123</v>
      </c>
      <c r="G3" s="8" t="s">
        <v>134</v>
      </c>
      <c r="H3" s="8" t="s">
        <v>138</v>
      </c>
      <c r="I3" s="8" t="s">
        <v>136</v>
      </c>
      <c r="J3" s="8" t="s">
        <v>130</v>
      </c>
      <c r="K3" s="8" t="s">
        <v>133</v>
      </c>
      <c r="L3" s="8" t="s">
        <v>127</v>
      </c>
      <c r="M3" s="8" t="s">
        <v>121</v>
      </c>
      <c r="N3" s="8" t="s">
        <v>112</v>
      </c>
      <c r="O3" s="8" t="s">
        <v>148</v>
      </c>
      <c r="P3" s="8" t="s">
        <v>115</v>
      </c>
      <c r="Q3" s="8" t="s">
        <v>126</v>
      </c>
      <c r="R3" s="8" t="s">
        <v>122</v>
      </c>
      <c r="S3" s="8" t="s">
        <v>113</v>
      </c>
      <c r="T3" s="8" t="s">
        <v>131</v>
      </c>
      <c r="U3" s="8" t="s">
        <v>129</v>
      </c>
      <c r="V3" s="8" t="s">
        <v>149</v>
      </c>
      <c r="W3" s="8" t="s">
        <v>151</v>
      </c>
      <c r="Y3" s="2" t="s">
        <v>1</v>
      </c>
    </row>
    <row r="4" spans="1:42" x14ac:dyDescent="0.2">
      <c r="C4" s="15" t="s">
        <v>291</v>
      </c>
      <c r="D4" s="8" t="s">
        <v>266</v>
      </c>
      <c r="E4" s="8" t="s">
        <v>266</v>
      </c>
      <c r="F4" s="8" t="s">
        <v>266</v>
      </c>
      <c r="G4" s="8" t="s">
        <v>371</v>
      </c>
      <c r="H4" s="8" t="s">
        <v>266</v>
      </c>
      <c r="I4" s="8" t="s">
        <v>144</v>
      </c>
      <c r="J4" s="8" t="s">
        <v>144</v>
      </c>
      <c r="K4" s="8" t="s">
        <v>144</v>
      </c>
      <c r="L4" s="8" t="s">
        <v>144</v>
      </c>
      <c r="M4" s="8" t="s">
        <v>144</v>
      </c>
      <c r="N4" s="8" t="s">
        <v>144</v>
      </c>
      <c r="O4" s="8" t="s">
        <v>144</v>
      </c>
      <c r="P4" s="8" t="s">
        <v>144</v>
      </c>
      <c r="Q4" s="8" t="s">
        <v>144</v>
      </c>
      <c r="R4" s="8" t="s">
        <v>144</v>
      </c>
      <c r="S4" s="8" t="s">
        <v>144</v>
      </c>
      <c r="T4" s="8" t="s">
        <v>144</v>
      </c>
      <c r="U4" s="8" t="s">
        <v>144</v>
      </c>
      <c r="V4" s="8" t="s">
        <v>144</v>
      </c>
      <c r="W4" s="8" t="s">
        <v>144</v>
      </c>
      <c r="Y4" s="2" t="s">
        <v>1</v>
      </c>
    </row>
    <row r="5" spans="1:42" x14ac:dyDescent="0.2">
      <c r="Y5" s="2" t="s">
        <v>1</v>
      </c>
    </row>
    <row r="6" spans="1:42" x14ac:dyDescent="0.2">
      <c r="A6" s="7">
        <f>DATE(85,2,25)</f>
        <v>31103</v>
      </c>
      <c r="B6" s="2">
        <v>910</v>
      </c>
      <c r="C6" s="2">
        <v>4.4000000000000004</v>
      </c>
      <c r="D6" s="2">
        <v>533</v>
      </c>
      <c r="E6" s="4">
        <v>202.66666666666666</v>
      </c>
      <c r="F6" s="4">
        <v>1722</v>
      </c>
      <c r="G6" s="2">
        <v>348</v>
      </c>
      <c r="H6" s="4">
        <v>338</v>
      </c>
      <c r="I6" s="2">
        <v>401</v>
      </c>
      <c r="J6" s="4">
        <v>238</v>
      </c>
      <c r="K6" s="4">
        <v>32.299999999999997</v>
      </c>
      <c r="L6" s="2">
        <v>547</v>
      </c>
      <c r="M6" s="2">
        <v>202</v>
      </c>
      <c r="O6" s="2">
        <v>92</v>
      </c>
      <c r="P6" s="2">
        <v>644</v>
      </c>
      <c r="Q6" s="2">
        <v>2640</v>
      </c>
      <c r="R6" s="2">
        <v>542</v>
      </c>
      <c r="S6" s="2">
        <v>602</v>
      </c>
      <c r="T6" s="2">
        <v>1140</v>
      </c>
      <c r="U6" s="2">
        <v>274</v>
      </c>
      <c r="V6" s="2">
        <v>346</v>
      </c>
      <c r="W6" s="2">
        <v>517</v>
      </c>
      <c r="Y6" s="2" t="s">
        <v>1</v>
      </c>
    </row>
    <row r="7" spans="1:42" x14ac:dyDescent="0.2">
      <c r="A7" s="7">
        <f>DATE(85,2,27)</f>
        <v>31105</v>
      </c>
      <c r="B7" s="2">
        <v>1030</v>
      </c>
      <c r="C7" s="2">
        <v>5.8</v>
      </c>
      <c r="D7" s="2">
        <v>520</v>
      </c>
      <c r="E7" s="4">
        <v>180.33333333333334</v>
      </c>
      <c r="F7" s="4">
        <v>1721.5</v>
      </c>
      <c r="G7" s="2">
        <v>350</v>
      </c>
      <c r="H7" s="4">
        <v>338</v>
      </c>
      <c r="I7" s="2">
        <v>405</v>
      </c>
      <c r="J7" s="4">
        <v>234.5</v>
      </c>
      <c r="K7" s="4">
        <v>33.549999999999997</v>
      </c>
      <c r="L7" s="2">
        <v>39</v>
      </c>
      <c r="M7" s="2">
        <v>199</v>
      </c>
      <c r="N7" s="2">
        <v>157</v>
      </c>
      <c r="O7" s="2">
        <v>92</v>
      </c>
      <c r="P7" s="2">
        <v>700</v>
      </c>
      <c r="Y7" s="2" t="s">
        <v>1</v>
      </c>
    </row>
    <row r="8" spans="1:42" x14ac:dyDescent="0.2">
      <c r="A8" s="7">
        <f>DATE(85,3,1)</f>
        <v>31107</v>
      </c>
      <c r="B8" s="2">
        <v>1610</v>
      </c>
      <c r="C8" s="2">
        <v>5.6</v>
      </c>
      <c r="D8" s="2">
        <v>505</v>
      </c>
      <c r="E8" s="4">
        <v>260</v>
      </c>
      <c r="F8" s="4">
        <v>1723</v>
      </c>
      <c r="G8" s="2">
        <v>353</v>
      </c>
      <c r="H8" s="4">
        <v>339</v>
      </c>
      <c r="I8" s="2">
        <v>404</v>
      </c>
      <c r="J8" s="4">
        <v>236.5</v>
      </c>
      <c r="K8" s="4">
        <v>32.35</v>
      </c>
      <c r="L8" s="2">
        <v>18</v>
      </c>
      <c r="M8" s="2">
        <v>200</v>
      </c>
      <c r="N8" s="2">
        <v>151</v>
      </c>
      <c r="O8" s="2">
        <v>96</v>
      </c>
      <c r="P8" s="2">
        <v>849</v>
      </c>
      <c r="Q8" s="2">
        <v>2490</v>
      </c>
      <c r="R8" s="2">
        <v>798</v>
      </c>
      <c r="S8" s="2">
        <v>702</v>
      </c>
      <c r="T8" s="2">
        <v>1020</v>
      </c>
      <c r="U8" s="2">
        <v>588</v>
      </c>
      <c r="V8" s="2">
        <v>335</v>
      </c>
      <c r="W8" s="2">
        <v>455</v>
      </c>
      <c r="Y8" s="2" t="s">
        <v>1</v>
      </c>
    </row>
    <row r="9" spans="1:42" x14ac:dyDescent="0.2">
      <c r="A9" s="7">
        <f>DATE(85,3,4)</f>
        <v>31110</v>
      </c>
      <c r="B9" s="2">
        <v>1615</v>
      </c>
      <c r="C9" s="2">
        <v>5.8</v>
      </c>
      <c r="D9" s="2">
        <v>617</v>
      </c>
      <c r="E9" s="4">
        <v>459</v>
      </c>
      <c r="F9" s="4">
        <v>1874.5</v>
      </c>
      <c r="G9" s="2">
        <v>369</v>
      </c>
      <c r="H9" s="4">
        <v>341</v>
      </c>
      <c r="I9" s="2">
        <v>446</v>
      </c>
      <c r="J9" s="4">
        <v>303</v>
      </c>
      <c r="K9" s="4">
        <v>41.5</v>
      </c>
      <c r="M9" s="2">
        <v>293</v>
      </c>
      <c r="O9" s="2">
        <v>120</v>
      </c>
      <c r="P9" s="2">
        <v>778</v>
      </c>
      <c r="Q9" s="2">
        <v>4230</v>
      </c>
      <c r="R9" s="2">
        <v>1750</v>
      </c>
      <c r="S9" s="2">
        <v>2253</v>
      </c>
      <c r="T9" s="2">
        <v>2190</v>
      </c>
      <c r="U9" s="2">
        <v>718</v>
      </c>
      <c r="V9" s="2">
        <v>885</v>
      </c>
      <c r="W9" s="2">
        <v>1400</v>
      </c>
      <c r="Y9" s="2" t="s">
        <v>1</v>
      </c>
    </row>
    <row r="10" spans="1:42" x14ac:dyDescent="0.2">
      <c r="A10" s="7">
        <f>DATE(85,3,6)</f>
        <v>31112</v>
      </c>
      <c r="B10" s="2">
        <v>915</v>
      </c>
      <c r="C10" s="2">
        <v>4.5</v>
      </c>
      <c r="D10" s="2">
        <v>532</v>
      </c>
      <c r="E10" s="4">
        <v>234</v>
      </c>
      <c r="F10" s="4">
        <v>1742</v>
      </c>
      <c r="G10" s="2">
        <v>351</v>
      </c>
      <c r="H10" s="4">
        <v>338.5</v>
      </c>
      <c r="I10" s="2">
        <v>414</v>
      </c>
      <c r="J10" s="4">
        <v>244</v>
      </c>
      <c r="K10" s="4">
        <v>32.1</v>
      </c>
      <c r="L10" s="2">
        <v>29</v>
      </c>
      <c r="M10" s="2">
        <v>214</v>
      </c>
      <c r="N10" s="2">
        <v>153</v>
      </c>
      <c r="O10" s="2">
        <v>98</v>
      </c>
      <c r="P10" s="2">
        <v>706</v>
      </c>
      <c r="Q10" s="2">
        <v>2640</v>
      </c>
      <c r="R10" s="2">
        <v>801</v>
      </c>
      <c r="S10" s="2">
        <v>935</v>
      </c>
      <c r="T10" s="2">
        <v>1230</v>
      </c>
      <c r="U10" s="2">
        <v>316</v>
      </c>
      <c r="V10" s="2">
        <v>424</v>
      </c>
      <c r="W10" s="2">
        <v>628</v>
      </c>
      <c r="Y10" s="2" t="s">
        <v>1</v>
      </c>
    </row>
    <row r="11" spans="1:42" x14ac:dyDescent="0.2">
      <c r="A11" s="7">
        <f>DATE(85,3,8)</f>
        <v>31114</v>
      </c>
      <c r="B11" s="2">
        <v>900</v>
      </c>
      <c r="C11" s="2">
        <v>6.6</v>
      </c>
      <c r="D11" s="2">
        <v>505</v>
      </c>
      <c r="E11" s="4">
        <v>189.33333333333334</v>
      </c>
      <c r="F11" s="4">
        <v>1724.5</v>
      </c>
      <c r="G11" s="2">
        <v>350</v>
      </c>
      <c r="H11" s="4">
        <v>339</v>
      </c>
      <c r="I11" s="2">
        <v>403</v>
      </c>
      <c r="J11" s="4">
        <v>229.5</v>
      </c>
      <c r="K11" s="4">
        <v>30.9</v>
      </c>
      <c r="L11" s="2">
        <v>28</v>
      </c>
      <c r="M11" s="2">
        <v>193</v>
      </c>
      <c r="N11" s="2">
        <v>153</v>
      </c>
      <c r="O11" s="2">
        <v>94</v>
      </c>
      <c r="P11" s="2">
        <v>710</v>
      </c>
      <c r="Q11" s="2">
        <v>2470</v>
      </c>
      <c r="R11" s="2">
        <v>538</v>
      </c>
      <c r="S11" s="2">
        <v>662</v>
      </c>
      <c r="T11" s="2">
        <v>1290</v>
      </c>
      <c r="U11" s="2">
        <v>484</v>
      </c>
      <c r="V11" s="2">
        <v>402</v>
      </c>
      <c r="W11" s="2">
        <v>636</v>
      </c>
      <c r="Y11" s="2" t="s">
        <v>1</v>
      </c>
    </row>
    <row r="12" spans="1:42" x14ac:dyDescent="0.2">
      <c r="A12" s="7">
        <f>DATE(85,3,11)</f>
        <v>31117</v>
      </c>
      <c r="B12" s="2">
        <v>900</v>
      </c>
      <c r="C12" s="2">
        <v>5.5</v>
      </c>
      <c r="D12" s="2">
        <v>511</v>
      </c>
      <c r="E12" s="4">
        <v>177</v>
      </c>
      <c r="F12" s="4">
        <v>1714.5</v>
      </c>
      <c r="G12" s="2">
        <v>349</v>
      </c>
      <c r="H12" s="4">
        <v>338.5</v>
      </c>
      <c r="I12" s="2">
        <v>395</v>
      </c>
      <c r="J12" s="4">
        <v>240.5</v>
      </c>
      <c r="K12" s="4">
        <v>30.3</v>
      </c>
      <c r="L12" s="2">
        <v>15</v>
      </c>
      <c r="M12" s="2">
        <v>204</v>
      </c>
      <c r="N12" s="2">
        <v>151</v>
      </c>
      <c r="O12" s="2">
        <v>91</v>
      </c>
      <c r="P12" s="2">
        <v>612</v>
      </c>
      <c r="Q12" s="2">
        <v>2160</v>
      </c>
      <c r="R12" s="2">
        <v>636</v>
      </c>
      <c r="S12" s="2">
        <v>628</v>
      </c>
      <c r="T12" s="2">
        <v>898</v>
      </c>
      <c r="U12" s="2">
        <v>290</v>
      </c>
      <c r="V12" s="2">
        <v>311</v>
      </c>
      <c r="W12" s="2">
        <v>374</v>
      </c>
      <c r="Y12" s="2" t="s">
        <v>1</v>
      </c>
    </row>
    <row r="13" spans="1:42" x14ac:dyDescent="0.2">
      <c r="A13" s="7">
        <f>DATE(85,3,13)</f>
        <v>31119</v>
      </c>
      <c r="B13" s="2">
        <v>910</v>
      </c>
      <c r="C13" s="2">
        <v>1.3</v>
      </c>
      <c r="D13" s="2">
        <v>510</v>
      </c>
      <c r="E13" s="4">
        <v>202</v>
      </c>
      <c r="F13" s="4">
        <v>1725</v>
      </c>
      <c r="G13" s="2">
        <v>350</v>
      </c>
      <c r="H13" s="4">
        <v>338.5</v>
      </c>
      <c r="I13" s="2">
        <v>405</v>
      </c>
      <c r="J13" s="4">
        <v>246.5</v>
      </c>
      <c r="K13" s="4">
        <v>31.45</v>
      </c>
      <c r="L13" s="2">
        <v>440</v>
      </c>
      <c r="M13" s="2">
        <v>193</v>
      </c>
      <c r="N13" s="2">
        <v>158</v>
      </c>
      <c r="O13" s="2">
        <v>95</v>
      </c>
      <c r="P13" s="2">
        <v>648</v>
      </c>
      <c r="Q13" s="2">
        <v>2320</v>
      </c>
      <c r="R13" s="2">
        <v>698</v>
      </c>
      <c r="S13" s="2">
        <v>644</v>
      </c>
      <c r="T13" s="2">
        <v>1030</v>
      </c>
      <c r="U13" s="2">
        <v>463</v>
      </c>
      <c r="V13" s="2">
        <v>370</v>
      </c>
      <c r="W13" s="2">
        <v>529</v>
      </c>
      <c r="Y13" s="2" t="s">
        <v>1</v>
      </c>
    </row>
    <row r="14" spans="1:42" x14ac:dyDescent="0.2">
      <c r="A14" s="7">
        <f>DATE(85,3,15)</f>
        <v>31121</v>
      </c>
      <c r="B14" s="2">
        <v>1000</v>
      </c>
      <c r="C14" s="2">
        <v>0.9</v>
      </c>
      <c r="D14" s="2">
        <v>544</v>
      </c>
      <c r="E14" s="4">
        <v>248.33333333333334</v>
      </c>
      <c r="F14" s="4">
        <v>1720.5</v>
      </c>
      <c r="G14" s="2">
        <v>351</v>
      </c>
      <c r="H14" s="4">
        <v>339</v>
      </c>
      <c r="I14" s="2">
        <v>403</v>
      </c>
      <c r="J14" s="4">
        <v>237</v>
      </c>
      <c r="K14" s="4">
        <v>31.65</v>
      </c>
      <c r="L14" s="2">
        <v>40</v>
      </c>
      <c r="M14" s="2">
        <v>197</v>
      </c>
      <c r="N14" s="2">
        <v>162</v>
      </c>
      <c r="O14" s="2">
        <v>92</v>
      </c>
      <c r="P14" s="2">
        <v>674</v>
      </c>
      <c r="Q14" s="2">
        <v>2830</v>
      </c>
      <c r="R14" s="2">
        <v>822</v>
      </c>
      <c r="S14" s="2">
        <v>895</v>
      </c>
      <c r="T14" s="2">
        <v>1180</v>
      </c>
      <c r="U14" s="2">
        <v>436</v>
      </c>
      <c r="V14" s="2">
        <v>382</v>
      </c>
      <c r="W14" s="2">
        <v>534</v>
      </c>
      <c r="Y14" s="2" t="s">
        <v>1</v>
      </c>
    </row>
    <row r="15" spans="1:42" x14ac:dyDescent="0.2">
      <c r="A15" s="7">
        <f>DATE(85,3,18)</f>
        <v>31124</v>
      </c>
      <c r="B15" s="2">
        <v>900</v>
      </c>
      <c r="C15" s="2">
        <v>3.6</v>
      </c>
      <c r="D15" s="2">
        <v>520</v>
      </c>
      <c r="E15" s="4">
        <v>166.33333333333334</v>
      </c>
      <c r="F15" s="4">
        <v>1723.5</v>
      </c>
      <c r="G15" s="2">
        <v>353</v>
      </c>
      <c r="H15" s="4">
        <v>335</v>
      </c>
      <c r="I15" s="2">
        <v>426</v>
      </c>
      <c r="J15" s="4">
        <v>239</v>
      </c>
      <c r="K15" s="4">
        <v>32.200000000000003</v>
      </c>
      <c r="M15" s="2">
        <v>194</v>
      </c>
      <c r="O15" s="2">
        <v>91</v>
      </c>
      <c r="P15" s="2">
        <v>753</v>
      </c>
      <c r="Q15" s="2">
        <v>2320</v>
      </c>
      <c r="R15" s="2">
        <v>351</v>
      </c>
      <c r="S15" s="2">
        <v>680</v>
      </c>
      <c r="T15" s="2">
        <v>979</v>
      </c>
      <c r="U15" s="2">
        <v>38</v>
      </c>
      <c r="V15" s="2">
        <v>308</v>
      </c>
      <c r="W15" s="2">
        <v>438</v>
      </c>
      <c r="Y15" s="2" t="s">
        <v>1</v>
      </c>
    </row>
    <row r="16" spans="1:42" x14ac:dyDescent="0.2">
      <c r="A16" s="7">
        <f>DATE(85,3,20)</f>
        <v>31126</v>
      </c>
      <c r="B16" s="2">
        <v>915</v>
      </c>
      <c r="C16" s="2">
        <v>4.4000000000000004</v>
      </c>
      <c r="D16" s="2">
        <v>517</v>
      </c>
      <c r="E16" s="4">
        <v>174.33333333333334</v>
      </c>
      <c r="F16" s="4">
        <v>1724</v>
      </c>
      <c r="G16" s="2">
        <v>349</v>
      </c>
      <c r="H16" s="4">
        <v>341.5</v>
      </c>
      <c r="I16" s="2">
        <v>408</v>
      </c>
      <c r="J16" s="4">
        <v>234</v>
      </c>
      <c r="K16" s="4">
        <v>30.9</v>
      </c>
      <c r="L16" s="2">
        <v>32</v>
      </c>
      <c r="M16" s="2">
        <v>200</v>
      </c>
      <c r="N16" s="2">
        <v>137</v>
      </c>
      <c r="O16" s="2">
        <v>92</v>
      </c>
      <c r="P16" s="2">
        <v>664</v>
      </c>
      <c r="Q16" s="2">
        <v>2070</v>
      </c>
      <c r="R16" s="2">
        <v>303</v>
      </c>
      <c r="S16" s="2">
        <v>973</v>
      </c>
      <c r="T16" s="2">
        <v>1140</v>
      </c>
      <c r="V16" s="2">
        <v>397</v>
      </c>
      <c r="W16" s="2">
        <v>617</v>
      </c>
      <c r="Y16" s="2" t="s">
        <v>1</v>
      </c>
    </row>
    <row r="17" spans="1:25" x14ac:dyDescent="0.2">
      <c r="A17" s="7">
        <f>DATE(85,3,25)</f>
        <v>31131</v>
      </c>
      <c r="B17" s="2">
        <v>1340</v>
      </c>
      <c r="C17" s="2">
        <v>4.4000000000000004</v>
      </c>
      <c r="D17" s="2">
        <v>593</v>
      </c>
      <c r="E17" s="4">
        <v>193.33333333333334</v>
      </c>
      <c r="F17" s="4">
        <v>1736.5</v>
      </c>
      <c r="G17" s="2">
        <v>350</v>
      </c>
      <c r="H17" s="4">
        <v>338</v>
      </c>
      <c r="I17" s="2">
        <v>412</v>
      </c>
      <c r="J17" s="4">
        <v>236</v>
      </c>
      <c r="K17" s="4">
        <v>32.85</v>
      </c>
      <c r="L17" s="2">
        <v>28</v>
      </c>
      <c r="M17" s="2">
        <v>206</v>
      </c>
      <c r="N17" s="2">
        <v>154</v>
      </c>
      <c r="O17" s="2">
        <v>91</v>
      </c>
      <c r="P17" s="2">
        <v>668</v>
      </c>
      <c r="Q17" s="2">
        <v>2280</v>
      </c>
      <c r="R17" s="2">
        <v>455</v>
      </c>
      <c r="S17" s="2">
        <v>732</v>
      </c>
      <c r="T17" s="2">
        <v>1040</v>
      </c>
      <c r="U17" s="2">
        <v>125</v>
      </c>
      <c r="V17" s="2">
        <v>356</v>
      </c>
      <c r="W17" s="2">
        <v>458</v>
      </c>
      <c r="Y17" s="2" t="s">
        <v>1</v>
      </c>
    </row>
    <row r="18" spans="1:25" x14ac:dyDescent="0.2">
      <c r="A18" s="7">
        <f>DATE(85,3,27)</f>
        <v>31133</v>
      </c>
      <c r="B18" s="2">
        <v>1555</v>
      </c>
      <c r="C18" s="2">
        <v>-3.7</v>
      </c>
      <c r="D18" s="2">
        <v>516</v>
      </c>
      <c r="E18" s="4">
        <v>204</v>
      </c>
      <c r="F18" s="4">
        <v>1764</v>
      </c>
      <c r="G18" s="2">
        <v>350</v>
      </c>
      <c r="H18" s="4">
        <v>339</v>
      </c>
      <c r="I18" s="2">
        <v>406</v>
      </c>
      <c r="J18" s="4">
        <v>232</v>
      </c>
      <c r="K18" s="4">
        <v>32.200000000000003</v>
      </c>
      <c r="L18" s="2">
        <v>31</v>
      </c>
      <c r="M18" s="2">
        <v>196</v>
      </c>
      <c r="N18" s="2">
        <v>116</v>
      </c>
      <c r="O18" s="2">
        <v>93</v>
      </c>
      <c r="P18" s="2">
        <v>655</v>
      </c>
      <c r="Q18" s="2">
        <v>2610</v>
      </c>
      <c r="R18" s="2">
        <v>158</v>
      </c>
      <c r="S18" s="2">
        <v>864</v>
      </c>
      <c r="T18" s="2">
        <v>1560</v>
      </c>
      <c r="U18" s="2">
        <v>37</v>
      </c>
      <c r="V18" s="2">
        <v>476</v>
      </c>
      <c r="W18" s="2">
        <v>753</v>
      </c>
      <c r="Y18" s="2" t="s">
        <v>1</v>
      </c>
    </row>
    <row r="19" spans="1:25" x14ac:dyDescent="0.2">
      <c r="A19" s="7">
        <f>DATE(85,3,29)</f>
        <v>31135</v>
      </c>
      <c r="B19" s="2">
        <v>930</v>
      </c>
      <c r="C19" s="2">
        <v>2</v>
      </c>
      <c r="D19" s="2">
        <v>524</v>
      </c>
      <c r="E19" s="4">
        <v>220</v>
      </c>
      <c r="F19" s="4">
        <v>1739.5</v>
      </c>
      <c r="G19" s="2">
        <v>351</v>
      </c>
      <c r="H19" s="4">
        <v>339.5</v>
      </c>
      <c r="I19" s="2">
        <v>395</v>
      </c>
      <c r="J19" s="4">
        <v>226.5</v>
      </c>
      <c r="K19" s="4">
        <v>32.799999999999997</v>
      </c>
      <c r="L19" s="2">
        <v>31</v>
      </c>
      <c r="M19" s="2">
        <v>190</v>
      </c>
      <c r="N19" s="2">
        <v>158</v>
      </c>
      <c r="O19" s="2">
        <v>92</v>
      </c>
      <c r="P19" s="2">
        <v>718</v>
      </c>
      <c r="Q19" s="2">
        <v>2820</v>
      </c>
      <c r="R19" s="2">
        <v>465</v>
      </c>
      <c r="S19" s="2">
        <v>667</v>
      </c>
      <c r="T19" s="2">
        <v>1200</v>
      </c>
      <c r="U19" s="2">
        <v>371</v>
      </c>
      <c r="V19" s="2">
        <v>383</v>
      </c>
      <c r="W19" s="2">
        <v>569</v>
      </c>
      <c r="Y19" s="2" t="s">
        <v>1</v>
      </c>
    </row>
    <row r="20" spans="1:25" x14ac:dyDescent="0.2">
      <c r="A20" s="7">
        <f>DATE(85,4,1)</f>
        <v>31138</v>
      </c>
      <c r="B20" s="2">
        <v>1220</v>
      </c>
      <c r="C20" s="2">
        <v>1.4</v>
      </c>
      <c r="D20" s="2">
        <v>524</v>
      </c>
      <c r="E20" s="4">
        <v>201</v>
      </c>
      <c r="F20" s="4">
        <v>1758</v>
      </c>
      <c r="G20" s="2">
        <v>352</v>
      </c>
      <c r="H20" s="4">
        <v>339</v>
      </c>
      <c r="I20" s="2">
        <v>404</v>
      </c>
      <c r="J20" s="4">
        <v>241</v>
      </c>
      <c r="K20" s="4">
        <v>31</v>
      </c>
      <c r="L20" s="2">
        <v>33</v>
      </c>
      <c r="M20" s="2">
        <v>196</v>
      </c>
      <c r="N20" s="2">
        <v>160</v>
      </c>
      <c r="O20" s="2">
        <v>89</v>
      </c>
      <c r="P20" s="2">
        <v>688</v>
      </c>
      <c r="Q20" s="2">
        <v>2380</v>
      </c>
      <c r="R20" s="2">
        <v>226</v>
      </c>
      <c r="S20" s="2">
        <v>735</v>
      </c>
      <c r="T20" s="2">
        <v>1300</v>
      </c>
      <c r="U20" s="2">
        <v>86</v>
      </c>
      <c r="V20" s="2">
        <v>405</v>
      </c>
      <c r="W20" s="2">
        <v>596</v>
      </c>
      <c r="Y20" s="2" t="s">
        <v>1</v>
      </c>
    </row>
    <row r="21" spans="1:25" x14ac:dyDescent="0.2">
      <c r="A21" s="7">
        <f>DATE(85,4,3)</f>
        <v>31140</v>
      </c>
      <c r="B21" s="2">
        <v>1210</v>
      </c>
      <c r="C21" s="2">
        <v>4.7</v>
      </c>
      <c r="D21" s="2">
        <v>556</v>
      </c>
      <c r="E21" s="4">
        <v>220.66666666666666</v>
      </c>
      <c r="F21" s="4">
        <v>1763</v>
      </c>
      <c r="G21" s="2">
        <v>351</v>
      </c>
      <c r="H21" s="4">
        <v>339</v>
      </c>
      <c r="I21" s="2">
        <v>406</v>
      </c>
      <c r="J21" s="4">
        <v>240</v>
      </c>
      <c r="K21" s="4">
        <v>32.65</v>
      </c>
      <c r="L21" s="2">
        <v>31</v>
      </c>
      <c r="M21" s="2">
        <v>200</v>
      </c>
      <c r="N21" s="2">
        <v>108</v>
      </c>
      <c r="O21" s="2">
        <v>97</v>
      </c>
      <c r="P21" s="2">
        <v>858</v>
      </c>
      <c r="Q21" s="2">
        <v>2520</v>
      </c>
      <c r="R21" s="2">
        <v>677</v>
      </c>
      <c r="S21" s="2">
        <v>618</v>
      </c>
      <c r="T21" s="2">
        <v>956</v>
      </c>
      <c r="U21" s="2">
        <v>171</v>
      </c>
      <c r="V21" s="2">
        <v>334</v>
      </c>
      <c r="W21" s="2">
        <v>444</v>
      </c>
      <c r="Y21" s="2" t="s">
        <v>1</v>
      </c>
    </row>
    <row r="22" spans="1:25" x14ac:dyDescent="0.2">
      <c r="A22" s="7">
        <f>DATE(85,4,5)</f>
        <v>31142</v>
      </c>
      <c r="B22" s="2">
        <v>1425</v>
      </c>
      <c r="C22" s="2">
        <v>5.2</v>
      </c>
      <c r="D22" s="2">
        <v>531</v>
      </c>
      <c r="E22" s="4">
        <v>223.66666666666666</v>
      </c>
      <c r="F22" s="4">
        <v>1758</v>
      </c>
      <c r="G22" s="2">
        <v>357</v>
      </c>
      <c r="H22" s="4">
        <v>337</v>
      </c>
      <c r="I22" s="2">
        <v>428</v>
      </c>
      <c r="J22" s="4">
        <v>242.5</v>
      </c>
      <c r="K22" s="4">
        <v>33.65</v>
      </c>
      <c r="L22" s="2">
        <v>178</v>
      </c>
      <c r="M22" s="2">
        <v>200</v>
      </c>
      <c r="N22" s="2">
        <v>152</v>
      </c>
      <c r="O22" s="2">
        <v>95</v>
      </c>
      <c r="P22" s="2">
        <v>661</v>
      </c>
      <c r="Q22" s="2">
        <v>2700</v>
      </c>
      <c r="R22" s="2">
        <v>902</v>
      </c>
      <c r="S22" s="2">
        <v>824</v>
      </c>
      <c r="T22" s="2">
        <v>1270</v>
      </c>
      <c r="U22" s="2">
        <v>228</v>
      </c>
      <c r="V22" s="2">
        <v>446</v>
      </c>
      <c r="W22" s="2">
        <v>592</v>
      </c>
      <c r="Y22" s="2" t="s">
        <v>1</v>
      </c>
    </row>
    <row r="23" spans="1:25" x14ac:dyDescent="0.2">
      <c r="A23" s="7">
        <f>DATE(85,4,8)</f>
        <v>31145</v>
      </c>
      <c r="C23" s="2">
        <v>3.4</v>
      </c>
      <c r="D23" s="2">
        <v>516</v>
      </c>
      <c r="E23" s="4">
        <v>232.66666666666666</v>
      </c>
      <c r="F23" s="4">
        <v>1740.5</v>
      </c>
      <c r="G23" s="2">
        <v>354</v>
      </c>
      <c r="H23" s="4">
        <v>339</v>
      </c>
      <c r="I23" s="2">
        <v>403</v>
      </c>
      <c r="J23" s="4">
        <v>236.5</v>
      </c>
      <c r="K23" s="4">
        <v>32</v>
      </c>
      <c r="L23" s="2">
        <v>155</v>
      </c>
      <c r="M23" s="2">
        <v>196</v>
      </c>
      <c r="N23" s="2">
        <v>100</v>
      </c>
      <c r="O23" s="2">
        <v>91</v>
      </c>
      <c r="P23" s="2">
        <v>731</v>
      </c>
      <c r="Q23" s="2">
        <v>2820</v>
      </c>
      <c r="R23" s="2">
        <v>760</v>
      </c>
      <c r="S23" s="2">
        <v>604</v>
      </c>
      <c r="T23" s="2">
        <v>1180</v>
      </c>
      <c r="U23" s="2">
        <v>886</v>
      </c>
      <c r="V23" s="2">
        <v>296</v>
      </c>
      <c r="W23" s="2">
        <v>479</v>
      </c>
      <c r="Y23" s="2" t="s">
        <v>1</v>
      </c>
    </row>
    <row r="24" spans="1:25" x14ac:dyDescent="0.2">
      <c r="A24" s="7">
        <f>DATE(85,4,10)</f>
        <v>31147</v>
      </c>
      <c r="B24" s="2">
        <v>1515</v>
      </c>
      <c r="C24" s="2">
        <v>2.6</v>
      </c>
      <c r="D24" s="2">
        <v>508</v>
      </c>
      <c r="E24" s="4">
        <v>197</v>
      </c>
      <c r="F24" s="4">
        <v>1743.5</v>
      </c>
      <c r="G24" s="2">
        <v>350</v>
      </c>
      <c r="H24" s="4">
        <v>341</v>
      </c>
      <c r="I24" s="2">
        <v>407</v>
      </c>
      <c r="J24" s="4">
        <v>238.5</v>
      </c>
      <c r="K24" s="4">
        <v>32.950000000000003</v>
      </c>
      <c r="L24" s="2">
        <v>174</v>
      </c>
      <c r="M24" s="2">
        <v>194</v>
      </c>
      <c r="N24" s="2">
        <v>131</v>
      </c>
      <c r="O24" s="2">
        <v>93</v>
      </c>
      <c r="P24" s="2">
        <v>938</v>
      </c>
      <c r="Q24" s="2">
        <v>2310</v>
      </c>
      <c r="R24" s="2">
        <v>945</v>
      </c>
      <c r="S24" s="2">
        <v>1050</v>
      </c>
      <c r="T24" s="2">
        <v>845</v>
      </c>
      <c r="V24" s="2">
        <v>381</v>
      </c>
      <c r="W24" s="2">
        <v>526</v>
      </c>
      <c r="Y24" s="2" t="s">
        <v>1</v>
      </c>
    </row>
    <row r="25" spans="1:25" x14ac:dyDescent="0.2">
      <c r="Y25" s="2" t="s">
        <v>1</v>
      </c>
    </row>
    <row r="26" spans="1:25" x14ac:dyDescent="0.2">
      <c r="Y26" s="2" t="s">
        <v>1</v>
      </c>
    </row>
    <row r="27" spans="1:25" x14ac:dyDescent="0.2">
      <c r="A27" s="2" t="s">
        <v>601</v>
      </c>
      <c r="Y27" s="2" t="s">
        <v>1</v>
      </c>
    </row>
    <row r="28" spans="1:25" x14ac:dyDescent="0.2">
      <c r="Y28" s="2" t="s">
        <v>1</v>
      </c>
    </row>
    <row r="29" spans="1:25" x14ac:dyDescent="0.2">
      <c r="Y29" s="2" t="s">
        <v>1</v>
      </c>
    </row>
    <row r="30" spans="1:25" x14ac:dyDescent="0.2">
      <c r="A30" s="7">
        <f>AVERAGE(A6:A7)</f>
        <v>31104</v>
      </c>
      <c r="C30" s="4">
        <f t="shared" ref="C30:W30" si="0">AVERAGE(C6:C7)</f>
        <v>5.0999999999999996</v>
      </c>
      <c r="D30" s="4">
        <f t="shared" si="0"/>
        <v>526.5</v>
      </c>
      <c r="E30" s="4">
        <f t="shared" si="0"/>
        <v>191.5</v>
      </c>
      <c r="F30" s="4">
        <f t="shared" si="0"/>
        <v>1721.75</v>
      </c>
      <c r="G30" s="4">
        <f t="shared" si="0"/>
        <v>349</v>
      </c>
      <c r="H30" s="4">
        <f t="shared" si="0"/>
        <v>338</v>
      </c>
      <c r="I30" s="4">
        <f t="shared" si="0"/>
        <v>403</v>
      </c>
      <c r="J30" s="4">
        <f t="shared" si="0"/>
        <v>236.25</v>
      </c>
      <c r="K30" s="4">
        <f t="shared" si="0"/>
        <v>32.924999999999997</v>
      </c>
      <c r="L30" s="4">
        <f t="shared" si="0"/>
        <v>293</v>
      </c>
      <c r="M30" s="4">
        <f t="shared" si="0"/>
        <v>200.5</v>
      </c>
      <c r="N30" s="4">
        <f t="shared" si="0"/>
        <v>157</v>
      </c>
      <c r="O30" s="4">
        <f t="shared" si="0"/>
        <v>92</v>
      </c>
      <c r="P30" s="4">
        <f t="shared" si="0"/>
        <v>672</v>
      </c>
      <c r="Q30" s="4">
        <f t="shared" si="0"/>
        <v>2640</v>
      </c>
      <c r="R30" s="4">
        <f t="shared" si="0"/>
        <v>542</v>
      </c>
      <c r="S30" s="4">
        <f t="shared" si="0"/>
        <v>602</v>
      </c>
      <c r="T30" s="4">
        <f t="shared" si="0"/>
        <v>1140</v>
      </c>
      <c r="U30" s="4">
        <f t="shared" si="0"/>
        <v>274</v>
      </c>
      <c r="V30" s="4">
        <f t="shared" si="0"/>
        <v>346</v>
      </c>
      <c r="W30" s="4">
        <f t="shared" si="0"/>
        <v>517</v>
      </c>
      <c r="Y30" s="2" t="s">
        <v>1</v>
      </c>
    </row>
    <row r="31" spans="1:25" x14ac:dyDescent="0.2">
      <c r="A31" s="7">
        <f>AVERAGE(A8:A19)</f>
        <v>31120.75</v>
      </c>
      <c r="C31" s="4">
        <f t="shared" ref="C31:W31" si="1">AVERAGE(C8:C19)</f>
        <v>3.4083333333333328</v>
      </c>
      <c r="D31" s="4">
        <f t="shared" si="1"/>
        <v>532.83333333333337</v>
      </c>
      <c r="E31" s="4">
        <f t="shared" si="1"/>
        <v>227.30555555555554</v>
      </c>
      <c r="F31" s="4">
        <f t="shared" si="1"/>
        <v>1742.625</v>
      </c>
      <c r="G31" s="4">
        <f t="shared" si="1"/>
        <v>352.16666666666669</v>
      </c>
      <c r="H31" s="4">
        <f t="shared" si="1"/>
        <v>338.875</v>
      </c>
      <c r="I31" s="4">
        <f t="shared" si="1"/>
        <v>409.75</v>
      </c>
      <c r="J31" s="4">
        <f t="shared" si="1"/>
        <v>242.04166666666666</v>
      </c>
      <c r="K31" s="4">
        <f t="shared" si="1"/>
        <v>32.6</v>
      </c>
      <c r="L31" s="4">
        <f t="shared" si="1"/>
        <v>69.2</v>
      </c>
      <c r="M31" s="4">
        <f t="shared" si="1"/>
        <v>206.66666666666666</v>
      </c>
      <c r="N31" s="4">
        <f t="shared" si="1"/>
        <v>149.30000000000001</v>
      </c>
      <c r="O31" s="4">
        <f t="shared" si="1"/>
        <v>95.416666666666671</v>
      </c>
      <c r="P31" s="4">
        <f t="shared" si="1"/>
        <v>702.91666666666663</v>
      </c>
      <c r="Q31" s="4">
        <f t="shared" si="1"/>
        <v>2603.3333333333335</v>
      </c>
      <c r="R31" s="4">
        <f t="shared" si="1"/>
        <v>647.91666666666663</v>
      </c>
      <c r="S31" s="4">
        <f t="shared" si="1"/>
        <v>886.25</v>
      </c>
      <c r="T31" s="4">
        <f t="shared" si="1"/>
        <v>1229.75</v>
      </c>
      <c r="U31" s="4">
        <f t="shared" si="1"/>
        <v>351.45454545454544</v>
      </c>
      <c r="V31" s="4">
        <f t="shared" si="1"/>
        <v>419.08333333333331</v>
      </c>
      <c r="W31" s="4">
        <f t="shared" si="1"/>
        <v>615.91666666666663</v>
      </c>
      <c r="Y31" s="2" t="s">
        <v>1</v>
      </c>
    </row>
    <row r="32" spans="1:25" x14ac:dyDescent="0.2">
      <c r="A32" s="7">
        <f>AVERAGE(A20:A24)</f>
        <v>31142.400000000001</v>
      </c>
      <c r="C32" s="4">
        <f t="shared" ref="C32:W32" si="2">AVERAGE(C20:C24)</f>
        <v>3.46</v>
      </c>
      <c r="D32" s="4">
        <f t="shared" si="2"/>
        <v>527</v>
      </c>
      <c r="E32" s="4">
        <f t="shared" si="2"/>
        <v>215</v>
      </c>
      <c r="F32" s="4">
        <f t="shared" si="2"/>
        <v>1752.6</v>
      </c>
      <c r="G32" s="4">
        <f t="shared" si="2"/>
        <v>352.8</v>
      </c>
      <c r="H32" s="4">
        <f t="shared" si="2"/>
        <v>339</v>
      </c>
      <c r="I32" s="4">
        <f t="shared" si="2"/>
        <v>409.6</v>
      </c>
      <c r="J32" s="4">
        <f t="shared" si="2"/>
        <v>239.7</v>
      </c>
      <c r="K32" s="4">
        <f t="shared" si="2"/>
        <v>32.450000000000003</v>
      </c>
      <c r="L32" s="4">
        <f t="shared" si="2"/>
        <v>114.2</v>
      </c>
      <c r="M32" s="4">
        <f t="shared" si="2"/>
        <v>197.2</v>
      </c>
      <c r="N32" s="4">
        <f t="shared" si="2"/>
        <v>130.19999999999999</v>
      </c>
      <c r="O32" s="4">
        <f t="shared" si="2"/>
        <v>93</v>
      </c>
      <c r="P32" s="4">
        <f t="shared" si="2"/>
        <v>775.2</v>
      </c>
      <c r="Q32" s="4">
        <f t="shared" si="2"/>
        <v>2546</v>
      </c>
      <c r="R32" s="4">
        <f t="shared" si="2"/>
        <v>702</v>
      </c>
      <c r="S32" s="4">
        <f t="shared" si="2"/>
        <v>766.2</v>
      </c>
      <c r="T32" s="4">
        <f t="shared" si="2"/>
        <v>1110.2</v>
      </c>
      <c r="U32" s="4">
        <f t="shared" si="2"/>
        <v>342.75</v>
      </c>
      <c r="V32" s="4">
        <f t="shared" si="2"/>
        <v>372.4</v>
      </c>
      <c r="W32" s="4">
        <f t="shared" si="2"/>
        <v>527.4</v>
      </c>
      <c r="Y32" s="2" t="s">
        <v>1</v>
      </c>
    </row>
    <row r="33" spans="1:25" x14ac:dyDescent="0.2">
      <c r="Y33" s="2" t="s">
        <v>1</v>
      </c>
    </row>
    <row r="34" spans="1:25" x14ac:dyDescent="0.2">
      <c r="A34" s="2" t="s">
        <v>277</v>
      </c>
      <c r="Y34" s="2" t="s">
        <v>1</v>
      </c>
    </row>
    <row r="35" spans="1:25" x14ac:dyDescent="0.2">
      <c r="A35" s="7">
        <v>31104</v>
      </c>
      <c r="C35" s="4">
        <v>0.98994949366116658</v>
      </c>
      <c r="D35" s="4">
        <v>9.1923881554251174</v>
      </c>
      <c r="E35" s="4">
        <v>15.792051446499562</v>
      </c>
      <c r="F35" s="4">
        <v>0.35355339059327379</v>
      </c>
      <c r="G35" s="4">
        <v>1.4142135623730951</v>
      </c>
      <c r="H35" s="4">
        <v>0</v>
      </c>
      <c r="I35" s="4">
        <v>2.8284271247461903</v>
      </c>
      <c r="J35" s="4">
        <v>2.4748737341529163</v>
      </c>
      <c r="K35" s="4">
        <v>0.88388347648318444</v>
      </c>
      <c r="L35" s="4">
        <v>359.21024484276614</v>
      </c>
      <c r="M35" s="4">
        <v>2.1213203435596424</v>
      </c>
      <c r="O35" s="4">
        <v>0</v>
      </c>
      <c r="P35" s="4">
        <v>39.597979746446661</v>
      </c>
      <c r="Y35" s="2" t="s">
        <v>1</v>
      </c>
    </row>
    <row r="36" spans="1:25" x14ac:dyDescent="0.2">
      <c r="A36" s="7">
        <v>31120.75</v>
      </c>
      <c r="C36" s="4">
        <v>2.8845854699303559</v>
      </c>
      <c r="D36" s="4">
        <v>35.870558536172389</v>
      </c>
      <c r="E36" s="4">
        <v>78.697022691277084</v>
      </c>
      <c r="F36" s="4">
        <v>43.602608866901534</v>
      </c>
      <c r="G36" s="4">
        <v>5.4578272955342575</v>
      </c>
      <c r="H36" s="4">
        <v>1.5972277118921909</v>
      </c>
      <c r="I36" s="4">
        <v>14.142939131337846</v>
      </c>
      <c r="J36" s="4">
        <v>20.018693914953744</v>
      </c>
      <c r="K36" s="4">
        <v>2.9114195225634583</v>
      </c>
      <c r="L36" s="4">
        <v>130.47673270655491</v>
      </c>
      <c r="M36" s="4">
        <v>27.997835414167071</v>
      </c>
      <c r="N36" s="4">
        <v>13.449907062875937</v>
      </c>
      <c r="O36" s="4">
        <v>8.0505034662812278</v>
      </c>
      <c r="P36" s="4">
        <v>65.311085420377751</v>
      </c>
      <c r="Q36" s="4">
        <v>565.88359441164437</v>
      </c>
      <c r="R36" s="4">
        <v>407.14135546924405</v>
      </c>
      <c r="S36" s="4">
        <v>447.46724105590323</v>
      </c>
      <c r="T36" s="4">
        <v>348.89751686236929</v>
      </c>
      <c r="U36" s="4">
        <v>219.38567119862847</v>
      </c>
      <c r="V36" s="4">
        <v>154.118878752341</v>
      </c>
      <c r="W36" s="4">
        <v>268.26122219458654</v>
      </c>
      <c r="Y36" s="2" t="s">
        <v>1</v>
      </c>
    </row>
    <row r="37" spans="1:25" x14ac:dyDescent="0.2">
      <c r="A37" s="7">
        <v>31142.400000000001</v>
      </c>
      <c r="C37" s="4">
        <v>1.5453155017665487</v>
      </c>
      <c r="D37" s="4">
        <v>18.357559750685819</v>
      </c>
      <c r="E37" s="4">
        <v>15.324272685296791</v>
      </c>
      <c r="F37" s="4">
        <v>9.9461047651832022</v>
      </c>
      <c r="G37" s="4">
        <v>2.7748873851023217</v>
      </c>
      <c r="H37" s="4">
        <v>1.4142135623730951</v>
      </c>
      <c r="I37" s="4">
        <v>10.406728592598157</v>
      </c>
      <c r="J37" s="4">
        <v>2.3075961518428652</v>
      </c>
      <c r="K37" s="4">
        <v>1.0043654713300334</v>
      </c>
      <c r="L37" s="4">
        <v>75.542703155235316</v>
      </c>
      <c r="M37" s="4">
        <v>2.6832815729997477</v>
      </c>
      <c r="N37" s="4">
        <v>26.309694030908076</v>
      </c>
      <c r="O37" s="4">
        <v>3.1622776601683795</v>
      </c>
      <c r="P37" s="4">
        <v>118.27806220935479</v>
      </c>
      <c r="Q37" s="4">
        <v>213.72880011828073</v>
      </c>
      <c r="R37" s="4">
        <v>287.0600982372855</v>
      </c>
      <c r="S37" s="4">
        <v>182.43409769009739</v>
      </c>
      <c r="T37" s="4">
        <v>200.33771487166365</v>
      </c>
      <c r="U37" s="4">
        <v>366.83636224707425</v>
      </c>
      <c r="V37" s="4">
        <v>58.875291931335681</v>
      </c>
      <c r="W37" s="4">
        <v>67.415131832549292</v>
      </c>
      <c r="Y37" s="2" t="s">
        <v>1</v>
      </c>
    </row>
    <row r="38" spans="1:25" x14ac:dyDescent="0.2">
      <c r="Y38" s="2" t="s">
        <v>1</v>
      </c>
    </row>
    <row r="39" spans="1:25" x14ac:dyDescent="0.2">
      <c r="A39" s="2" t="s">
        <v>279</v>
      </c>
      <c r="Y39" s="2" t="s">
        <v>1</v>
      </c>
    </row>
    <row r="40" spans="1:25" x14ac:dyDescent="0.2">
      <c r="A40" s="7">
        <v>31104</v>
      </c>
      <c r="C40" s="4">
        <v>2</v>
      </c>
      <c r="D40" s="4">
        <v>2</v>
      </c>
      <c r="E40" s="4">
        <v>2</v>
      </c>
      <c r="F40" s="4">
        <v>2</v>
      </c>
      <c r="G40" s="4">
        <v>2</v>
      </c>
      <c r="H40" s="4">
        <v>2</v>
      </c>
      <c r="I40" s="4">
        <v>2</v>
      </c>
      <c r="J40" s="4">
        <v>2</v>
      </c>
      <c r="K40" s="4">
        <v>2</v>
      </c>
      <c r="L40" s="4">
        <v>2</v>
      </c>
      <c r="M40" s="4">
        <v>2</v>
      </c>
      <c r="N40" s="4">
        <v>1</v>
      </c>
      <c r="O40" s="4">
        <v>2</v>
      </c>
      <c r="P40" s="4">
        <v>2</v>
      </c>
      <c r="Q40" s="4">
        <v>1</v>
      </c>
      <c r="R40" s="4">
        <v>1</v>
      </c>
      <c r="S40" s="4">
        <v>1</v>
      </c>
      <c r="T40" s="4">
        <v>1</v>
      </c>
      <c r="U40" s="4">
        <v>1</v>
      </c>
      <c r="V40" s="4">
        <v>1</v>
      </c>
      <c r="W40" s="4">
        <v>1</v>
      </c>
      <c r="Y40" s="2" t="s">
        <v>1</v>
      </c>
    </row>
    <row r="41" spans="1:25" x14ac:dyDescent="0.2">
      <c r="A41" s="7">
        <v>31120.75</v>
      </c>
      <c r="C41" s="4">
        <v>12</v>
      </c>
      <c r="D41" s="4">
        <v>12</v>
      </c>
      <c r="E41" s="4">
        <v>12</v>
      </c>
      <c r="F41" s="4">
        <v>12</v>
      </c>
      <c r="G41" s="4">
        <v>12</v>
      </c>
      <c r="H41" s="4">
        <v>12</v>
      </c>
      <c r="I41" s="4">
        <v>12</v>
      </c>
      <c r="J41" s="4">
        <v>12</v>
      </c>
      <c r="K41" s="4">
        <v>12</v>
      </c>
      <c r="L41" s="4">
        <v>10</v>
      </c>
      <c r="M41" s="4">
        <v>12</v>
      </c>
      <c r="N41" s="4">
        <v>10</v>
      </c>
      <c r="O41" s="4">
        <v>12</v>
      </c>
      <c r="P41" s="4">
        <v>12</v>
      </c>
      <c r="Q41" s="4">
        <v>12</v>
      </c>
      <c r="R41" s="4">
        <v>12</v>
      </c>
      <c r="S41" s="4">
        <v>12</v>
      </c>
      <c r="T41" s="4">
        <v>12</v>
      </c>
      <c r="U41" s="4">
        <v>11</v>
      </c>
      <c r="V41" s="4">
        <v>12</v>
      </c>
      <c r="W41" s="4">
        <v>12</v>
      </c>
      <c r="Y41" s="2" t="s">
        <v>1</v>
      </c>
    </row>
    <row r="42" spans="1:25" x14ac:dyDescent="0.2">
      <c r="A42" s="7">
        <v>31142.400000000001</v>
      </c>
      <c r="C42" s="4">
        <v>5</v>
      </c>
      <c r="D42" s="4">
        <v>5</v>
      </c>
      <c r="E42" s="4">
        <v>5</v>
      </c>
      <c r="F42" s="4">
        <v>5</v>
      </c>
      <c r="G42" s="4">
        <v>5</v>
      </c>
      <c r="H42" s="4">
        <v>5</v>
      </c>
      <c r="I42" s="4">
        <v>5</v>
      </c>
      <c r="J42" s="4">
        <v>5</v>
      </c>
      <c r="K42" s="4">
        <v>5</v>
      </c>
      <c r="L42" s="4">
        <v>5</v>
      </c>
      <c r="M42" s="4">
        <v>5</v>
      </c>
      <c r="N42" s="4">
        <v>5</v>
      </c>
      <c r="O42" s="4">
        <v>5</v>
      </c>
      <c r="P42" s="4">
        <v>5</v>
      </c>
      <c r="Q42" s="4">
        <v>5</v>
      </c>
      <c r="R42" s="4">
        <v>5</v>
      </c>
      <c r="S42" s="4">
        <v>5</v>
      </c>
      <c r="T42" s="4">
        <v>5</v>
      </c>
      <c r="U42" s="4">
        <v>4</v>
      </c>
      <c r="V42" s="4">
        <v>5</v>
      </c>
      <c r="W42" s="4">
        <v>5</v>
      </c>
      <c r="Y42" s="2" t="s">
        <v>1</v>
      </c>
    </row>
    <row r="43" spans="1:25" x14ac:dyDescent="0.2">
      <c r="A43" s="7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  <row r="44" spans="1:25" x14ac:dyDescent="0.2">
      <c r="D44" s="8" t="s">
        <v>117</v>
      </c>
      <c r="E44" s="8" t="s">
        <v>118</v>
      </c>
      <c r="F44" s="8" t="s">
        <v>123</v>
      </c>
      <c r="G44" s="8" t="s">
        <v>134</v>
      </c>
      <c r="H44" s="8" t="s">
        <v>138</v>
      </c>
      <c r="I44" s="8" t="s">
        <v>136</v>
      </c>
      <c r="J44" s="8" t="s">
        <v>130</v>
      </c>
      <c r="K44" s="8" t="s">
        <v>133</v>
      </c>
      <c r="L44" s="8" t="s">
        <v>127</v>
      </c>
      <c r="M44" s="8" t="s">
        <v>121</v>
      </c>
      <c r="N44" s="8" t="s">
        <v>112</v>
      </c>
      <c r="O44" s="8" t="s">
        <v>148</v>
      </c>
      <c r="P44" s="8" t="s">
        <v>115</v>
      </c>
      <c r="Q44" s="8" t="s">
        <v>126</v>
      </c>
      <c r="R44" s="8" t="s">
        <v>122</v>
      </c>
      <c r="S44" s="8" t="s">
        <v>113</v>
      </c>
      <c r="T44" s="8" t="s">
        <v>131</v>
      </c>
      <c r="U44" s="8" t="s">
        <v>129</v>
      </c>
      <c r="V44" s="8" t="s">
        <v>149</v>
      </c>
      <c r="W44" s="8" t="s">
        <v>151</v>
      </c>
      <c r="Y44" s="2" t="s">
        <v>1</v>
      </c>
    </row>
    <row r="45" spans="1:25" x14ac:dyDescent="0.2">
      <c r="A45" s="7">
        <f>AVERAGE(A6:A24)</f>
        <v>31124.684210526317</v>
      </c>
      <c r="D45" s="8" t="s">
        <v>266</v>
      </c>
      <c r="E45" s="8" t="s">
        <v>266</v>
      </c>
      <c r="F45" s="8" t="s">
        <v>266</v>
      </c>
      <c r="G45" s="8" t="s">
        <v>371</v>
      </c>
      <c r="H45" s="8" t="s">
        <v>266</v>
      </c>
      <c r="I45" s="8" t="s">
        <v>144</v>
      </c>
      <c r="J45" s="8" t="s">
        <v>144</v>
      </c>
      <c r="K45" s="8" t="s">
        <v>144</v>
      </c>
      <c r="L45" s="8" t="s">
        <v>144</v>
      </c>
      <c r="M45" s="8" t="s">
        <v>144</v>
      </c>
      <c r="N45" s="8" t="s">
        <v>144</v>
      </c>
      <c r="O45" s="8" t="s">
        <v>144</v>
      </c>
      <c r="P45" s="8" t="s">
        <v>144</v>
      </c>
      <c r="Q45" s="8" t="s">
        <v>144</v>
      </c>
      <c r="R45" s="8" t="s">
        <v>144</v>
      </c>
      <c r="S45" s="8" t="s">
        <v>144</v>
      </c>
      <c r="T45" s="8" t="s">
        <v>144</v>
      </c>
      <c r="U45" s="8" t="s">
        <v>144</v>
      </c>
      <c r="V45" s="8" t="s">
        <v>144</v>
      </c>
      <c r="W45" s="8" t="s">
        <v>144</v>
      </c>
      <c r="Y45" s="2" t="s">
        <v>1</v>
      </c>
    </row>
    <row r="47" spans="1:25" x14ac:dyDescent="0.2">
      <c r="A47" s="2" t="s">
        <v>1705</v>
      </c>
      <c r="C47" s="4">
        <f t="shared" ref="C47:W47" si="3">AVERAGE(C6:C24)</f>
        <v>3.5999999999999996</v>
      </c>
      <c r="D47" s="4">
        <f t="shared" si="3"/>
        <v>530.63157894736844</v>
      </c>
      <c r="E47" s="4">
        <f t="shared" si="3"/>
        <v>220.29824561403507</v>
      </c>
      <c r="F47" s="4">
        <f t="shared" si="3"/>
        <v>1743.0526315789473</v>
      </c>
      <c r="G47" s="4">
        <f t="shared" si="3"/>
        <v>352</v>
      </c>
      <c r="H47" s="4">
        <f t="shared" si="3"/>
        <v>338.81578947368422</v>
      </c>
      <c r="I47" s="4">
        <f t="shared" si="3"/>
        <v>409</v>
      </c>
      <c r="J47" s="4">
        <f t="shared" si="3"/>
        <v>240.81578947368422</v>
      </c>
      <c r="K47" s="4">
        <f t="shared" si="3"/>
        <v>32.594736842105263</v>
      </c>
      <c r="L47" s="4">
        <f t="shared" si="3"/>
        <v>108.76470588235294</v>
      </c>
      <c r="M47" s="4">
        <f t="shared" si="3"/>
        <v>203.52631578947367</v>
      </c>
      <c r="N47" s="4">
        <f t="shared" si="3"/>
        <v>143.8125</v>
      </c>
      <c r="O47" s="4">
        <f t="shared" si="3"/>
        <v>94.421052631578945</v>
      </c>
      <c r="P47" s="4">
        <f t="shared" si="3"/>
        <v>718.68421052631584</v>
      </c>
      <c r="Q47" s="4">
        <f t="shared" si="3"/>
        <v>2589.4444444444443</v>
      </c>
      <c r="R47" s="4">
        <f t="shared" si="3"/>
        <v>657.05555555555554</v>
      </c>
      <c r="S47" s="4">
        <f t="shared" si="3"/>
        <v>837.11111111111109</v>
      </c>
      <c r="T47" s="4">
        <f t="shared" si="3"/>
        <v>1191.5555555555557</v>
      </c>
      <c r="U47" s="4">
        <f t="shared" si="3"/>
        <v>344.4375</v>
      </c>
      <c r="V47" s="4">
        <f t="shared" si="3"/>
        <v>402.05555555555554</v>
      </c>
      <c r="W47" s="4">
        <f t="shared" si="3"/>
        <v>585.83333333333337</v>
      </c>
      <c r="Y47" s="2" t="s">
        <v>1</v>
      </c>
    </row>
    <row r="48" spans="1:25" x14ac:dyDescent="0.2">
      <c r="A48" s="2" t="s">
        <v>1708</v>
      </c>
      <c r="C48" s="4">
        <f t="shared" ref="C48:W48" si="4">STDEV(C6:C24)</f>
        <v>2.4392621835300949</v>
      </c>
      <c r="D48" s="4">
        <f t="shared" si="4"/>
        <v>29.57515948358575</v>
      </c>
      <c r="E48" s="4">
        <f t="shared" si="4"/>
        <v>63.114719648092517</v>
      </c>
      <c r="F48" s="4">
        <f t="shared" si="4"/>
        <v>35.492133219459163</v>
      </c>
      <c r="G48" s="4">
        <f t="shared" si="4"/>
        <v>4.6067583203617506</v>
      </c>
      <c r="H48" s="4">
        <f t="shared" si="4"/>
        <v>1.4454000437767074</v>
      </c>
      <c r="I48" s="4">
        <f t="shared" si="4"/>
        <v>12.297244497131144</v>
      </c>
      <c r="J48" s="4">
        <f t="shared" si="4"/>
        <v>15.814208209282871</v>
      </c>
      <c r="K48" s="4">
        <f t="shared" si="4"/>
        <v>2.3378465124531744</v>
      </c>
      <c r="L48" s="4">
        <f t="shared" si="4"/>
        <v>155.87716695036059</v>
      </c>
      <c r="M48" s="4">
        <f t="shared" si="4"/>
        <v>22.351655223452049</v>
      </c>
      <c r="N48" s="4">
        <f t="shared" si="4"/>
        <v>19.661192741031762</v>
      </c>
      <c r="O48" s="4">
        <f t="shared" si="4"/>
        <v>6.610730246044298</v>
      </c>
      <c r="P48" s="4">
        <f t="shared" si="4"/>
        <v>84.248344943571666</v>
      </c>
      <c r="Q48" s="4">
        <f t="shared" si="4"/>
        <v>467.75398539154469</v>
      </c>
      <c r="R48" s="4">
        <f t="shared" si="4"/>
        <v>357.88257558659757</v>
      </c>
      <c r="S48" s="4">
        <f t="shared" si="4"/>
        <v>379.2422613718802</v>
      </c>
      <c r="T48" s="4">
        <f t="shared" si="4"/>
        <v>302.22921224134859</v>
      </c>
      <c r="U48" s="4">
        <f t="shared" si="4"/>
        <v>243.65575955980739</v>
      </c>
      <c r="V48" s="4">
        <f t="shared" si="4"/>
        <v>129.74249257311567</v>
      </c>
      <c r="W48" s="4">
        <f t="shared" si="4"/>
        <v>222.61209998296033</v>
      </c>
    </row>
    <row r="49" spans="1:23" x14ac:dyDescent="0.2">
      <c r="A49" s="2" t="s">
        <v>365</v>
      </c>
      <c r="C49" s="4">
        <f t="shared" ref="C49:W49" si="5">COUNTA(C6:C24)</f>
        <v>19</v>
      </c>
      <c r="D49" s="4">
        <f t="shared" si="5"/>
        <v>19</v>
      </c>
      <c r="E49" s="4">
        <f t="shared" si="5"/>
        <v>19</v>
      </c>
      <c r="F49" s="4">
        <f t="shared" si="5"/>
        <v>19</v>
      </c>
      <c r="G49" s="4">
        <f t="shared" si="5"/>
        <v>19</v>
      </c>
      <c r="H49" s="4">
        <f t="shared" si="5"/>
        <v>19</v>
      </c>
      <c r="I49" s="4">
        <f t="shared" si="5"/>
        <v>19</v>
      </c>
      <c r="J49" s="4">
        <f t="shared" si="5"/>
        <v>19</v>
      </c>
      <c r="K49" s="4">
        <f t="shared" si="5"/>
        <v>19</v>
      </c>
      <c r="L49" s="4">
        <f t="shared" si="5"/>
        <v>17</v>
      </c>
      <c r="M49" s="4">
        <f t="shared" si="5"/>
        <v>19</v>
      </c>
      <c r="N49" s="4">
        <f t="shared" si="5"/>
        <v>16</v>
      </c>
      <c r="O49" s="4">
        <f t="shared" si="5"/>
        <v>19</v>
      </c>
      <c r="P49" s="4">
        <f t="shared" si="5"/>
        <v>19</v>
      </c>
      <c r="Q49" s="4">
        <f t="shared" si="5"/>
        <v>18</v>
      </c>
      <c r="R49" s="4">
        <f t="shared" si="5"/>
        <v>18</v>
      </c>
      <c r="S49" s="4">
        <f t="shared" si="5"/>
        <v>18</v>
      </c>
      <c r="T49" s="4">
        <f t="shared" si="5"/>
        <v>18</v>
      </c>
      <c r="U49" s="4">
        <f t="shared" si="5"/>
        <v>16</v>
      </c>
      <c r="V49" s="4">
        <f t="shared" si="5"/>
        <v>18</v>
      </c>
      <c r="W49" s="4">
        <f t="shared" si="5"/>
        <v>18</v>
      </c>
    </row>
  </sheetData>
  <pageMargins left="0.5" right="0.5" top="0.75" bottom="0.75" header="0.5" footer="0.5"/>
  <pageSetup orientation="portrait" horizontalDpi="0" verticalDpi="0" copies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7"/>
  <sheetViews>
    <sheetView showOutlineSymbols="0" defaultGridColor="0" colorId="9" workbookViewId="0">
      <selection activeCell="C1" sqref="C1"/>
    </sheetView>
  </sheetViews>
  <sheetFormatPr defaultColWidth="8.6640625" defaultRowHeight="15" x14ac:dyDescent="0.2"/>
  <cols>
    <col min="1" max="16384" width="8.6640625" style="2"/>
  </cols>
  <sheetData>
    <row r="1" spans="1:31" ht="18" x14ac:dyDescent="0.25">
      <c r="A1" s="18" t="s">
        <v>55</v>
      </c>
      <c r="H1" s="17"/>
      <c r="I1" s="17"/>
      <c r="AE1" s="2" t="s">
        <v>1</v>
      </c>
    </row>
    <row r="2" spans="1:31" ht="18" x14ac:dyDescent="0.25">
      <c r="A2" s="18" t="s">
        <v>366</v>
      </c>
      <c r="H2" s="17"/>
      <c r="I2" s="17"/>
      <c r="AE2" s="2" t="s">
        <v>1</v>
      </c>
    </row>
    <row r="3" spans="1:31" ht="18" x14ac:dyDescent="0.25">
      <c r="A3" s="18"/>
      <c r="H3" s="17"/>
      <c r="I3" s="17"/>
      <c r="AE3" s="2" t="s">
        <v>1</v>
      </c>
    </row>
    <row r="4" spans="1:31" ht="18" x14ac:dyDescent="0.25">
      <c r="A4" s="18"/>
      <c r="H4" s="17"/>
      <c r="I4" s="17"/>
      <c r="AE4" s="2" t="s">
        <v>1</v>
      </c>
    </row>
    <row r="5" spans="1:31" x14ac:dyDescent="0.2">
      <c r="E5" s="8" t="s">
        <v>287</v>
      </c>
      <c r="F5" s="2" t="s">
        <v>283</v>
      </c>
      <c r="G5" s="2" t="s">
        <v>283</v>
      </c>
      <c r="H5" s="17" t="s">
        <v>200</v>
      </c>
      <c r="I5" s="17" t="s">
        <v>201</v>
      </c>
      <c r="AE5" s="2" t="s">
        <v>1</v>
      </c>
    </row>
    <row r="6" spans="1:31" x14ac:dyDescent="0.2">
      <c r="A6" s="2" t="s">
        <v>289</v>
      </c>
      <c r="B6" s="2" t="s">
        <v>367</v>
      </c>
      <c r="C6" s="19" t="s">
        <v>253</v>
      </c>
      <c r="D6" s="8" t="s">
        <v>286</v>
      </c>
      <c r="E6" s="15" t="s">
        <v>291</v>
      </c>
      <c r="F6" s="2" t="s">
        <v>368</v>
      </c>
      <c r="G6" s="2" t="s">
        <v>292</v>
      </c>
      <c r="H6" s="17"/>
      <c r="I6" s="17"/>
      <c r="J6" s="8" t="s">
        <v>117</v>
      </c>
      <c r="K6" s="8" t="s">
        <v>118</v>
      </c>
      <c r="L6" s="8" t="s">
        <v>118</v>
      </c>
      <c r="M6" s="8" t="s">
        <v>123</v>
      </c>
      <c r="N6" s="8" t="s">
        <v>134</v>
      </c>
      <c r="O6" s="8" t="s">
        <v>138</v>
      </c>
      <c r="P6" s="8" t="s">
        <v>136</v>
      </c>
      <c r="Q6" s="8" t="s">
        <v>130</v>
      </c>
      <c r="R6" s="8" t="s">
        <v>133</v>
      </c>
      <c r="S6" s="8" t="s">
        <v>127</v>
      </c>
      <c r="T6" s="8" t="s">
        <v>121</v>
      </c>
      <c r="U6" s="8" t="s">
        <v>112</v>
      </c>
      <c r="V6" s="8" t="s">
        <v>115</v>
      </c>
      <c r="W6" s="8" t="s">
        <v>126</v>
      </c>
      <c r="X6" s="8" t="s">
        <v>122</v>
      </c>
      <c r="Y6" s="8" t="s">
        <v>113</v>
      </c>
      <c r="Z6" s="8" t="s">
        <v>131</v>
      </c>
      <c r="AA6" s="8" t="s">
        <v>129</v>
      </c>
      <c r="AB6" s="8" t="s">
        <v>149</v>
      </c>
      <c r="AC6" s="8" t="s">
        <v>151</v>
      </c>
      <c r="AE6" s="2" t="s">
        <v>1</v>
      </c>
    </row>
    <row r="7" spans="1:31" x14ac:dyDescent="0.2">
      <c r="C7" s="19"/>
      <c r="D7" s="8" t="s">
        <v>369</v>
      </c>
      <c r="F7" s="2" t="s">
        <v>370</v>
      </c>
      <c r="H7" s="17"/>
      <c r="I7" s="17"/>
      <c r="J7" s="8" t="s">
        <v>266</v>
      </c>
      <c r="K7" s="8" t="s">
        <v>266</v>
      </c>
      <c r="L7" s="8" t="s">
        <v>266</v>
      </c>
      <c r="M7" s="8" t="s">
        <v>266</v>
      </c>
      <c r="N7" s="8" t="s">
        <v>371</v>
      </c>
      <c r="O7" s="8" t="s">
        <v>266</v>
      </c>
      <c r="P7" s="8" t="s">
        <v>144</v>
      </c>
      <c r="Q7" s="8" t="s">
        <v>144</v>
      </c>
      <c r="R7" s="8" t="s">
        <v>144</v>
      </c>
      <c r="S7" s="8" t="s">
        <v>144</v>
      </c>
      <c r="T7" s="8" t="s">
        <v>144</v>
      </c>
      <c r="U7" s="8" t="s">
        <v>144</v>
      </c>
      <c r="V7" s="8" t="s">
        <v>144</v>
      </c>
      <c r="W7" s="8" t="s">
        <v>144</v>
      </c>
      <c r="X7" s="8" t="s">
        <v>144</v>
      </c>
      <c r="Y7" s="8" t="s">
        <v>144</v>
      </c>
      <c r="Z7" s="8" t="s">
        <v>144</v>
      </c>
      <c r="AA7" s="8" t="s">
        <v>144</v>
      </c>
      <c r="AB7" s="8" t="s">
        <v>144</v>
      </c>
      <c r="AC7" s="8" t="s">
        <v>144</v>
      </c>
      <c r="AE7" s="2" t="s">
        <v>1</v>
      </c>
    </row>
    <row r="8" spans="1:31" x14ac:dyDescent="0.2">
      <c r="C8" s="19"/>
      <c r="H8" s="17"/>
      <c r="I8" s="17"/>
      <c r="AE8" s="2" t="s">
        <v>1</v>
      </c>
    </row>
    <row r="9" spans="1:31" x14ac:dyDescent="0.2">
      <c r="A9" s="2">
        <v>1</v>
      </c>
      <c r="B9" s="2" t="s">
        <v>372</v>
      </c>
      <c r="C9" s="19">
        <v>31642</v>
      </c>
      <c r="E9" s="2">
        <v>26.1</v>
      </c>
      <c r="F9" s="2">
        <v>16</v>
      </c>
      <c r="G9" s="2">
        <v>135</v>
      </c>
      <c r="H9" s="17">
        <f>5+45.8/60</f>
        <v>5.7633333333333336</v>
      </c>
      <c r="I9" s="17">
        <f>35+5.5/60</f>
        <v>35.091666666666669</v>
      </c>
      <c r="AE9" s="2" t="s">
        <v>1</v>
      </c>
    </row>
    <row r="10" spans="1:31" x14ac:dyDescent="0.2">
      <c r="A10" s="2">
        <v>2</v>
      </c>
      <c r="B10" s="2" t="s">
        <v>373</v>
      </c>
      <c r="C10" s="19">
        <v>31644</v>
      </c>
      <c r="D10" s="2">
        <v>420</v>
      </c>
      <c r="E10" s="17">
        <v>25</v>
      </c>
      <c r="F10" s="2">
        <v>13</v>
      </c>
      <c r="G10" s="2">
        <v>170</v>
      </c>
      <c r="H10" s="2">
        <v>5</v>
      </c>
      <c r="I10" s="2">
        <v>30</v>
      </c>
      <c r="J10" s="2">
        <v>508</v>
      </c>
      <c r="K10" s="2">
        <v>87</v>
      </c>
      <c r="L10" s="2">
        <v>88</v>
      </c>
      <c r="M10" s="2">
        <v>1632</v>
      </c>
      <c r="N10" s="2">
        <v>350</v>
      </c>
      <c r="O10" s="2">
        <v>340</v>
      </c>
      <c r="P10" s="2">
        <v>412</v>
      </c>
      <c r="Q10" s="2">
        <v>236</v>
      </c>
      <c r="R10" s="2">
        <v>30</v>
      </c>
      <c r="T10" s="2">
        <v>162</v>
      </c>
      <c r="U10" s="2">
        <v>158</v>
      </c>
      <c r="V10" s="2">
        <v>658</v>
      </c>
      <c r="W10" s="2">
        <v>349</v>
      </c>
      <c r="X10" s="2">
        <v>91</v>
      </c>
      <c r="Y10" s="2">
        <v>133</v>
      </c>
      <c r="Z10" s="2">
        <v>87</v>
      </c>
      <c r="AA10" s="2">
        <v>67</v>
      </c>
      <c r="AB10" s="2">
        <v>13</v>
      </c>
      <c r="AC10" s="2">
        <v>12</v>
      </c>
      <c r="AE10" s="2" t="s">
        <v>1</v>
      </c>
    </row>
    <row r="11" spans="1:31" x14ac:dyDescent="0.2">
      <c r="A11" s="2">
        <v>3</v>
      </c>
      <c r="B11" s="2" t="s">
        <v>374</v>
      </c>
      <c r="C11" s="19">
        <v>31644</v>
      </c>
      <c r="D11" s="2">
        <v>430</v>
      </c>
      <c r="E11" s="17">
        <v>25</v>
      </c>
      <c r="F11" s="2">
        <v>13</v>
      </c>
      <c r="G11" s="2">
        <v>170</v>
      </c>
      <c r="H11" s="2">
        <v>5</v>
      </c>
      <c r="I11" s="2">
        <v>30</v>
      </c>
      <c r="J11" s="2">
        <v>520</v>
      </c>
      <c r="K11" s="2">
        <v>87</v>
      </c>
      <c r="L11" s="2">
        <v>85</v>
      </c>
      <c r="M11" s="2">
        <v>1633</v>
      </c>
      <c r="N11" s="2">
        <v>350</v>
      </c>
      <c r="O11" s="2">
        <v>340</v>
      </c>
      <c r="P11" s="2">
        <v>410</v>
      </c>
      <c r="Q11" s="2">
        <v>236</v>
      </c>
      <c r="R11" s="2">
        <v>31</v>
      </c>
      <c r="S11" s="2">
        <v>5</v>
      </c>
      <c r="T11" s="2">
        <v>162</v>
      </c>
      <c r="U11" s="2">
        <v>159</v>
      </c>
      <c r="V11" s="2">
        <v>662</v>
      </c>
      <c r="W11" s="2">
        <v>397</v>
      </c>
      <c r="X11" s="2">
        <v>155</v>
      </c>
      <c r="Y11" s="2">
        <v>101</v>
      </c>
      <c r="Z11" s="2">
        <v>61</v>
      </c>
      <c r="AA11" s="2">
        <v>116</v>
      </c>
      <c r="AB11" s="2">
        <v>15</v>
      </c>
      <c r="AC11" s="2">
        <v>10</v>
      </c>
      <c r="AE11" s="2" t="s">
        <v>1</v>
      </c>
    </row>
    <row r="12" spans="1:31" x14ac:dyDescent="0.2">
      <c r="A12" s="2">
        <v>4</v>
      </c>
      <c r="B12" s="2" t="s">
        <v>375</v>
      </c>
      <c r="C12" s="19">
        <v>31644</v>
      </c>
      <c r="D12" s="2">
        <v>915</v>
      </c>
      <c r="E12" s="17">
        <v>26.5</v>
      </c>
      <c r="F12" s="2">
        <v>12</v>
      </c>
      <c r="G12" s="2">
        <v>165</v>
      </c>
      <c r="H12" s="2">
        <v>5</v>
      </c>
      <c r="I12" s="2">
        <v>30</v>
      </c>
      <c r="J12" s="2">
        <v>515</v>
      </c>
      <c r="K12" s="2">
        <v>107</v>
      </c>
      <c r="L12" s="2">
        <v>107</v>
      </c>
      <c r="M12" s="2">
        <v>1633</v>
      </c>
      <c r="N12" s="2">
        <v>352</v>
      </c>
      <c r="O12" s="2">
        <v>339</v>
      </c>
      <c r="P12" s="2">
        <v>405</v>
      </c>
      <c r="Q12" s="2">
        <v>237</v>
      </c>
      <c r="R12" s="2">
        <v>31</v>
      </c>
      <c r="S12" s="2">
        <v>6</v>
      </c>
      <c r="T12" s="2">
        <v>170</v>
      </c>
      <c r="U12" s="2">
        <v>158</v>
      </c>
      <c r="V12" s="2">
        <v>623</v>
      </c>
      <c r="W12" s="2">
        <v>362</v>
      </c>
      <c r="X12" s="2">
        <v>102</v>
      </c>
      <c r="Y12" s="2">
        <v>128</v>
      </c>
      <c r="Z12" s="2">
        <v>155</v>
      </c>
      <c r="AA12" s="2">
        <v>70</v>
      </c>
      <c r="AB12" s="2">
        <v>34</v>
      </c>
      <c r="AC12" s="2">
        <v>45</v>
      </c>
      <c r="AE12" s="2" t="s">
        <v>1</v>
      </c>
    </row>
    <row r="13" spans="1:31" x14ac:dyDescent="0.2">
      <c r="A13" s="2">
        <v>5</v>
      </c>
      <c r="B13" s="2" t="s">
        <v>376</v>
      </c>
      <c r="C13" s="19">
        <v>31644</v>
      </c>
      <c r="D13" s="2">
        <v>930</v>
      </c>
      <c r="E13" s="17">
        <v>26.5</v>
      </c>
      <c r="F13" s="2">
        <v>12</v>
      </c>
      <c r="G13" s="2">
        <v>165</v>
      </c>
      <c r="H13" s="2">
        <v>5</v>
      </c>
      <c r="I13" s="2">
        <v>30</v>
      </c>
      <c r="J13" s="2">
        <v>509</v>
      </c>
      <c r="K13" s="2">
        <v>124</v>
      </c>
      <c r="L13" s="2">
        <v>127</v>
      </c>
      <c r="M13" s="2">
        <v>1631</v>
      </c>
      <c r="N13" s="2">
        <v>354</v>
      </c>
      <c r="O13" s="2">
        <v>340</v>
      </c>
      <c r="P13" s="2">
        <v>404</v>
      </c>
      <c r="Q13" s="2">
        <v>237</v>
      </c>
      <c r="R13" s="2">
        <v>30</v>
      </c>
      <c r="T13" s="2">
        <v>171</v>
      </c>
      <c r="U13" s="2">
        <v>159</v>
      </c>
      <c r="V13" s="2">
        <v>660</v>
      </c>
      <c r="W13" s="2">
        <v>343</v>
      </c>
      <c r="X13" s="2">
        <v>152</v>
      </c>
      <c r="Y13" s="2">
        <v>97</v>
      </c>
      <c r="Z13" s="2">
        <v>170</v>
      </c>
      <c r="AA13" s="2">
        <v>114</v>
      </c>
      <c r="AB13" s="2">
        <v>31</v>
      </c>
      <c r="AC13" s="2">
        <v>45</v>
      </c>
      <c r="AE13" s="2" t="s">
        <v>1</v>
      </c>
    </row>
    <row r="14" spans="1:31" x14ac:dyDescent="0.2">
      <c r="A14" s="2">
        <v>6</v>
      </c>
      <c r="B14" s="2" t="s">
        <v>377</v>
      </c>
      <c r="C14" s="19">
        <v>31645</v>
      </c>
      <c r="D14" s="2">
        <v>420</v>
      </c>
      <c r="E14" s="17">
        <v>25</v>
      </c>
      <c r="F14" s="2">
        <v>11</v>
      </c>
      <c r="G14" s="2">
        <v>160</v>
      </c>
      <c r="H14" s="2">
        <v>4</v>
      </c>
      <c r="I14" s="2">
        <v>26</v>
      </c>
      <c r="J14" s="2">
        <v>507</v>
      </c>
      <c r="K14" s="2">
        <v>98</v>
      </c>
      <c r="L14" s="2">
        <v>100</v>
      </c>
      <c r="M14" s="2">
        <v>1630</v>
      </c>
      <c r="N14" s="2">
        <v>352</v>
      </c>
      <c r="O14" s="2">
        <v>340</v>
      </c>
      <c r="P14" s="2">
        <v>412</v>
      </c>
      <c r="Q14" s="2">
        <v>236</v>
      </c>
      <c r="R14" s="2">
        <v>30</v>
      </c>
      <c r="T14" s="2">
        <v>168</v>
      </c>
      <c r="U14" s="2">
        <v>158</v>
      </c>
      <c r="V14" s="2">
        <v>661</v>
      </c>
      <c r="W14" s="2">
        <v>385</v>
      </c>
      <c r="X14" s="2">
        <v>101</v>
      </c>
      <c r="Y14" s="2">
        <v>125</v>
      </c>
      <c r="Z14" s="2">
        <v>84</v>
      </c>
      <c r="AA14" s="2">
        <v>78</v>
      </c>
      <c r="AB14" s="2">
        <v>23</v>
      </c>
      <c r="AC14" s="2">
        <v>24</v>
      </c>
      <c r="AE14" s="2" t="s">
        <v>1</v>
      </c>
    </row>
    <row r="15" spans="1:31" x14ac:dyDescent="0.2">
      <c r="A15" s="2">
        <v>7</v>
      </c>
      <c r="B15" s="2" t="s">
        <v>378</v>
      </c>
      <c r="C15" s="19">
        <v>31645</v>
      </c>
      <c r="D15" s="2">
        <v>440</v>
      </c>
      <c r="E15" s="17">
        <v>25</v>
      </c>
      <c r="F15" s="2">
        <v>11</v>
      </c>
      <c r="G15" s="2">
        <v>160</v>
      </c>
      <c r="H15" s="2">
        <v>4</v>
      </c>
      <c r="I15" s="2">
        <v>26</v>
      </c>
      <c r="J15" s="2">
        <v>525</v>
      </c>
      <c r="K15" s="2">
        <v>98</v>
      </c>
      <c r="L15" s="2">
        <v>94</v>
      </c>
      <c r="M15" s="2">
        <v>1629</v>
      </c>
      <c r="N15" s="2">
        <v>352</v>
      </c>
      <c r="O15" s="2">
        <v>341</v>
      </c>
      <c r="P15" s="2">
        <v>408</v>
      </c>
      <c r="Q15" s="2">
        <v>234</v>
      </c>
      <c r="R15" s="2">
        <v>31</v>
      </c>
      <c r="T15" s="2">
        <v>164</v>
      </c>
      <c r="U15" s="2">
        <v>164</v>
      </c>
      <c r="V15" s="2">
        <v>714</v>
      </c>
      <c r="W15" s="2">
        <v>492</v>
      </c>
      <c r="X15" s="2">
        <v>301</v>
      </c>
      <c r="Y15" s="2">
        <v>145</v>
      </c>
      <c r="Z15" s="2">
        <v>183</v>
      </c>
      <c r="AA15" s="2">
        <v>289</v>
      </c>
      <c r="AB15" s="2">
        <v>23</v>
      </c>
      <c r="AC15" s="2">
        <v>40</v>
      </c>
      <c r="AE15" s="2" t="s">
        <v>1</v>
      </c>
    </row>
    <row r="16" spans="1:31" x14ac:dyDescent="0.2">
      <c r="A16" s="2">
        <v>8</v>
      </c>
      <c r="B16" s="2" t="s">
        <v>379</v>
      </c>
      <c r="C16" s="19">
        <v>31645</v>
      </c>
      <c r="D16" s="2">
        <v>1630</v>
      </c>
      <c r="E16" s="17">
        <v>25.9</v>
      </c>
      <c r="F16" s="2">
        <v>7</v>
      </c>
      <c r="G16" s="2">
        <v>170</v>
      </c>
      <c r="H16" s="2">
        <v>2</v>
      </c>
      <c r="I16" s="2">
        <v>26</v>
      </c>
      <c r="J16" s="2">
        <v>505</v>
      </c>
      <c r="K16" s="2">
        <v>78</v>
      </c>
      <c r="L16" s="2">
        <v>76</v>
      </c>
      <c r="M16" s="2">
        <v>1620</v>
      </c>
      <c r="N16" s="2">
        <v>350</v>
      </c>
      <c r="O16" s="2">
        <v>339</v>
      </c>
      <c r="P16" s="2">
        <v>408</v>
      </c>
      <c r="Q16" s="2">
        <v>232</v>
      </c>
      <c r="R16" s="2">
        <v>30</v>
      </c>
      <c r="T16" s="2">
        <v>158</v>
      </c>
      <c r="U16" s="2">
        <v>156</v>
      </c>
      <c r="V16" s="2">
        <v>624</v>
      </c>
      <c r="W16" s="2">
        <v>320</v>
      </c>
      <c r="X16" s="2">
        <v>59</v>
      </c>
      <c r="Y16" s="2">
        <v>101</v>
      </c>
      <c r="Z16" s="2">
        <v>132</v>
      </c>
      <c r="AA16" s="2">
        <v>58</v>
      </c>
      <c r="AB16" s="2">
        <v>21</v>
      </c>
      <c r="AC16" s="2">
        <v>27</v>
      </c>
      <c r="AE16" s="2" t="s">
        <v>1</v>
      </c>
    </row>
    <row r="17" spans="1:31" x14ac:dyDescent="0.2">
      <c r="A17" s="2">
        <v>9</v>
      </c>
      <c r="B17" s="2" t="s">
        <v>380</v>
      </c>
      <c r="C17" s="19">
        <v>31645</v>
      </c>
      <c r="D17" s="2">
        <v>1640</v>
      </c>
      <c r="E17" s="17">
        <v>25.9</v>
      </c>
      <c r="F17" s="2">
        <v>7</v>
      </c>
      <c r="G17" s="2">
        <v>170</v>
      </c>
      <c r="H17" s="2">
        <v>2</v>
      </c>
      <c r="I17" s="2">
        <v>26</v>
      </c>
      <c r="J17" s="2">
        <v>498</v>
      </c>
      <c r="K17" s="2">
        <v>85</v>
      </c>
      <c r="L17" s="2">
        <v>84</v>
      </c>
      <c r="M17" s="2">
        <v>1618</v>
      </c>
      <c r="N17" s="2">
        <v>351</v>
      </c>
      <c r="O17" s="2">
        <v>339</v>
      </c>
      <c r="P17" s="2">
        <v>403</v>
      </c>
      <c r="Q17" s="2">
        <v>234</v>
      </c>
      <c r="R17" s="2">
        <v>29</v>
      </c>
      <c r="T17" s="2">
        <v>157</v>
      </c>
      <c r="U17" s="2">
        <v>155</v>
      </c>
      <c r="V17" s="2">
        <v>644</v>
      </c>
      <c r="W17" s="2">
        <v>326</v>
      </c>
      <c r="X17" s="2">
        <v>209</v>
      </c>
      <c r="Y17" s="2">
        <v>119</v>
      </c>
      <c r="Z17" s="2">
        <v>146</v>
      </c>
      <c r="AA17" s="2">
        <v>158</v>
      </c>
      <c r="AB17" s="2">
        <v>23</v>
      </c>
      <c r="AC17" s="2">
        <v>33</v>
      </c>
      <c r="AE17" s="2" t="s">
        <v>1</v>
      </c>
    </row>
    <row r="18" spans="1:31" x14ac:dyDescent="0.2">
      <c r="A18" s="2">
        <v>10</v>
      </c>
      <c r="B18" s="2" t="s">
        <v>381</v>
      </c>
      <c r="C18" s="19">
        <v>31646</v>
      </c>
      <c r="D18" s="2">
        <v>415</v>
      </c>
      <c r="E18" s="17">
        <v>23.8</v>
      </c>
      <c r="F18" s="2">
        <v>5</v>
      </c>
      <c r="G18" s="2">
        <v>165</v>
      </c>
      <c r="H18" s="2">
        <v>0</v>
      </c>
      <c r="I18" s="2">
        <v>26</v>
      </c>
      <c r="J18" s="2">
        <v>498</v>
      </c>
      <c r="K18" s="2">
        <v>64</v>
      </c>
      <c r="L18" s="2">
        <v>63</v>
      </c>
      <c r="M18" s="2">
        <v>1616</v>
      </c>
      <c r="N18" s="2">
        <v>351</v>
      </c>
      <c r="O18" s="2">
        <v>339</v>
      </c>
      <c r="P18" s="2">
        <v>453</v>
      </c>
      <c r="Q18" s="2">
        <v>228</v>
      </c>
      <c r="R18" s="2">
        <v>30</v>
      </c>
      <c r="T18" s="2">
        <v>180</v>
      </c>
      <c r="U18" s="2">
        <v>156</v>
      </c>
      <c r="V18" s="2">
        <v>631</v>
      </c>
      <c r="W18" s="2">
        <v>318</v>
      </c>
      <c r="X18" s="2">
        <v>128</v>
      </c>
      <c r="Y18" s="2">
        <v>112</v>
      </c>
      <c r="Z18" s="2">
        <v>91</v>
      </c>
      <c r="AA18" s="2">
        <v>112</v>
      </c>
      <c r="AB18" s="2">
        <v>40</v>
      </c>
      <c r="AC18" s="2">
        <v>47</v>
      </c>
      <c r="AE18" s="2" t="s">
        <v>1</v>
      </c>
    </row>
    <row r="19" spans="1:31" x14ac:dyDescent="0.2">
      <c r="A19" s="2">
        <v>11</v>
      </c>
      <c r="B19" s="2" t="s">
        <v>382</v>
      </c>
      <c r="C19" s="19">
        <v>31646</v>
      </c>
      <c r="D19" s="2">
        <v>425</v>
      </c>
      <c r="E19" s="17">
        <v>23.8</v>
      </c>
      <c r="F19" s="2">
        <v>5</v>
      </c>
      <c r="G19" s="2">
        <v>165</v>
      </c>
      <c r="H19" s="2">
        <v>0</v>
      </c>
      <c r="I19" s="2">
        <v>26</v>
      </c>
      <c r="J19" s="2">
        <v>505</v>
      </c>
      <c r="K19" s="2">
        <v>62</v>
      </c>
      <c r="L19" s="2">
        <v>62</v>
      </c>
      <c r="M19" s="2">
        <v>1618</v>
      </c>
      <c r="N19" s="2">
        <v>352</v>
      </c>
      <c r="O19" s="2">
        <v>340</v>
      </c>
      <c r="P19" s="2">
        <v>471</v>
      </c>
      <c r="Q19" s="2">
        <v>234</v>
      </c>
      <c r="R19" s="2">
        <v>30</v>
      </c>
      <c r="S19" s="2">
        <v>11</v>
      </c>
      <c r="T19" s="2">
        <v>174</v>
      </c>
      <c r="U19" s="2">
        <v>156</v>
      </c>
      <c r="V19" s="2">
        <v>617</v>
      </c>
      <c r="W19" s="2">
        <v>328</v>
      </c>
      <c r="X19" s="2">
        <v>104</v>
      </c>
      <c r="Y19" s="2">
        <v>150</v>
      </c>
      <c r="Z19" s="2">
        <v>108</v>
      </c>
      <c r="AA19" s="2">
        <v>80</v>
      </c>
      <c r="AB19" s="2">
        <v>43</v>
      </c>
      <c r="AC19" s="2">
        <v>62</v>
      </c>
      <c r="AE19" s="2" t="s">
        <v>1</v>
      </c>
    </row>
    <row r="20" spans="1:31" x14ac:dyDescent="0.2">
      <c r="A20" s="2">
        <v>12</v>
      </c>
      <c r="B20" s="2" t="s">
        <v>383</v>
      </c>
      <c r="C20" s="19">
        <v>31646</v>
      </c>
      <c r="D20" s="2">
        <v>1510</v>
      </c>
      <c r="E20" s="17">
        <v>24.3</v>
      </c>
      <c r="F20" s="2">
        <v>12</v>
      </c>
      <c r="G20" s="2">
        <v>100</v>
      </c>
      <c r="H20" s="2">
        <v>-1</v>
      </c>
      <c r="I20" s="2">
        <v>26</v>
      </c>
      <c r="J20" s="2">
        <v>505</v>
      </c>
      <c r="K20" s="2">
        <v>121</v>
      </c>
      <c r="L20" s="2">
        <v>118</v>
      </c>
      <c r="M20" s="2">
        <v>1620</v>
      </c>
      <c r="N20" s="2">
        <v>353</v>
      </c>
      <c r="O20" s="2">
        <v>339</v>
      </c>
      <c r="P20" s="2">
        <v>409</v>
      </c>
      <c r="Q20" s="2">
        <v>234</v>
      </c>
      <c r="R20" s="2">
        <v>31</v>
      </c>
      <c r="T20" s="2">
        <v>158</v>
      </c>
      <c r="U20" s="2">
        <v>157</v>
      </c>
      <c r="V20" s="2">
        <v>678</v>
      </c>
      <c r="W20" s="2">
        <v>449</v>
      </c>
      <c r="X20" s="2">
        <v>90</v>
      </c>
      <c r="Y20" s="2">
        <v>188</v>
      </c>
      <c r="Z20" s="2">
        <v>1390</v>
      </c>
      <c r="AA20" s="2">
        <v>65</v>
      </c>
      <c r="AB20" s="2">
        <v>109</v>
      </c>
      <c r="AC20" s="2">
        <v>301</v>
      </c>
      <c r="AE20" s="2" t="s">
        <v>1</v>
      </c>
    </row>
    <row r="21" spans="1:31" x14ac:dyDescent="0.2">
      <c r="A21" s="2">
        <v>13</v>
      </c>
      <c r="B21" s="2" t="s">
        <v>384</v>
      </c>
      <c r="C21" s="19">
        <v>31646</v>
      </c>
      <c r="D21" s="2">
        <v>1520</v>
      </c>
      <c r="E21" s="17"/>
      <c r="H21" s="2">
        <v>-1</v>
      </c>
      <c r="I21" s="2">
        <v>26</v>
      </c>
      <c r="J21" s="2">
        <v>509</v>
      </c>
      <c r="K21" s="2">
        <v>131</v>
      </c>
      <c r="L21" s="2">
        <v>127</v>
      </c>
      <c r="M21" s="2">
        <v>1620</v>
      </c>
      <c r="N21" s="2">
        <v>352</v>
      </c>
      <c r="O21" s="2">
        <v>340</v>
      </c>
      <c r="P21" s="2">
        <v>409</v>
      </c>
      <c r="Q21" s="2">
        <v>233</v>
      </c>
      <c r="R21" s="2">
        <v>30</v>
      </c>
      <c r="T21" s="2">
        <v>157</v>
      </c>
      <c r="U21" s="2">
        <v>157</v>
      </c>
      <c r="V21" s="2">
        <v>681</v>
      </c>
      <c r="W21" s="2">
        <v>427</v>
      </c>
      <c r="X21" s="2">
        <v>92</v>
      </c>
      <c r="Y21" s="2">
        <v>166</v>
      </c>
      <c r="Z21" s="2">
        <v>593</v>
      </c>
      <c r="AA21" s="2">
        <v>75</v>
      </c>
      <c r="AB21" s="2">
        <v>63</v>
      </c>
      <c r="AC21" s="2">
        <v>144</v>
      </c>
      <c r="AE21" s="2" t="s">
        <v>1</v>
      </c>
    </row>
    <row r="22" spans="1:31" x14ac:dyDescent="0.2">
      <c r="A22" s="2">
        <v>14</v>
      </c>
      <c r="B22" s="2" t="s">
        <v>385</v>
      </c>
      <c r="C22" s="19">
        <v>31648</v>
      </c>
      <c r="D22" s="2">
        <v>930</v>
      </c>
      <c r="E22" s="17">
        <v>26.8</v>
      </c>
      <c r="F22" s="2">
        <v>12</v>
      </c>
      <c r="G22" s="2">
        <v>65</v>
      </c>
      <c r="H22" s="2">
        <v>-7</v>
      </c>
      <c r="I22" s="2">
        <v>26</v>
      </c>
      <c r="J22" s="2">
        <v>498</v>
      </c>
      <c r="K22" s="2">
        <v>104</v>
      </c>
      <c r="L22" s="2">
        <v>100</v>
      </c>
      <c r="M22" s="2">
        <v>1624</v>
      </c>
      <c r="N22" s="2">
        <v>354</v>
      </c>
      <c r="O22" s="2">
        <v>339</v>
      </c>
      <c r="P22" s="2">
        <v>407</v>
      </c>
      <c r="Q22" s="2">
        <v>234</v>
      </c>
      <c r="R22" s="2">
        <v>29</v>
      </c>
      <c r="T22" s="2">
        <v>162</v>
      </c>
      <c r="U22" s="2">
        <v>158</v>
      </c>
      <c r="V22" s="2">
        <v>625</v>
      </c>
      <c r="W22" s="2">
        <v>410</v>
      </c>
      <c r="X22" s="2">
        <v>74</v>
      </c>
      <c r="Y22" s="2">
        <v>145</v>
      </c>
      <c r="Z22" s="2">
        <v>109</v>
      </c>
      <c r="AA22" s="2">
        <v>61</v>
      </c>
      <c r="AB22" s="2">
        <v>26</v>
      </c>
      <c r="AC22" s="2">
        <v>32</v>
      </c>
      <c r="AE22" s="2" t="s">
        <v>1</v>
      </c>
    </row>
    <row r="23" spans="1:31" x14ac:dyDescent="0.2">
      <c r="A23" s="2">
        <v>15</v>
      </c>
      <c r="B23" s="2" t="s">
        <v>386</v>
      </c>
      <c r="C23" s="19">
        <v>31648</v>
      </c>
      <c r="D23" s="2">
        <v>940</v>
      </c>
      <c r="E23" s="17"/>
      <c r="H23" s="2">
        <v>-7</v>
      </c>
      <c r="I23" s="2">
        <v>26</v>
      </c>
      <c r="J23" s="2">
        <v>503</v>
      </c>
      <c r="K23" s="2">
        <v>112</v>
      </c>
      <c r="L23" s="2">
        <v>113</v>
      </c>
      <c r="M23" s="2">
        <v>1624</v>
      </c>
      <c r="N23" s="2">
        <v>354</v>
      </c>
      <c r="O23" s="2">
        <v>340</v>
      </c>
      <c r="P23" s="2">
        <v>407</v>
      </c>
      <c r="Q23" s="2">
        <v>234</v>
      </c>
      <c r="R23" s="2">
        <v>29</v>
      </c>
      <c r="T23" s="2">
        <v>160</v>
      </c>
      <c r="U23" s="2">
        <v>157</v>
      </c>
      <c r="V23" s="2">
        <v>628</v>
      </c>
      <c r="W23" s="2">
        <v>429</v>
      </c>
      <c r="X23" s="2">
        <v>167</v>
      </c>
      <c r="Y23" s="2">
        <v>174</v>
      </c>
      <c r="Z23" s="2">
        <v>163</v>
      </c>
      <c r="AA23" s="2">
        <v>125</v>
      </c>
      <c r="AB23" s="2">
        <v>36</v>
      </c>
      <c r="AC23" s="2">
        <v>48</v>
      </c>
      <c r="AE23" s="2" t="s">
        <v>1</v>
      </c>
    </row>
    <row r="24" spans="1:31" x14ac:dyDescent="0.2">
      <c r="A24" s="2">
        <v>16</v>
      </c>
      <c r="B24" s="2" t="s">
        <v>387</v>
      </c>
      <c r="C24" s="19">
        <v>31649</v>
      </c>
      <c r="D24" s="2">
        <v>415</v>
      </c>
      <c r="E24" s="17">
        <v>25.3</v>
      </c>
      <c r="F24" s="2">
        <v>14</v>
      </c>
      <c r="G24" s="2">
        <v>110</v>
      </c>
      <c r="H24" s="2">
        <v>-10</v>
      </c>
      <c r="I24" s="2">
        <v>26</v>
      </c>
      <c r="J24" s="2">
        <v>512</v>
      </c>
      <c r="K24" s="2">
        <v>93</v>
      </c>
      <c r="L24" s="2">
        <v>93</v>
      </c>
      <c r="M24" s="2">
        <v>1627</v>
      </c>
      <c r="N24" s="2">
        <v>352</v>
      </c>
      <c r="O24" s="2">
        <v>340</v>
      </c>
      <c r="P24" s="2">
        <v>410</v>
      </c>
      <c r="Q24" s="2">
        <v>235</v>
      </c>
      <c r="R24" s="2">
        <v>29</v>
      </c>
      <c r="T24" s="2">
        <v>159</v>
      </c>
      <c r="U24" s="2">
        <v>158</v>
      </c>
      <c r="V24" s="2">
        <v>627</v>
      </c>
      <c r="W24" s="2">
        <v>378</v>
      </c>
      <c r="X24" s="2">
        <v>101</v>
      </c>
      <c r="Y24" s="2">
        <v>143</v>
      </c>
      <c r="Z24" s="2">
        <v>61</v>
      </c>
      <c r="AA24" s="2">
        <v>91</v>
      </c>
      <c r="AB24" s="2">
        <v>15</v>
      </c>
      <c r="AC24" s="2">
        <v>15</v>
      </c>
      <c r="AE24" s="2" t="s">
        <v>1</v>
      </c>
    </row>
    <row r="25" spans="1:31" x14ac:dyDescent="0.2">
      <c r="A25" s="2">
        <v>17</v>
      </c>
      <c r="B25" s="2" t="s">
        <v>388</v>
      </c>
      <c r="C25" s="19">
        <v>31649</v>
      </c>
      <c r="D25" s="2">
        <v>425</v>
      </c>
      <c r="E25" s="17">
        <v>25.3</v>
      </c>
      <c r="F25" s="2">
        <v>14</v>
      </c>
      <c r="G25" s="2">
        <v>110</v>
      </c>
      <c r="H25" s="2">
        <v>-10</v>
      </c>
      <c r="I25" s="2">
        <v>26</v>
      </c>
      <c r="J25" s="2">
        <v>512</v>
      </c>
      <c r="K25" s="2">
        <v>93</v>
      </c>
      <c r="L25" s="2">
        <v>94</v>
      </c>
      <c r="M25" s="2">
        <v>1630</v>
      </c>
      <c r="N25" s="2">
        <v>352</v>
      </c>
      <c r="O25" s="2">
        <v>340</v>
      </c>
      <c r="P25" s="2">
        <v>407</v>
      </c>
      <c r="Q25" s="2">
        <v>235</v>
      </c>
      <c r="R25" s="2">
        <v>29</v>
      </c>
      <c r="T25" s="2">
        <v>158</v>
      </c>
      <c r="U25" s="2">
        <v>159</v>
      </c>
      <c r="V25" s="2">
        <v>627</v>
      </c>
      <c r="W25" s="2">
        <v>394</v>
      </c>
      <c r="X25" s="2">
        <v>91</v>
      </c>
      <c r="Y25" s="2">
        <v>165</v>
      </c>
      <c r="Z25" s="2">
        <v>53</v>
      </c>
      <c r="AA25" s="2">
        <v>70</v>
      </c>
      <c r="AB25" s="2">
        <v>13</v>
      </c>
      <c r="AC25" s="2">
        <v>13</v>
      </c>
      <c r="AE25" s="2" t="s">
        <v>1</v>
      </c>
    </row>
    <row r="26" spans="1:31" x14ac:dyDescent="0.2">
      <c r="A26" s="2">
        <v>18</v>
      </c>
      <c r="B26" s="2" t="s">
        <v>389</v>
      </c>
      <c r="C26" s="19">
        <v>31649</v>
      </c>
      <c r="D26" s="2">
        <v>1520</v>
      </c>
      <c r="E26" s="17">
        <v>25.2</v>
      </c>
      <c r="F26" s="2">
        <v>16</v>
      </c>
      <c r="G26" s="2">
        <v>130</v>
      </c>
      <c r="H26" s="2">
        <v>-10</v>
      </c>
      <c r="I26" s="2">
        <v>26</v>
      </c>
      <c r="J26" s="2">
        <v>510</v>
      </c>
      <c r="K26" s="2">
        <v>88</v>
      </c>
      <c r="L26" s="2">
        <v>88</v>
      </c>
      <c r="M26" s="2">
        <v>1627</v>
      </c>
      <c r="N26" s="2">
        <v>352</v>
      </c>
      <c r="O26" s="2">
        <v>340</v>
      </c>
      <c r="P26" s="2">
        <v>412</v>
      </c>
      <c r="Q26" s="2">
        <v>235</v>
      </c>
      <c r="R26" s="2">
        <v>29</v>
      </c>
      <c r="T26" s="2">
        <v>187</v>
      </c>
      <c r="U26" s="2">
        <v>158</v>
      </c>
      <c r="V26" s="2">
        <v>633</v>
      </c>
      <c r="W26" s="2">
        <v>368</v>
      </c>
      <c r="X26" s="2">
        <v>86</v>
      </c>
      <c r="Y26" s="2">
        <v>139</v>
      </c>
      <c r="Z26" s="2">
        <v>318</v>
      </c>
      <c r="AA26" s="2">
        <v>116</v>
      </c>
      <c r="AB26" s="2">
        <v>51</v>
      </c>
      <c r="AC26" s="2">
        <v>83</v>
      </c>
      <c r="AE26" s="2" t="s">
        <v>1</v>
      </c>
    </row>
    <row r="27" spans="1:31" x14ac:dyDescent="0.2">
      <c r="A27" s="2">
        <v>19</v>
      </c>
      <c r="B27" s="2" t="s">
        <v>390</v>
      </c>
      <c r="C27" s="19">
        <v>31649</v>
      </c>
      <c r="D27" s="2">
        <v>1540</v>
      </c>
      <c r="E27" s="17">
        <v>25</v>
      </c>
      <c r="F27" s="2">
        <v>16</v>
      </c>
      <c r="G27" s="2">
        <v>130</v>
      </c>
      <c r="H27" s="2">
        <v>-10</v>
      </c>
      <c r="I27" s="2">
        <v>26</v>
      </c>
      <c r="J27" s="2">
        <v>514</v>
      </c>
      <c r="K27" s="2">
        <v>92</v>
      </c>
      <c r="L27" s="2">
        <v>94</v>
      </c>
      <c r="M27" s="2">
        <v>1628</v>
      </c>
      <c r="N27" s="2">
        <v>351</v>
      </c>
      <c r="O27" s="2">
        <v>341</v>
      </c>
      <c r="P27" s="2">
        <v>412</v>
      </c>
      <c r="Q27" s="2">
        <v>234</v>
      </c>
      <c r="R27" s="2">
        <v>29</v>
      </c>
      <c r="T27" s="2">
        <v>181</v>
      </c>
      <c r="U27" s="2">
        <v>158</v>
      </c>
      <c r="V27" s="2">
        <v>640</v>
      </c>
      <c r="W27" s="2">
        <v>380</v>
      </c>
      <c r="X27" s="2">
        <v>168</v>
      </c>
      <c r="Y27" s="2">
        <v>161</v>
      </c>
      <c r="Z27" s="2">
        <v>218</v>
      </c>
      <c r="AA27" s="2">
        <v>203</v>
      </c>
      <c r="AB27" s="2">
        <v>43</v>
      </c>
      <c r="AC27" s="2">
        <v>57</v>
      </c>
      <c r="AE27" s="2" t="s">
        <v>1</v>
      </c>
    </row>
    <row r="28" spans="1:31" x14ac:dyDescent="0.2">
      <c r="A28" s="2">
        <v>20</v>
      </c>
      <c r="B28" s="2" t="s">
        <v>391</v>
      </c>
      <c r="C28" s="19">
        <v>31651</v>
      </c>
      <c r="D28" s="2">
        <v>415</v>
      </c>
      <c r="E28" s="17">
        <v>22.8</v>
      </c>
      <c r="F28" s="2">
        <v>17</v>
      </c>
      <c r="G28" s="2">
        <v>110</v>
      </c>
      <c r="H28" s="17">
        <f>-(8+52.1/60)</f>
        <v>-8.8683333333333341</v>
      </c>
      <c r="I28" s="17">
        <f>19+44.7/60</f>
        <v>19.745000000000001</v>
      </c>
      <c r="J28" s="2">
        <v>508</v>
      </c>
      <c r="K28" s="2">
        <v>56</v>
      </c>
      <c r="L28" s="2">
        <v>54</v>
      </c>
      <c r="M28" s="2">
        <v>1624</v>
      </c>
      <c r="N28" s="2">
        <v>350</v>
      </c>
      <c r="O28" s="2">
        <v>339</v>
      </c>
      <c r="P28" s="2">
        <v>406</v>
      </c>
      <c r="Q28" s="2">
        <v>234</v>
      </c>
      <c r="R28" s="2">
        <v>33</v>
      </c>
      <c r="T28" s="2">
        <v>161</v>
      </c>
      <c r="U28" s="2">
        <v>156</v>
      </c>
      <c r="V28" s="2">
        <v>622</v>
      </c>
      <c r="W28" s="2">
        <v>310</v>
      </c>
      <c r="X28" s="2">
        <v>109</v>
      </c>
      <c r="Y28" s="2">
        <v>92</v>
      </c>
      <c r="Z28" s="2">
        <v>70</v>
      </c>
      <c r="AA28" s="2">
        <v>91</v>
      </c>
      <c r="AB28" s="2">
        <v>10</v>
      </c>
      <c r="AC28" s="2">
        <v>10</v>
      </c>
      <c r="AE28" s="2" t="s">
        <v>1</v>
      </c>
    </row>
    <row r="29" spans="1:31" x14ac:dyDescent="0.2">
      <c r="A29" s="2">
        <v>21</v>
      </c>
      <c r="B29" s="2" t="s">
        <v>392</v>
      </c>
      <c r="C29" s="19">
        <v>31651</v>
      </c>
      <c r="D29" s="2">
        <v>425</v>
      </c>
      <c r="E29" s="17">
        <v>22.8</v>
      </c>
      <c r="F29" s="2">
        <v>17</v>
      </c>
      <c r="G29" s="2">
        <v>110</v>
      </c>
      <c r="H29" s="17">
        <f>-(8+52.1/60)</f>
        <v>-8.8683333333333341</v>
      </c>
      <c r="I29" s="17">
        <f>19+44.7/60</f>
        <v>19.745000000000001</v>
      </c>
      <c r="J29" s="2">
        <v>560</v>
      </c>
      <c r="K29" s="2">
        <v>54</v>
      </c>
      <c r="L29" s="2">
        <v>53</v>
      </c>
      <c r="M29" s="2">
        <v>1626</v>
      </c>
      <c r="N29" s="2">
        <v>350</v>
      </c>
      <c r="O29" s="2">
        <v>339</v>
      </c>
      <c r="P29" s="2">
        <v>403</v>
      </c>
      <c r="Q29" s="2">
        <v>234</v>
      </c>
      <c r="R29" s="2">
        <v>31</v>
      </c>
      <c r="T29" s="2">
        <v>159</v>
      </c>
      <c r="U29" s="2">
        <v>158</v>
      </c>
      <c r="V29" s="2">
        <v>641</v>
      </c>
      <c r="W29" s="2">
        <v>550</v>
      </c>
      <c r="X29" s="2">
        <v>383</v>
      </c>
      <c r="Y29" s="2">
        <v>121</v>
      </c>
      <c r="Z29" s="2">
        <v>203</v>
      </c>
      <c r="AA29" s="2">
        <v>461</v>
      </c>
      <c r="AB29" s="2">
        <v>21</v>
      </c>
      <c r="AC29" s="2">
        <v>44</v>
      </c>
      <c r="AE29" s="2" t="s">
        <v>1</v>
      </c>
    </row>
    <row r="30" spans="1:31" x14ac:dyDescent="0.2">
      <c r="A30" s="2">
        <v>22</v>
      </c>
      <c r="B30" s="2" t="s">
        <v>393</v>
      </c>
      <c r="C30" s="19">
        <v>31651</v>
      </c>
      <c r="D30" s="2">
        <v>1500</v>
      </c>
      <c r="E30" s="17">
        <v>22.8</v>
      </c>
      <c r="F30" s="2">
        <v>18</v>
      </c>
      <c r="G30" s="2">
        <v>95</v>
      </c>
      <c r="H30" s="17">
        <f>-(8+33.9/60)</f>
        <v>-8.5649999999999995</v>
      </c>
      <c r="I30" s="17">
        <f>17+59.9/60</f>
        <v>17.998333333333335</v>
      </c>
      <c r="J30" s="2">
        <v>510</v>
      </c>
      <c r="K30" s="2">
        <v>62</v>
      </c>
      <c r="L30" s="2">
        <v>58</v>
      </c>
      <c r="M30" s="2">
        <v>1620</v>
      </c>
      <c r="N30" s="2">
        <v>350</v>
      </c>
      <c r="O30" s="2">
        <v>339</v>
      </c>
      <c r="P30" s="2">
        <v>407</v>
      </c>
      <c r="Q30" s="2">
        <v>228</v>
      </c>
      <c r="R30" s="2">
        <v>31</v>
      </c>
      <c r="S30" s="2">
        <v>100</v>
      </c>
      <c r="T30" s="2">
        <v>173</v>
      </c>
      <c r="U30" s="2">
        <v>156</v>
      </c>
      <c r="V30" s="2">
        <v>627</v>
      </c>
      <c r="W30" s="2">
        <v>292</v>
      </c>
      <c r="X30" s="2">
        <v>86</v>
      </c>
      <c r="Y30" s="2">
        <v>108</v>
      </c>
      <c r="Z30" s="2">
        <v>136</v>
      </c>
      <c r="AA30" s="2">
        <v>72</v>
      </c>
      <c r="AB30" s="2">
        <v>35</v>
      </c>
      <c r="AC30" s="2">
        <v>35</v>
      </c>
      <c r="AE30" s="2" t="s">
        <v>1</v>
      </c>
    </row>
    <row r="31" spans="1:31" x14ac:dyDescent="0.2">
      <c r="A31" s="2">
        <v>23</v>
      </c>
      <c r="B31" s="2" t="s">
        <v>394</v>
      </c>
      <c r="C31" s="19">
        <v>31651</v>
      </c>
      <c r="D31" s="2">
        <v>1600</v>
      </c>
      <c r="E31" s="17">
        <v>22</v>
      </c>
      <c r="F31" s="2">
        <v>16</v>
      </c>
      <c r="G31" s="2">
        <v>95</v>
      </c>
      <c r="H31" s="17">
        <f>-(8+33.9/60)</f>
        <v>-8.5649999999999995</v>
      </c>
      <c r="I31" s="17">
        <f>17+59.9/60</f>
        <v>17.998333333333335</v>
      </c>
      <c r="J31" s="2">
        <v>506</v>
      </c>
      <c r="K31" s="2">
        <v>61</v>
      </c>
      <c r="L31" s="2">
        <v>55</v>
      </c>
      <c r="M31" s="2">
        <v>1622</v>
      </c>
      <c r="N31" s="2">
        <v>350</v>
      </c>
      <c r="O31" s="2">
        <v>339</v>
      </c>
      <c r="P31" s="2">
        <v>406</v>
      </c>
      <c r="Q31" s="2">
        <v>235</v>
      </c>
      <c r="R31" s="2">
        <v>30</v>
      </c>
      <c r="T31" s="2">
        <v>163</v>
      </c>
      <c r="U31" s="2">
        <v>158</v>
      </c>
      <c r="V31" s="2">
        <v>628</v>
      </c>
      <c r="W31" s="2">
        <v>294</v>
      </c>
      <c r="X31" s="2">
        <v>52</v>
      </c>
      <c r="Y31" s="2">
        <v>79</v>
      </c>
      <c r="Z31" s="2">
        <v>41</v>
      </c>
      <c r="AA31" s="2">
        <v>56</v>
      </c>
      <c r="AB31" s="2">
        <v>10</v>
      </c>
      <c r="AC31" s="2">
        <v>5</v>
      </c>
      <c r="AE31" s="2" t="s">
        <v>1</v>
      </c>
    </row>
    <row r="32" spans="1:31" x14ac:dyDescent="0.2">
      <c r="A32" s="2">
        <v>24</v>
      </c>
      <c r="B32" s="2" t="s">
        <v>395</v>
      </c>
      <c r="C32" s="19">
        <v>31654</v>
      </c>
      <c r="D32" s="2">
        <v>420</v>
      </c>
      <c r="E32" s="17">
        <v>21.4</v>
      </c>
      <c r="F32" s="2">
        <v>17</v>
      </c>
      <c r="G32" s="2">
        <v>110</v>
      </c>
      <c r="H32" s="2">
        <v>-10</v>
      </c>
      <c r="I32" s="2">
        <v>10</v>
      </c>
      <c r="J32" s="2">
        <v>484</v>
      </c>
      <c r="K32" s="2">
        <v>45</v>
      </c>
      <c r="L32" s="2">
        <v>45</v>
      </c>
      <c r="M32" s="2">
        <v>1620</v>
      </c>
      <c r="N32" s="2">
        <v>351</v>
      </c>
      <c r="O32" s="2">
        <v>337</v>
      </c>
      <c r="P32" s="2">
        <v>402</v>
      </c>
      <c r="Q32" s="2">
        <v>230</v>
      </c>
      <c r="R32" s="2">
        <v>29</v>
      </c>
      <c r="S32" s="2">
        <v>7</v>
      </c>
      <c r="T32" s="2">
        <v>158</v>
      </c>
      <c r="U32" s="2">
        <v>156</v>
      </c>
      <c r="V32" s="2">
        <v>613</v>
      </c>
      <c r="W32" s="2">
        <v>309</v>
      </c>
      <c r="X32" s="2">
        <v>81</v>
      </c>
      <c r="Y32" s="2">
        <v>90</v>
      </c>
      <c r="Z32" s="2">
        <v>114</v>
      </c>
      <c r="AA32" s="2">
        <v>72</v>
      </c>
      <c r="AB32" s="2">
        <v>29</v>
      </c>
      <c r="AC32" s="2">
        <v>30</v>
      </c>
      <c r="AE32" s="2" t="s">
        <v>1</v>
      </c>
    </row>
    <row r="33" spans="1:31" x14ac:dyDescent="0.2">
      <c r="A33" s="2">
        <v>25</v>
      </c>
      <c r="B33" s="2" t="s">
        <v>396</v>
      </c>
      <c r="C33" s="19">
        <v>31654</v>
      </c>
      <c r="D33" s="2">
        <v>430</v>
      </c>
      <c r="E33" s="17">
        <v>21.4</v>
      </c>
      <c r="F33" s="2">
        <v>17</v>
      </c>
      <c r="G33" s="2">
        <v>110</v>
      </c>
      <c r="H33" s="2">
        <v>-10</v>
      </c>
      <c r="I33" s="2">
        <v>10</v>
      </c>
      <c r="J33" s="2">
        <v>565</v>
      </c>
      <c r="K33" s="2">
        <v>45</v>
      </c>
      <c r="L33" s="2">
        <v>44</v>
      </c>
      <c r="M33" s="2">
        <v>1625</v>
      </c>
      <c r="N33" s="2">
        <v>350</v>
      </c>
      <c r="O33" s="2">
        <v>339</v>
      </c>
      <c r="P33" s="2">
        <v>404</v>
      </c>
      <c r="Q33" s="2">
        <v>232</v>
      </c>
      <c r="R33" s="2">
        <v>30</v>
      </c>
      <c r="T33" s="2">
        <v>159</v>
      </c>
      <c r="U33" s="2">
        <v>156</v>
      </c>
      <c r="V33" s="2">
        <v>621</v>
      </c>
      <c r="W33" s="2">
        <v>521</v>
      </c>
      <c r="X33" s="2">
        <v>151</v>
      </c>
      <c r="Y33" s="2">
        <v>119</v>
      </c>
      <c r="Z33" s="2">
        <v>186</v>
      </c>
      <c r="AA33" s="2">
        <v>159</v>
      </c>
      <c r="AB33" s="2">
        <v>23</v>
      </c>
      <c r="AC33" s="2">
        <v>38</v>
      </c>
      <c r="AE33" s="2" t="s">
        <v>1</v>
      </c>
    </row>
    <row r="34" spans="1:31" x14ac:dyDescent="0.2">
      <c r="A34" s="2">
        <v>26</v>
      </c>
      <c r="B34" s="2" t="s">
        <v>397</v>
      </c>
      <c r="C34" s="19">
        <v>31654</v>
      </c>
      <c r="D34" s="2">
        <v>1545</v>
      </c>
      <c r="E34" s="17">
        <v>22.3</v>
      </c>
      <c r="F34" s="2">
        <v>17</v>
      </c>
      <c r="G34" s="2">
        <v>120</v>
      </c>
      <c r="H34" s="2">
        <v>-10</v>
      </c>
      <c r="I34" s="2">
        <v>10</v>
      </c>
      <c r="J34" s="2">
        <v>489</v>
      </c>
      <c r="K34" s="2">
        <v>50</v>
      </c>
      <c r="L34" s="2">
        <v>49</v>
      </c>
      <c r="M34" s="2">
        <v>1620</v>
      </c>
      <c r="N34" s="2">
        <v>350</v>
      </c>
      <c r="O34" s="2">
        <v>338</v>
      </c>
      <c r="P34" s="2">
        <v>405</v>
      </c>
      <c r="Q34" s="2">
        <v>230</v>
      </c>
      <c r="R34" s="2">
        <v>29</v>
      </c>
      <c r="T34" s="2">
        <v>155</v>
      </c>
      <c r="U34" s="2">
        <v>155</v>
      </c>
      <c r="V34" s="2">
        <v>613</v>
      </c>
      <c r="W34" s="2">
        <v>320</v>
      </c>
      <c r="X34" s="2">
        <v>60</v>
      </c>
      <c r="Y34" s="2">
        <v>73</v>
      </c>
      <c r="Z34" s="2">
        <v>76</v>
      </c>
      <c r="AA34" s="2">
        <v>60</v>
      </c>
      <c r="AB34" s="2">
        <v>15</v>
      </c>
      <c r="AC34" s="2">
        <v>10</v>
      </c>
      <c r="AE34" s="2" t="s">
        <v>1</v>
      </c>
    </row>
    <row r="35" spans="1:31" x14ac:dyDescent="0.2">
      <c r="A35" s="2">
        <v>27</v>
      </c>
      <c r="B35" s="2" t="s">
        <v>398</v>
      </c>
      <c r="C35" s="19">
        <v>31654</v>
      </c>
      <c r="D35" s="2">
        <v>1600</v>
      </c>
      <c r="E35" s="17">
        <v>22.3</v>
      </c>
      <c r="F35" s="2">
        <v>17</v>
      </c>
      <c r="G35" s="2">
        <v>120</v>
      </c>
      <c r="H35" s="2">
        <v>-10</v>
      </c>
      <c r="I35" s="2">
        <v>10</v>
      </c>
      <c r="J35" s="2">
        <v>514</v>
      </c>
      <c r="K35" s="2">
        <v>54</v>
      </c>
      <c r="L35" s="2">
        <v>56</v>
      </c>
      <c r="M35" s="2">
        <v>1623</v>
      </c>
      <c r="N35" s="2">
        <v>348</v>
      </c>
      <c r="O35" s="2">
        <v>339</v>
      </c>
      <c r="P35" s="2">
        <v>402</v>
      </c>
      <c r="Q35" s="2">
        <v>231</v>
      </c>
      <c r="R35" s="2">
        <v>29</v>
      </c>
      <c r="T35" s="2">
        <v>155</v>
      </c>
      <c r="U35" s="2">
        <v>155</v>
      </c>
      <c r="V35" s="2">
        <v>620</v>
      </c>
      <c r="W35" s="2">
        <v>431</v>
      </c>
      <c r="X35" s="2">
        <v>304</v>
      </c>
      <c r="Y35" s="2">
        <v>108</v>
      </c>
      <c r="Z35" s="2">
        <v>135</v>
      </c>
      <c r="AA35" s="2">
        <v>317</v>
      </c>
      <c r="AB35" s="2">
        <v>22</v>
      </c>
      <c r="AC35" s="2">
        <v>32</v>
      </c>
      <c r="AE35" s="2" t="s">
        <v>1</v>
      </c>
    </row>
    <row r="36" spans="1:31" x14ac:dyDescent="0.2">
      <c r="A36" s="2">
        <v>28</v>
      </c>
      <c r="B36" s="2" t="s">
        <v>399</v>
      </c>
      <c r="C36" s="19">
        <v>31656</v>
      </c>
      <c r="D36" s="2">
        <v>1330</v>
      </c>
      <c r="E36" s="17">
        <v>24</v>
      </c>
      <c r="F36" s="2">
        <v>13</v>
      </c>
      <c r="G36" s="2">
        <v>140</v>
      </c>
      <c r="H36" s="2">
        <v>-10</v>
      </c>
      <c r="I36" s="2">
        <v>10</v>
      </c>
      <c r="J36" s="2">
        <v>513</v>
      </c>
      <c r="K36" s="2">
        <v>86</v>
      </c>
      <c r="L36" s="2">
        <v>84</v>
      </c>
      <c r="M36" s="2">
        <v>1621</v>
      </c>
      <c r="N36" s="2">
        <v>351</v>
      </c>
      <c r="O36" s="2">
        <v>339</v>
      </c>
      <c r="P36" s="2">
        <v>406</v>
      </c>
      <c r="Q36" s="2">
        <v>233</v>
      </c>
      <c r="R36" s="2">
        <v>30</v>
      </c>
      <c r="T36" s="2">
        <v>158</v>
      </c>
      <c r="U36" s="2">
        <v>156</v>
      </c>
      <c r="V36" s="2">
        <v>631</v>
      </c>
      <c r="W36" s="2">
        <v>394</v>
      </c>
      <c r="X36" s="2">
        <v>80</v>
      </c>
      <c r="Y36" s="2">
        <v>113</v>
      </c>
      <c r="Z36" s="2">
        <v>65</v>
      </c>
      <c r="AA36" s="2">
        <v>68</v>
      </c>
      <c r="AB36" s="2">
        <v>21</v>
      </c>
      <c r="AC36" s="2">
        <v>20</v>
      </c>
      <c r="AE36" s="2" t="s">
        <v>1</v>
      </c>
    </row>
    <row r="37" spans="1:31" x14ac:dyDescent="0.2">
      <c r="A37" s="2">
        <v>29</v>
      </c>
      <c r="B37" s="2" t="s">
        <v>400</v>
      </c>
      <c r="C37" s="19">
        <v>31656</v>
      </c>
      <c r="D37" s="2">
        <v>1340</v>
      </c>
      <c r="E37" s="17">
        <v>24</v>
      </c>
      <c r="F37" s="2">
        <v>13</v>
      </c>
      <c r="G37" s="2">
        <v>140</v>
      </c>
      <c r="H37" s="2">
        <v>-10</v>
      </c>
      <c r="I37" s="2">
        <v>10</v>
      </c>
      <c r="J37" s="2">
        <v>531</v>
      </c>
      <c r="K37" s="2">
        <v>97</v>
      </c>
      <c r="L37" s="2">
        <v>99</v>
      </c>
      <c r="M37" s="2">
        <v>1626</v>
      </c>
      <c r="N37" s="2">
        <v>350</v>
      </c>
      <c r="O37" s="2">
        <v>339</v>
      </c>
      <c r="P37" s="2">
        <v>407</v>
      </c>
      <c r="Q37" s="2">
        <v>233</v>
      </c>
      <c r="R37" s="2">
        <v>30</v>
      </c>
      <c r="T37" s="2">
        <v>156</v>
      </c>
      <c r="U37" s="2">
        <v>157</v>
      </c>
      <c r="V37" s="2">
        <v>638</v>
      </c>
      <c r="W37" s="2">
        <v>448</v>
      </c>
      <c r="X37" s="2">
        <v>245</v>
      </c>
      <c r="Y37" s="2">
        <v>118</v>
      </c>
      <c r="Z37" s="2">
        <v>147</v>
      </c>
      <c r="AA37" s="2">
        <v>196</v>
      </c>
      <c r="AB37" s="2">
        <v>28</v>
      </c>
      <c r="AC37" s="2">
        <v>39</v>
      </c>
      <c r="AE37" s="2" t="s">
        <v>1</v>
      </c>
    </row>
    <row r="38" spans="1:31" x14ac:dyDescent="0.2">
      <c r="A38" s="2">
        <v>30</v>
      </c>
      <c r="B38" s="2" t="s">
        <v>401</v>
      </c>
      <c r="C38" s="19">
        <v>31657</v>
      </c>
      <c r="D38" s="2">
        <v>415</v>
      </c>
      <c r="E38" s="17">
        <v>23</v>
      </c>
      <c r="F38" s="2">
        <v>11</v>
      </c>
      <c r="G38" s="2">
        <v>130</v>
      </c>
      <c r="H38" s="2">
        <v>-10</v>
      </c>
      <c r="I38" s="2">
        <v>10</v>
      </c>
      <c r="J38" s="2">
        <v>520</v>
      </c>
      <c r="K38" s="2">
        <v>77</v>
      </c>
      <c r="L38" s="2">
        <v>78</v>
      </c>
      <c r="M38" s="2">
        <v>1627</v>
      </c>
      <c r="N38" s="2">
        <v>351</v>
      </c>
      <c r="O38" s="2">
        <v>340</v>
      </c>
      <c r="P38" s="2">
        <v>407</v>
      </c>
      <c r="Q38" s="2">
        <v>234</v>
      </c>
      <c r="R38" s="2">
        <v>30</v>
      </c>
      <c r="S38" s="2">
        <v>8</v>
      </c>
      <c r="T38" s="2">
        <v>158</v>
      </c>
      <c r="U38" s="2">
        <v>157</v>
      </c>
      <c r="V38" s="2">
        <v>637</v>
      </c>
      <c r="W38" s="2">
        <v>443</v>
      </c>
      <c r="X38" s="2">
        <v>132</v>
      </c>
      <c r="Y38" s="2">
        <v>98</v>
      </c>
      <c r="Z38" s="2">
        <v>239</v>
      </c>
      <c r="AA38" s="2">
        <v>119</v>
      </c>
      <c r="AB38" s="2">
        <v>21</v>
      </c>
      <c r="AC38" s="2">
        <v>24</v>
      </c>
      <c r="AE38" s="2" t="s">
        <v>1</v>
      </c>
    </row>
    <row r="39" spans="1:31" x14ac:dyDescent="0.2">
      <c r="A39" s="2">
        <v>31</v>
      </c>
      <c r="B39" s="2" t="s">
        <v>402</v>
      </c>
      <c r="C39" s="19">
        <v>31657</v>
      </c>
      <c r="D39" s="2">
        <v>430</v>
      </c>
      <c r="E39" s="17">
        <v>23</v>
      </c>
      <c r="F39" s="2">
        <v>11</v>
      </c>
      <c r="G39" s="2">
        <v>130</v>
      </c>
      <c r="H39" s="2">
        <v>-10</v>
      </c>
      <c r="I39" s="2">
        <v>10</v>
      </c>
      <c r="J39" s="2">
        <v>563</v>
      </c>
      <c r="K39" s="2">
        <v>76</v>
      </c>
      <c r="L39" s="2">
        <v>77</v>
      </c>
      <c r="M39" s="2">
        <v>1625</v>
      </c>
      <c r="N39" s="2">
        <v>352</v>
      </c>
      <c r="O39" s="2">
        <v>339</v>
      </c>
      <c r="P39" s="2">
        <v>406</v>
      </c>
      <c r="Q39" s="2">
        <v>232</v>
      </c>
      <c r="R39" s="2">
        <v>30</v>
      </c>
      <c r="T39" s="2">
        <v>158</v>
      </c>
      <c r="U39" s="2">
        <v>157</v>
      </c>
      <c r="V39" s="2">
        <v>678</v>
      </c>
      <c r="W39" s="2">
        <v>601</v>
      </c>
      <c r="X39" s="2">
        <v>379</v>
      </c>
      <c r="Y39" s="2">
        <v>136</v>
      </c>
      <c r="Z39" s="2">
        <v>29</v>
      </c>
      <c r="AA39" s="2">
        <v>391</v>
      </c>
      <c r="AB39" s="2">
        <v>30</v>
      </c>
      <c r="AC39" s="2">
        <v>51</v>
      </c>
      <c r="AE39" s="2" t="s">
        <v>1</v>
      </c>
    </row>
    <row r="40" spans="1:31" x14ac:dyDescent="0.2">
      <c r="A40" s="2">
        <v>32</v>
      </c>
      <c r="B40" s="2" t="s">
        <v>403</v>
      </c>
      <c r="C40" s="19">
        <v>31658</v>
      </c>
      <c r="D40" s="2">
        <v>1500</v>
      </c>
      <c r="E40" s="17">
        <v>23.8</v>
      </c>
      <c r="F40" s="2">
        <v>6</v>
      </c>
      <c r="G40" s="2">
        <v>155</v>
      </c>
      <c r="H40" s="2">
        <v>0</v>
      </c>
      <c r="I40" s="2">
        <v>10</v>
      </c>
      <c r="J40" s="2">
        <v>502</v>
      </c>
      <c r="K40" s="2">
        <v>90</v>
      </c>
      <c r="L40" s="2">
        <v>86</v>
      </c>
      <c r="M40" s="2">
        <v>1626</v>
      </c>
      <c r="N40" s="2">
        <v>350</v>
      </c>
      <c r="O40" s="2">
        <v>339</v>
      </c>
      <c r="P40" s="2">
        <v>405</v>
      </c>
      <c r="Q40" s="2">
        <v>234</v>
      </c>
      <c r="R40" s="2">
        <v>29</v>
      </c>
      <c r="T40" s="2">
        <v>156</v>
      </c>
      <c r="U40" s="2">
        <v>157</v>
      </c>
      <c r="V40" s="2">
        <v>656</v>
      </c>
      <c r="W40" s="2">
        <v>344</v>
      </c>
      <c r="X40" s="2">
        <v>147</v>
      </c>
      <c r="Y40" s="2">
        <v>102</v>
      </c>
      <c r="Z40" s="2">
        <v>29</v>
      </c>
      <c r="AA40" s="2">
        <v>104</v>
      </c>
      <c r="AB40" s="2">
        <v>16</v>
      </c>
      <c r="AC40" s="2">
        <v>16</v>
      </c>
      <c r="AE40" s="2" t="s">
        <v>1</v>
      </c>
    </row>
    <row r="41" spans="1:31" x14ac:dyDescent="0.2">
      <c r="A41" s="2">
        <v>33</v>
      </c>
      <c r="B41" s="2" t="s">
        <v>404</v>
      </c>
      <c r="C41" s="19">
        <v>31658</v>
      </c>
      <c r="D41" s="2">
        <v>1515</v>
      </c>
      <c r="E41" s="17">
        <v>23.8</v>
      </c>
      <c r="F41" s="2">
        <v>6</v>
      </c>
      <c r="G41" s="2">
        <v>235</v>
      </c>
      <c r="H41" s="2">
        <v>0</v>
      </c>
      <c r="I41" s="2">
        <v>10</v>
      </c>
      <c r="J41" s="2">
        <v>542</v>
      </c>
      <c r="K41" s="2">
        <v>85</v>
      </c>
      <c r="L41" s="2">
        <v>83</v>
      </c>
      <c r="M41" s="2">
        <v>1627</v>
      </c>
      <c r="N41" s="2">
        <v>350</v>
      </c>
      <c r="O41" s="2">
        <v>340</v>
      </c>
      <c r="P41" s="2">
        <v>404</v>
      </c>
      <c r="Q41" s="2">
        <v>234</v>
      </c>
      <c r="R41" s="2">
        <v>30</v>
      </c>
      <c r="T41" s="2">
        <v>155</v>
      </c>
      <c r="U41" s="2">
        <v>156</v>
      </c>
      <c r="V41" s="2">
        <v>673</v>
      </c>
      <c r="W41" s="2">
        <v>536</v>
      </c>
      <c r="X41" s="2">
        <v>328</v>
      </c>
      <c r="Y41" s="2">
        <v>153</v>
      </c>
      <c r="Z41" s="2">
        <v>153</v>
      </c>
      <c r="AA41" s="2">
        <v>348</v>
      </c>
      <c r="AB41" s="2">
        <v>23</v>
      </c>
      <c r="AC41" s="2">
        <v>41</v>
      </c>
      <c r="AE41" s="2" t="s">
        <v>1</v>
      </c>
    </row>
    <row r="42" spans="1:31" x14ac:dyDescent="0.2">
      <c r="A42" s="2">
        <v>34</v>
      </c>
      <c r="B42" s="2" t="s">
        <v>405</v>
      </c>
      <c r="C42" s="19">
        <v>31659</v>
      </c>
      <c r="D42" s="2">
        <v>425</v>
      </c>
      <c r="E42" s="17">
        <v>22.8</v>
      </c>
      <c r="F42" s="2">
        <v>2</v>
      </c>
      <c r="G42" s="2">
        <v>235</v>
      </c>
      <c r="H42" s="2">
        <v>0</v>
      </c>
      <c r="I42" s="2">
        <v>10</v>
      </c>
      <c r="J42" s="2">
        <v>533</v>
      </c>
      <c r="K42" s="2">
        <v>77</v>
      </c>
      <c r="L42" s="2">
        <v>78</v>
      </c>
      <c r="M42" s="2">
        <v>1625</v>
      </c>
      <c r="N42" s="2">
        <v>350</v>
      </c>
      <c r="O42" s="2">
        <v>339</v>
      </c>
      <c r="P42" s="2">
        <v>410</v>
      </c>
      <c r="Q42" s="2">
        <v>234</v>
      </c>
      <c r="R42" s="2">
        <v>30</v>
      </c>
      <c r="T42" s="2">
        <v>158</v>
      </c>
      <c r="U42" s="2">
        <v>157</v>
      </c>
      <c r="V42" s="2">
        <v>675</v>
      </c>
      <c r="W42" s="2">
        <v>410</v>
      </c>
      <c r="X42" s="2">
        <v>273</v>
      </c>
      <c r="Y42" s="2">
        <v>118</v>
      </c>
      <c r="Z42" s="2">
        <v>75</v>
      </c>
      <c r="AA42" s="2">
        <v>267</v>
      </c>
      <c r="AB42" s="2">
        <v>21</v>
      </c>
      <c r="AC42" s="2">
        <v>21</v>
      </c>
      <c r="AE42" s="2" t="s">
        <v>1</v>
      </c>
    </row>
    <row r="43" spans="1:31" x14ac:dyDescent="0.2">
      <c r="A43" s="2">
        <v>35</v>
      </c>
      <c r="B43" s="2" t="s">
        <v>406</v>
      </c>
      <c r="C43" s="19">
        <v>31659</v>
      </c>
      <c r="D43" s="2">
        <v>435</v>
      </c>
      <c r="E43" s="17">
        <v>22.8</v>
      </c>
      <c r="F43" s="2">
        <v>2</v>
      </c>
      <c r="G43" s="2">
        <v>235</v>
      </c>
      <c r="H43" s="2">
        <v>0</v>
      </c>
      <c r="I43" s="2">
        <v>10</v>
      </c>
      <c r="J43" s="2">
        <v>579</v>
      </c>
      <c r="K43" s="2">
        <v>76</v>
      </c>
      <c r="L43" s="2">
        <v>75</v>
      </c>
      <c r="M43" s="2">
        <v>1629</v>
      </c>
      <c r="N43" s="2">
        <v>349</v>
      </c>
      <c r="O43" s="2">
        <v>340</v>
      </c>
      <c r="P43" s="2">
        <v>413</v>
      </c>
      <c r="Q43" s="2">
        <v>234</v>
      </c>
      <c r="R43" s="2">
        <v>31</v>
      </c>
      <c r="S43" s="2">
        <v>8</v>
      </c>
      <c r="T43" s="2">
        <v>160</v>
      </c>
      <c r="U43" s="2">
        <v>157</v>
      </c>
      <c r="V43" s="2">
        <v>657</v>
      </c>
      <c r="W43" s="2">
        <v>749</v>
      </c>
      <c r="X43" s="2">
        <v>649</v>
      </c>
      <c r="Y43" s="2">
        <v>140</v>
      </c>
      <c r="Z43" s="2">
        <v>254</v>
      </c>
      <c r="AA43" s="2">
        <v>719</v>
      </c>
      <c r="AB43" s="2">
        <v>22</v>
      </c>
      <c r="AC43" s="2">
        <v>55</v>
      </c>
      <c r="AE43" s="2" t="s">
        <v>1</v>
      </c>
    </row>
    <row r="44" spans="1:31" x14ac:dyDescent="0.2">
      <c r="A44" s="2">
        <v>36</v>
      </c>
      <c r="B44" s="2" t="s">
        <v>407</v>
      </c>
      <c r="C44" s="19">
        <v>31661</v>
      </c>
      <c r="D44" s="2">
        <v>425</v>
      </c>
      <c r="E44" s="17">
        <v>24.9</v>
      </c>
      <c r="F44" s="2">
        <v>12</v>
      </c>
      <c r="G44" s="2">
        <v>225</v>
      </c>
      <c r="H44" s="17">
        <f>5+16/60</f>
        <v>5.2666666666666666</v>
      </c>
      <c r="I44" s="2">
        <v>10</v>
      </c>
      <c r="J44" s="2">
        <v>584</v>
      </c>
      <c r="K44" s="2">
        <v>88</v>
      </c>
      <c r="L44" s="2">
        <v>85</v>
      </c>
      <c r="M44" s="2">
        <v>1631</v>
      </c>
      <c r="N44" s="2">
        <v>350</v>
      </c>
      <c r="O44" s="2">
        <v>340</v>
      </c>
      <c r="P44" s="2">
        <v>409</v>
      </c>
      <c r="Q44" s="2">
        <v>235</v>
      </c>
      <c r="R44" s="2">
        <v>30</v>
      </c>
      <c r="S44" s="2">
        <v>10</v>
      </c>
      <c r="T44" s="2">
        <v>157</v>
      </c>
      <c r="U44" s="2">
        <v>158</v>
      </c>
      <c r="V44" s="2">
        <v>1239</v>
      </c>
      <c r="W44" s="2">
        <v>475</v>
      </c>
      <c r="X44" s="2">
        <v>310</v>
      </c>
      <c r="Y44" s="2">
        <v>131</v>
      </c>
      <c r="Z44" s="2">
        <v>156</v>
      </c>
      <c r="AA44" s="2">
        <v>329</v>
      </c>
      <c r="AB44" s="2">
        <v>22</v>
      </c>
      <c r="AC44" s="2">
        <v>39</v>
      </c>
      <c r="AE44" s="2" t="s">
        <v>1</v>
      </c>
    </row>
    <row r="45" spans="1:31" x14ac:dyDescent="0.2">
      <c r="A45" s="2">
        <v>37</v>
      </c>
      <c r="B45" s="2" t="s">
        <v>408</v>
      </c>
      <c r="C45" s="19">
        <v>31661</v>
      </c>
      <c r="D45" s="2">
        <v>435</v>
      </c>
      <c r="E45" s="17">
        <v>24.9</v>
      </c>
      <c r="F45" s="2">
        <v>12</v>
      </c>
      <c r="G45" s="2">
        <v>225</v>
      </c>
      <c r="H45" s="17">
        <f>5+16/60</f>
        <v>5.2666666666666666</v>
      </c>
      <c r="I45" s="2">
        <v>10</v>
      </c>
      <c r="J45" s="2">
        <v>530</v>
      </c>
      <c r="K45" s="2">
        <v>90</v>
      </c>
      <c r="L45" s="2">
        <v>83</v>
      </c>
      <c r="M45" s="2">
        <v>1626</v>
      </c>
      <c r="N45" s="2">
        <v>350</v>
      </c>
      <c r="O45" s="2">
        <v>340</v>
      </c>
      <c r="P45" s="2">
        <v>411</v>
      </c>
      <c r="Q45" s="2">
        <v>235</v>
      </c>
      <c r="R45" s="2">
        <v>30</v>
      </c>
      <c r="T45" s="2">
        <v>159</v>
      </c>
      <c r="U45" s="2">
        <v>158</v>
      </c>
      <c r="V45" s="2">
        <v>639</v>
      </c>
      <c r="W45" s="2">
        <v>354</v>
      </c>
      <c r="X45" s="2">
        <v>168</v>
      </c>
      <c r="Y45" s="2">
        <v>128</v>
      </c>
      <c r="Z45" s="2">
        <v>154</v>
      </c>
      <c r="AA45" s="2">
        <v>150</v>
      </c>
      <c r="AB45" s="2">
        <v>27</v>
      </c>
      <c r="AC45" s="2">
        <v>42</v>
      </c>
    </row>
    <row r="46" spans="1:31" x14ac:dyDescent="0.2">
      <c r="A46" s="2">
        <v>38</v>
      </c>
      <c r="B46" s="2" t="s">
        <v>409</v>
      </c>
      <c r="C46" s="19">
        <v>31661</v>
      </c>
      <c r="D46" s="2">
        <v>1505</v>
      </c>
      <c r="E46" s="17">
        <v>26</v>
      </c>
      <c r="F46" s="2">
        <v>7</v>
      </c>
      <c r="G46" s="2">
        <v>230</v>
      </c>
      <c r="H46" s="17">
        <f>5+16/60</f>
        <v>5.2666666666666666</v>
      </c>
      <c r="I46" s="2">
        <v>10</v>
      </c>
      <c r="J46" s="2">
        <v>549</v>
      </c>
      <c r="K46" s="2">
        <v>98</v>
      </c>
      <c r="L46" s="2">
        <v>99</v>
      </c>
      <c r="M46" s="2">
        <v>1628</v>
      </c>
      <c r="N46" s="2">
        <v>351</v>
      </c>
      <c r="O46" s="2">
        <v>340</v>
      </c>
      <c r="P46" s="2">
        <v>409</v>
      </c>
      <c r="Q46" s="2">
        <v>236</v>
      </c>
      <c r="R46" s="2">
        <v>31</v>
      </c>
      <c r="T46" s="2">
        <v>160</v>
      </c>
      <c r="U46" s="2">
        <v>158</v>
      </c>
      <c r="V46" s="2">
        <v>633</v>
      </c>
      <c r="W46" s="2">
        <v>371</v>
      </c>
      <c r="X46" s="2">
        <v>199</v>
      </c>
      <c r="Y46" s="2">
        <v>96</v>
      </c>
      <c r="Z46" s="2">
        <v>75</v>
      </c>
      <c r="AA46" s="2">
        <v>207</v>
      </c>
      <c r="AB46" s="2">
        <v>14</v>
      </c>
      <c r="AC46" s="2">
        <v>25</v>
      </c>
    </row>
    <row r="47" spans="1:31" x14ac:dyDescent="0.2">
      <c r="A47" s="2">
        <v>39</v>
      </c>
      <c r="B47" s="2" t="s">
        <v>410</v>
      </c>
      <c r="C47" s="19">
        <v>31661</v>
      </c>
      <c r="D47" s="2">
        <v>1515</v>
      </c>
      <c r="E47" s="17">
        <v>26</v>
      </c>
      <c r="F47" s="2">
        <v>7</v>
      </c>
      <c r="G47" s="2">
        <v>230</v>
      </c>
      <c r="H47" s="17">
        <f>5+16/60</f>
        <v>5.2666666666666666</v>
      </c>
      <c r="I47" s="2">
        <v>10</v>
      </c>
      <c r="J47" s="2">
        <v>660</v>
      </c>
      <c r="K47" s="2">
        <v>107</v>
      </c>
      <c r="L47" s="2">
        <v>109</v>
      </c>
      <c r="M47" s="2">
        <v>1629</v>
      </c>
      <c r="N47" s="2">
        <v>350</v>
      </c>
      <c r="O47" s="2">
        <v>340</v>
      </c>
      <c r="P47" s="2">
        <v>411</v>
      </c>
      <c r="Q47" s="2">
        <v>236</v>
      </c>
      <c r="R47" s="2">
        <v>30</v>
      </c>
      <c r="T47" s="2">
        <v>159</v>
      </c>
      <c r="U47" s="2">
        <v>159</v>
      </c>
      <c r="V47" s="2">
        <v>674</v>
      </c>
      <c r="W47" s="2">
        <v>703</v>
      </c>
      <c r="X47" s="2">
        <v>411</v>
      </c>
      <c r="Y47" s="2">
        <v>112</v>
      </c>
      <c r="Z47" s="2">
        <v>224</v>
      </c>
      <c r="AA47" s="2">
        <v>469</v>
      </c>
      <c r="AB47" s="2">
        <v>25</v>
      </c>
      <c r="AC47" s="2">
        <v>51</v>
      </c>
    </row>
    <row r="48" spans="1:31" x14ac:dyDescent="0.2">
      <c r="A48" s="2">
        <v>40</v>
      </c>
      <c r="B48" s="2" t="s">
        <v>411</v>
      </c>
      <c r="C48" s="19">
        <v>31665</v>
      </c>
      <c r="E48" s="17">
        <v>28.5</v>
      </c>
      <c r="F48" s="2">
        <v>15</v>
      </c>
      <c r="G48" s="2">
        <v>65</v>
      </c>
      <c r="H48" s="17">
        <f>15+26/60</f>
        <v>15.433333333333334</v>
      </c>
      <c r="I48" s="17">
        <f>32+55.5/60</f>
        <v>32.924999999999997</v>
      </c>
      <c r="J48" s="2">
        <v>490</v>
      </c>
      <c r="K48" s="2">
        <v>80</v>
      </c>
      <c r="L48" s="2">
        <v>80</v>
      </c>
      <c r="M48" s="2">
        <v>1680</v>
      </c>
      <c r="N48" s="2">
        <v>345</v>
      </c>
      <c r="O48" s="2">
        <v>340</v>
      </c>
      <c r="P48" s="2">
        <v>428</v>
      </c>
      <c r="Q48" s="2">
        <v>248</v>
      </c>
      <c r="R48" s="2">
        <v>33</v>
      </c>
      <c r="S48" s="2">
        <v>15</v>
      </c>
      <c r="T48" s="2">
        <v>189</v>
      </c>
      <c r="U48" s="2">
        <v>162</v>
      </c>
      <c r="V48" s="2">
        <v>569</v>
      </c>
      <c r="W48" s="2">
        <v>456</v>
      </c>
      <c r="X48" s="2">
        <v>82</v>
      </c>
      <c r="Y48" s="2">
        <v>78</v>
      </c>
      <c r="Z48" s="2">
        <v>54</v>
      </c>
      <c r="AA48" s="2">
        <v>71</v>
      </c>
      <c r="AB48" s="2">
        <v>10</v>
      </c>
      <c r="AC48" s="2">
        <v>5</v>
      </c>
    </row>
    <row r="49" spans="1:29" x14ac:dyDescent="0.2">
      <c r="A49" s="2">
        <v>41</v>
      </c>
      <c r="B49" s="2" t="s">
        <v>412</v>
      </c>
      <c r="C49" s="19">
        <v>31665</v>
      </c>
      <c r="E49" s="17">
        <v>28.5</v>
      </c>
      <c r="F49" s="2">
        <v>15</v>
      </c>
      <c r="G49" s="2">
        <v>65</v>
      </c>
      <c r="H49" s="17">
        <f>15+26/60</f>
        <v>15.433333333333334</v>
      </c>
      <c r="I49" s="17">
        <f>32+55.5/60</f>
        <v>32.924999999999997</v>
      </c>
      <c r="J49" s="2">
        <v>518</v>
      </c>
      <c r="K49" s="2">
        <v>76</v>
      </c>
      <c r="L49" s="2">
        <v>72</v>
      </c>
      <c r="M49" s="2">
        <v>1683</v>
      </c>
      <c r="N49" s="2">
        <v>345</v>
      </c>
      <c r="O49" s="2">
        <v>341</v>
      </c>
      <c r="P49" s="2">
        <v>431</v>
      </c>
      <c r="Q49" s="2">
        <v>247</v>
      </c>
      <c r="R49" s="2">
        <v>34</v>
      </c>
      <c r="S49" s="2">
        <v>12</v>
      </c>
      <c r="T49" s="2">
        <v>190</v>
      </c>
      <c r="U49" s="2">
        <v>162</v>
      </c>
      <c r="V49" s="2">
        <v>584</v>
      </c>
      <c r="W49" s="2">
        <v>548</v>
      </c>
      <c r="X49" s="2">
        <v>256</v>
      </c>
      <c r="Y49" s="2">
        <v>118</v>
      </c>
      <c r="Z49" s="2">
        <v>104</v>
      </c>
      <c r="AA49" s="2">
        <v>248</v>
      </c>
      <c r="AB49" s="2">
        <v>15</v>
      </c>
      <c r="AC49" s="2">
        <v>19</v>
      </c>
    </row>
    <row r="50" spans="1:29" x14ac:dyDescent="0.2">
      <c r="A50" s="2">
        <v>42</v>
      </c>
      <c r="B50" s="2" t="s">
        <v>413</v>
      </c>
      <c r="C50" s="19">
        <v>31674</v>
      </c>
      <c r="D50" s="2">
        <v>400</v>
      </c>
      <c r="E50" s="17">
        <v>25.3</v>
      </c>
      <c r="F50" s="2">
        <v>18</v>
      </c>
      <c r="G50" s="2">
        <v>60</v>
      </c>
      <c r="H50" s="17">
        <f>15+57/60</f>
        <v>15.95</v>
      </c>
      <c r="I50" s="17">
        <f>32+24.3/60</f>
        <v>32.405000000000001</v>
      </c>
      <c r="J50" s="2">
        <v>493</v>
      </c>
      <c r="K50" s="2">
        <v>74</v>
      </c>
      <c r="L50" s="2">
        <v>72</v>
      </c>
      <c r="M50" s="2">
        <v>1693</v>
      </c>
      <c r="N50" s="2">
        <v>346</v>
      </c>
      <c r="O50" s="2">
        <v>339</v>
      </c>
      <c r="P50" s="2">
        <v>432</v>
      </c>
      <c r="Q50" s="2">
        <v>252</v>
      </c>
      <c r="R50" s="2">
        <v>34</v>
      </c>
      <c r="S50" s="2">
        <v>7</v>
      </c>
      <c r="T50" s="2">
        <v>201</v>
      </c>
      <c r="U50" s="2">
        <v>163</v>
      </c>
      <c r="V50" s="2">
        <v>574</v>
      </c>
      <c r="W50" s="2">
        <v>549</v>
      </c>
      <c r="X50" s="2">
        <v>120</v>
      </c>
      <c r="Y50" s="2">
        <v>107</v>
      </c>
      <c r="Z50" s="2">
        <v>64</v>
      </c>
      <c r="AA50" s="2">
        <v>78</v>
      </c>
      <c r="AB50" s="2">
        <v>12</v>
      </c>
      <c r="AC50" s="2">
        <v>5</v>
      </c>
    </row>
    <row r="51" spans="1:29" x14ac:dyDescent="0.2">
      <c r="A51" s="2">
        <v>43</v>
      </c>
      <c r="B51" s="2" t="s">
        <v>414</v>
      </c>
      <c r="C51" s="19">
        <v>31674</v>
      </c>
      <c r="D51" s="2">
        <v>400</v>
      </c>
      <c r="E51" s="17">
        <v>25.3</v>
      </c>
      <c r="F51" s="2">
        <v>18</v>
      </c>
      <c r="G51" s="2">
        <v>60</v>
      </c>
      <c r="H51" s="17">
        <f>15+57/60</f>
        <v>15.95</v>
      </c>
      <c r="I51" s="17">
        <f>32+24.3/60</f>
        <v>32.405000000000001</v>
      </c>
      <c r="J51" s="2">
        <v>493</v>
      </c>
      <c r="K51" s="2">
        <v>73</v>
      </c>
      <c r="L51" s="2">
        <v>70</v>
      </c>
      <c r="M51" s="2">
        <v>1692</v>
      </c>
      <c r="N51" s="2">
        <v>345</v>
      </c>
      <c r="O51" s="2">
        <v>339</v>
      </c>
      <c r="P51" s="2">
        <v>435</v>
      </c>
      <c r="Q51" s="2">
        <v>253</v>
      </c>
      <c r="R51" s="2">
        <v>35</v>
      </c>
      <c r="T51" s="2">
        <v>197</v>
      </c>
      <c r="U51" s="2">
        <v>162</v>
      </c>
      <c r="V51" s="2">
        <v>565</v>
      </c>
      <c r="W51" s="2">
        <v>535</v>
      </c>
      <c r="X51" s="2">
        <v>86</v>
      </c>
      <c r="Y51" s="2">
        <v>101</v>
      </c>
      <c r="Z51" s="2">
        <v>91</v>
      </c>
      <c r="AA51" s="2">
        <v>58</v>
      </c>
      <c r="AB51" s="2">
        <v>20</v>
      </c>
      <c r="AC51" s="2">
        <v>20</v>
      </c>
    </row>
    <row r="52" spans="1:29" x14ac:dyDescent="0.2">
      <c r="A52" s="2">
        <v>44</v>
      </c>
      <c r="B52" s="2" t="s">
        <v>415</v>
      </c>
      <c r="C52" s="19">
        <v>31678</v>
      </c>
      <c r="D52" s="2">
        <v>1550</v>
      </c>
      <c r="E52" s="17">
        <v>28.6</v>
      </c>
      <c r="F52" s="2">
        <v>10</v>
      </c>
      <c r="G52" s="2">
        <v>65</v>
      </c>
      <c r="H52" s="17">
        <f>22+31/60</f>
        <v>22.516666666666666</v>
      </c>
      <c r="I52" s="17">
        <f>60+5.3/60</f>
        <v>60.088333333333331</v>
      </c>
      <c r="J52" s="2">
        <v>481</v>
      </c>
      <c r="K52" s="2">
        <v>86</v>
      </c>
      <c r="L52" s="2">
        <v>81</v>
      </c>
      <c r="M52" s="2">
        <v>1706</v>
      </c>
      <c r="N52" s="2">
        <v>345</v>
      </c>
      <c r="O52" s="2">
        <v>339</v>
      </c>
      <c r="P52" s="2">
        <v>433</v>
      </c>
      <c r="Q52" s="2">
        <v>251</v>
      </c>
      <c r="R52" s="2">
        <v>36</v>
      </c>
      <c r="S52" s="2">
        <v>14</v>
      </c>
      <c r="T52" s="2">
        <v>198</v>
      </c>
      <c r="U52" s="2">
        <v>162</v>
      </c>
      <c r="V52" s="2">
        <v>561</v>
      </c>
      <c r="W52" s="2">
        <v>688</v>
      </c>
      <c r="X52" s="2">
        <v>69</v>
      </c>
      <c r="Y52" s="2">
        <v>115</v>
      </c>
      <c r="Z52" s="2">
        <v>111</v>
      </c>
      <c r="AA52" s="2">
        <v>32</v>
      </c>
      <c r="AB52" s="2">
        <v>11</v>
      </c>
      <c r="AC52" s="2">
        <v>5</v>
      </c>
    </row>
    <row r="53" spans="1:29" x14ac:dyDescent="0.2">
      <c r="A53" s="2">
        <v>45</v>
      </c>
      <c r="B53" s="2" t="s">
        <v>416</v>
      </c>
      <c r="C53" s="19">
        <v>31678</v>
      </c>
      <c r="D53" s="2">
        <v>1550</v>
      </c>
      <c r="E53" s="17">
        <v>28.6</v>
      </c>
      <c r="F53" s="2">
        <v>10</v>
      </c>
      <c r="G53" s="2">
        <v>65</v>
      </c>
      <c r="H53" s="17">
        <f>22+31/60</f>
        <v>22.516666666666666</v>
      </c>
      <c r="I53" s="17">
        <f>60+5.3/60</f>
        <v>60.088333333333331</v>
      </c>
      <c r="J53" s="2">
        <v>479</v>
      </c>
      <c r="K53" s="2">
        <v>90</v>
      </c>
      <c r="L53" s="2">
        <v>89</v>
      </c>
      <c r="M53" s="2">
        <v>1705</v>
      </c>
      <c r="N53" s="2">
        <v>345</v>
      </c>
      <c r="O53" s="2">
        <v>339</v>
      </c>
      <c r="P53" s="2">
        <v>436</v>
      </c>
      <c r="Q53" s="2">
        <v>248</v>
      </c>
      <c r="R53" s="2">
        <v>35</v>
      </c>
      <c r="S53" s="2">
        <v>10</v>
      </c>
      <c r="T53" s="2">
        <v>197</v>
      </c>
      <c r="U53" s="2">
        <v>162</v>
      </c>
      <c r="V53" s="2">
        <v>557</v>
      </c>
      <c r="W53" s="2">
        <v>675</v>
      </c>
      <c r="X53" s="2">
        <v>85</v>
      </c>
      <c r="Y53" s="2">
        <v>116</v>
      </c>
      <c r="Z53" s="2">
        <v>114</v>
      </c>
      <c r="AA53" s="2">
        <v>95</v>
      </c>
      <c r="AB53" s="2">
        <v>21</v>
      </c>
      <c r="AC53" s="2">
        <v>10</v>
      </c>
    </row>
    <row r="54" spans="1:29" x14ac:dyDescent="0.2">
      <c r="A54" s="2">
        <v>46</v>
      </c>
      <c r="B54" s="2" t="s">
        <v>417</v>
      </c>
      <c r="C54" s="19">
        <v>31679</v>
      </c>
      <c r="D54" s="2">
        <v>630</v>
      </c>
      <c r="E54" s="17">
        <v>25.4</v>
      </c>
      <c r="F54" s="2">
        <v>12</v>
      </c>
      <c r="G54" s="2">
        <v>80</v>
      </c>
      <c r="H54" s="17">
        <f>23+24/60</f>
        <v>23.4</v>
      </c>
      <c r="I54" s="17">
        <f>63+32.5/60</f>
        <v>63.541666666666664</v>
      </c>
      <c r="J54" s="2">
        <v>481</v>
      </c>
      <c r="K54" s="2">
        <v>100</v>
      </c>
      <c r="L54" s="2">
        <v>97</v>
      </c>
      <c r="M54" s="2">
        <v>1710</v>
      </c>
      <c r="N54" s="2">
        <v>349</v>
      </c>
      <c r="O54" s="2">
        <v>340</v>
      </c>
      <c r="P54" s="2">
        <v>468</v>
      </c>
      <c r="Q54" s="2">
        <v>252</v>
      </c>
      <c r="R54" s="2">
        <v>34</v>
      </c>
      <c r="S54" s="2">
        <v>18</v>
      </c>
      <c r="T54" s="2">
        <v>244</v>
      </c>
      <c r="U54" s="2">
        <v>162</v>
      </c>
      <c r="V54" s="2">
        <v>559</v>
      </c>
      <c r="W54" s="2">
        <v>725</v>
      </c>
      <c r="X54" s="2">
        <v>571</v>
      </c>
      <c r="Y54" s="2">
        <v>176</v>
      </c>
      <c r="Z54" s="2">
        <v>200</v>
      </c>
      <c r="AA54" s="2">
        <v>237</v>
      </c>
      <c r="AB54" s="2">
        <v>92</v>
      </c>
      <c r="AC54" s="2">
        <v>30</v>
      </c>
    </row>
    <row r="55" spans="1:29" x14ac:dyDescent="0.2">
      <c r="A55" s="2">
        <v>47</v>
      </c>
      <c r="B55" s="2" t="s">
        <v>418</v>
      </c>
      <c r="C55" s="19">
        <v>31679</v>
      </c>
      <c r="D55" s="2">
        <v>630</v>
      </c>
      <c r="E55" s="17">
        <v>25.4</v>
      </c>
      <c r="F55" s="2">
        <v>12</v>
      </c>
      <c r="G55" s="2">
        <v>80</v>
      </c>
      <c r="H55" s="17">
        <f>23+24/60</f>
        <v>23.4</v>
      </c>
      <c r="I55" s="17">
        <f>63+32.5/60</f>
        <v>63.541666666666664</v>
      </c>
      <c r="J55" s="2">
        <v>558</v>
      </c>
      <c r="K55" s="2">
        <v>80</v>
      </c>
      <c r="L55" s="2">
        <v>76</v>
      </c>
      <c r="M55" s="2">
        <v>1711</v>
      </c>
      <c r="N55" s="2">
        <v>345</v>
      </c>
      <c r="O55" s="2">
        <v>341</v>
      </c>
      <c r="P55" s="2">
        <v>435</v>
      </c>
      <c r="Q55" s="2">
        <v>250</v>
      </c>
      <c r="R55" s="2">
        <v>34</v>
      </c>
      <c r="S55" s="2">
        <v>18</v>
      </c>
      <c r="T55" s="2">
        <v>198</v>
      </c>
      <c r="U55" s="2">
        <v>152</v>
      </c>
      <c r="V55" s="2">
        <v>590</v>
      </c>
      <c r="W55" s="2">
        <v>974</v>
      </c>
      <c r="X55" s="2">
        <v>209</v>
      </c>
      <c r="Y55" s="2">
        <v>154</v>
      </c>
      <c r="Z55" s="2">
        <v>270</v>
      </c>
      <c r="AA55" s="2">
        <v>215</v>
      </c>
      <c r="AB55" s="2">
        <v>22</v>
      </c>
      <c r="AC55" s="2">
        <v>36</v>
      </c>
    </row>
    <row r="57" spans="1:29" x14ac:dyDescent="0.2">
      <c r="E57" s="17"/>
    </row>
    <row r="58" spans="1:29" x14ac:dyDescent="0.2">
      <c r="E58" s="17"/>
    </row>
    <row r="59" spans="1:29" x14ac:dyDescent="0.2">
      <c r="E59" s="17"/>
      <c r="J59" s="8" t="s">
        <v>117</v>
      </c>
      <c r="K59" s="8" t="s">
        <v>118</v>
      </c>
      <c r="L59" s="8" t="s">
        <v>118</v>
      </c>
      <c r="M59" s="8" t="s">
        <v>123</v>
      </c>
      <c r="N59" s="8" t="s">
        <v>134</v>
      </c>
      <c r="O59" s="8" t="s">
        <v>138</v>
      </c>
      <c r="P59" s="8" t="s">
        <v>136</v>
      </c>
      <c r="Q59" s="8" t="s">
        <v>130</v>
      </c>
      <c r="R59" s="8" t="s">
        <v>133</v>
      </c>
      <c r="S59" s="8" t="s">
        <v>127</v>
      </c>
      <c r="T59" s="8" t="s">
        <v>121</v>
      </c>
      <c r="U59" s="8" t="s">
        <v>112</v>
      </c>
      <c r="V59" s="8" t="s">
        <v>115</v>
      </c>
      <c r="W59" s="8" t="s">
        <v>126</v>
      </c>
      <c r="X59" s="8" t="s">
        <v>122</v>
      </c>
      <c r="Y59" s="8" t="s">
        <v>113</v>
      </c>
      <c r="Z59" s="8" t="s">
        <v>131</v>
      </c>
      <c r="AA59" s="8" t="s">
        <v>129</v>
      </c>
      <c r="AB59" s="8" t="s">
        <v>149</v>
      </c>
      <c r="AC59" s="8" t="s">
        <v>151</v>
      </c>
    </row>
    <row r="60" spans="1:29" x14ac:dyDescent="0.2">
      <c r="E60" s="17"/>
      <c r="J60" s="8" t="s">
        <v>266</v>
      </c>
      <c r="K60" s="8" t="s">
        <v>266</v>
      </c>
      <c r="L60" s="8" t="s">
        <v>266</v>
      </c>
      <c r="M60" s="8" t="s">
        <v>266</v>
      </c>
      <c r="N60" s="8" t="s">
        <v>371</v>
      </c>
      <c r="O60" s="8" t="s">
        <v>266</v>
      </c>
      <c r="P60" s="8" t="s">
        <v>144</v>
      </c>
      <c r="Q60" s="8" t="s">
        <v>144</v>
      </c>
      <c r="R60" s="8" t="s">
        <v>144</v>
      </c>
      <c r="S60" s="8" t="s">
        <v>144</v>
      </c>
      <c r="T60" s="8" t="s">
        <v>144</v>
      </c>
      <c r="U60" s="8" t="s">
        <v>144</v>
      </c>
      <c r="V60" s="8" t="s">
        <v>144</v>
      </c>
      <c r="W60" s="8" t="s">
        <v>144</v>
      </c>
      <c r="X60" s="8" t="s">
        <v>144</v>
      </c>
      <c r="Y60" s="8" t="s">
        <v>144</v>
      </c>
      <c r="Z60" s="8" t="s">
        <v>144</v>
      </c>
      <c r="AA60" s="8" t="s">
        <v>144</v>
      </c>
      <c r="AB60" s="8" t="s">
        <v>144</v>
      </c>
      <c r="AC60" s="8" t="s">
        <v>144</v>
      </c>
    </row>
    <row r="61" spans="1:29" x14ac:dyDescent="0.2">
      <c r="E61" s="17"/>
    </row>
    <row r="62" spans="1:29" x14ac:dyDescent="0.2">
      <c r="C62" s="7">
        <f>AVERAGE(C9:C55)</f>
        <v>31655.106382978724</v>
      </c>
      <c r="G62" s="2" t="s">
        <v>363</v>
      </c>
      <c r="H62" s="4">
        <f t="shared" ref="H62:AC62" si="0">AVERAGE(H9:H55)</f>
        <v>0.90560283687943288</v>
      </c>
      <c r="I62" s="4">
        <f t="shared" si="0"/>
        <v>24.095709219858158</v>
      </c>
      <c r="J62" s="4">
        <f t="shared" si="0"/>
        <v>519.304347826087</v>
      </c>
      <c r="K62" s="4">
        <f t="shared" si="0"/>
        <v>83.847826086956516</v>
      </c>
      <c r="L62" s="4">
        <f t="shared" si="0"/>
        <v>82.608695652173907</v>
      </c>
      <c r="M62" s="4">
        <f t="shared" si="0"/>
        <v>1637.8260869565217</v>
      </c>
      <c r="N62" s="4">
        <f t="shared" si="0"/>
        <v>350.04347826086956</v>
      </c>
      <c r="O62" s="4">
        <f t="shared" si="0"/>
        <v>339.52173913043481</v>
      </c>
      <c r="P62" s="4">
        <f t="shared" si="0"/>
        <v>415</v>
      </c>
      <c r="Q62" s="4">
        <f t="shared" si="0"/>
        <v>236.58695652173913</v>
      </c>
      <c r="R62" s="4">
        <f t="shared" si="0"/>
        <v>30.760869565217391</v>
      </c>
      <c r="S62" s="4">
        <f t="shared" si="0"/>
        <v>16.600000000000001</v>
      </c>
      <c r="T62" s="4">
        <f t="shared" si="0"/>
        <v>169.10869565217391</v>
      </c>
      <c r="U62" s="4">
        <f t="shared" si="0"/>
        <v>157.93478260869566</v>
      </c>
      <c r="V62" s="4">
        <f t="shared" si="0"/>
        <v>643.63043478260875</v>
      </c>
      <c r="W62" s="4">
        <f t="shared" si="0"/>
        <v>453.47826086956519</v>
      </c>
      <c r="X62" s="4">
        <f t="shared" si="0"/>
        <v>180.34782608695653</v>
      </c>
      <c r="Y62" s="4">
        <f t="shared" si="0"/>
        <v>123.73913043478261</v>
      </c>
      <c r="Z62" s="4">
        <f t="shared" si="0"/>
        <v>167.19565217391303</v>
      </c>
      <c r="AA62" s="4">
        <f t="shared" si="0"/>
        <v>166.02173913043478</v>
      </c>
      <c r="AB62" s="4">
        <f t="shared" si="0"/>
        <v>27.391304347826086</v>
      </c>
      <c r="AC62" s="4">
        <f t="shared" si="0"/>
        <v>39.043478260869563</v>
      </c>
    </row>
    <row r="63" spans="1:29" x14ac:dyDescent="0.2">
      <c r="C63" s="4"/>
      <c r="G63" s="2" t="s">
        <v>364</v>
      </c>
      <c r="H63" s="4">
        <f t="shared" ref="H63:AC63" si="1">STDEV(H9:H55)</f>
        <v>10.367105042373463</v>
      </c>
      <c r="I63" s="4">
        <f t="shared" si="1"/>
        <v>14.445750318479485</v>
      </c>
      <c r="J63" s="4">
        <f t="shared" si="1"/>
        <v>33.087002862968809</v>
      </c>
      <c r="K63" s="4">
        <f t="shared" si="1"/>
        <v>20.046576201219612</v>
      </c>
      <c r="L63" s="4">
        <f t="shared" si="1"/>
        <v>20.335495252138774</v>
      </c>
      <c r="M63" s="4">
        <f t="shared" si="1"/>
        <v>28.387246234748986</v>
      </c>
      <c r="N63" s="4">
        <f t="shared" si="1"/>
        <v>2.4581521672375546</v>
      </c>
      <c r="O63" s="4">
        <f t="shared" si="1"/>
        <v>0.78142691233644557</v>
      </c>
      <c r="P63" s="4">
        <f t="shared" si="1"/>
        <v>16.366632722300171</v>
      </c>
      <c r="Q63" s="4">
        <f t="shared" si="1"/>
        <v>6.6318292665214074</v>
      </c>
      <c r="R63" s="4">
        <f t="shared" si="1"/>
        <v>1.8877945110477539</v>
      </c>
      <c r="S63" s="4">
        <f t="shared" si="1"/>
        <v>23.433187698524623</v>
      </c>
      <c r="T63" s="4">
        <f t="shared" si="1"/>
        <v>18.084036251615842</v>
      </c>
      <c r="U63" s="4">
        <f t="shared" si="1"/>
        <v>2.4440601366764318</v>
      </c>
      <c r="V63" s="4">
        <f t="shared" si="1"/>
        <v>96.514905859872769</v>
      </c>
      <c r="W63" s="4">
        <f t="shared" si="1"/>
        <v>144.96493662345227</v>
      </c>
      <c r="X63" s="4">
        <f t="shared" si="1"/>
        <v>133.65913817390603</v>
      </c>
      <c r="Y63" s="4">
        <f t="shared" si="1"/>
        <v>27.18777076604578</v>
      </c>
      <c r="Z63" s="4">
        <f t="shared" si="1"/>
        <v>207.58747763187745</v>
      </c>
      <c r="AA63" s="4">
        <f t="shared" si="1"/>
        <v>139.66364183366244</v>
      </c>
      <c r="AB63" s="4">
        <f t="shared" si="1"/>
        <v>19.307428922417476</v>
      </c>
      <c r="AC63" s="4">
        <f t="shared" si="1"/>
        <v>46.263475644875207</v>
      </c>
    </row>
    <row r="64" spans="1:29" x14ac:dyDescent="0.2">
      <c r="G64" s="2" t="s">
        <v>365</v>
      </c>
      <c r="H64" s="2">
        <f t="shared" ref="H64:AC64" si="2">COUNTA(H9:H55)</f>
        <v>47</v>
      </c>
      <c r="I64" s="2">
        <f t="shared" si="2"/>
        <v>47</v>
      </c>
      <c r="J64" s="2">
        <f t="shared" si="2"/>
        <v>46</v>
      </c>
      <c r="K64" s="2">
        <f t="shared" si="2"/>
        <v>46</v>
      </c>
      <c r="L64" s="2">
        <f t="shared" si="2"/>
        <v>46</v>
      </c>
      <c r="M64" s="2">
        <f t="shared" si="2"/>
        <v>46</v>
      </c>
      <c r="N64" s="2">
        <f t="shared" si="2"/>
        <v>46</v>
      </c>
      <c r="O64" s="2">
        <f t="shared" si="2"/>
        <v>46</v>
      </c>
      <c r="P64" s="2">
        <f t="shared" si="2"/>
        <v>46</v>
      </c>
      <c r="Q64" s="2">
        <f t="shared" si="2"/>
        <v>46</v>
      </c>
      <c r="R64" s="2">
        <f t="shared" si="2"/>
        <v>46</v>
      </c>
      <c r="S64" s="2">
        <f t="shared" si="2"/>
        <v>15</v>
      </c>
      <c r="T64" s="2">
        <f t="shared" si="2"/>
        <v>46</v>
      </c>
      <c r="U64" s="2">
        <f t="shared" si="2"/>
        <v>46</v>
      </c>
      <c r="V64" s="2">
        <f t="shared" si="2"/>
        <v>46</v>
      </c>
      <c r="W64" s="2">
        <f t="shared" si="2"/>
        <v>46</v>
      </c>
      <c r="X64" s="2">
        <f t="shared" si="2"/>
        <v>46</v>
      </c>
      <c r="Y64" s="2">
        <f t="shared" si="2"/>
        <v>46</v>
      </c>
      <c r="Z64" s="2">
        <f t="shared" si="2"/>
        <v>46</v>
      </c>
      <c r="AA64" s="2">
        <f t="shared" si="2"/>
        <v>46</v>
      </c>
      <c r="AB64" s="2">
        <f t="shared" si="2"/>
        <v>46</v>
      </c>
      <c r="AC64" s="2">
        <f t="shared" si="2"/>
        <v>46</v>
      </c>
    </row>
    <row r="66" spans="7:29" x14ac:dyDescent="0.2">
      <c r="G66" s="2" t="s">
        <v>419</v>
      </c>
      <c r="H66" s="2">
        <f t="shared" ref="H66:AC66" si="3">MAX(H9:H55)</f>
        <v>23.4</v>
      </c>
      <c r="I66" s="17">
        <f t="shared" si="3"/>
        <v>63.541666666666664</v>
      </c>
      <c r="J66" s="4">
        <f t="shared" si="3"/>
        <v>660</v>
      </c>
      <c r="K66" s="4">
        <f t="shared" si="3"/>
        <v>131</v>
      </c>
      <c r="L66" s="4">
        <f t="shared" si="3"/>
        <v>127</v>
      </c>
      <c r="M66" s="4">
        <f t="shared" si="3"/>
        <v>1711</v>
      </c>
      <c r="N66" s="4">
        <f t="shared" si="3"/>
        <v>354</v>
      </c>
      <c r="O66" s="4">
        <f t="shared" si="3"/>
        <v>341</v>
      </c>
      <c r="P66" s="4">
        <f t="shared" si="3"/>
        <v>471</v>
      </c>
      <c r="Q66" s="4">
        <f t="shared" si="3"/>
        <v>253</v>
      </c>
      <c r="R66" s="4">
        <f t="shared" si="3"/>
        <v>36</v>
      </c>
      <c r="S66" s="4">
        <f t="shared" si="3"/>
        <v>100</v>
      </c>
      <c r="T66" s="4">
        <f t="shared" si="3"/>
        <v>244</v>
      </c>
      <c r="U66" s="4">
        <f t="shared" si="3"/>
        <v>164</v>
      </c>
      <c r="V66" s="4">
        <f t="shared" si="3"/>
        <v>1239</v>
      </c>
      <c r="W66" s="4">
        <f t="shared" si="3"/>
        <v>974</v>
      </c>
      <c r="X66" s="4">
        <f t="shared" si="3"/>
        <v>649</v>
      </c>
      <c r="Y66" s="4">
        <f t="shared" si="3"/>
        <v>188</v>
      </c>
      <c r="Z66" s="4">
        <f t="shared" si="3"/>
        <v>1390</v>
      </c>
      <c r="AA66" s="4">
        <f t="shared" si="3"/>
        <v>719</v>
      </c>
      <c r="AB66" s="4">
        <f t="shared" si="3"/>
        <v>109</v>
      </c>
      <c r="AC66" s="4">
        <f t="shared" si="3"/>
        <v>301</v>
      </c>
    </row>
    <row r="67" spans="7:29" x14ac:dyDescent="0.2">
      <c r="G67" s="2" t="s">
        <v>420</v>
      </c>
      <c r="H67" s="2">
        <f t="shared" ref="H67:AC67" si="4">MIN(H9:H55)</f>
        <v>-10</v>
      </c>
      <c r="I67" s="2">
        <f t="shared" si="4"/>
        <v>10</v>
      </c>
      <c r="J67" s="4">
        <f t="shared" si="4"/>
        <v>479</v>
      </c>
      <c r="K67" s="4">
        <f t="shared" si="4"/>
        <v>45</v>
      </c>
      <c r="L67" s="4">
        <f t="shared" si="4"/>
        <v>44</v>
      </c>
      <c r="M67" s="4">
        <f t="shared" si="4"/>
        <v>1616</v>
      </c>
      <c r="N67" s="4">
        <f t="shared" si="4"/>
        <v>345</v>
      </c>
      <c r="O67" s="4">
        <f t="shared" si="4"/>
        <v>337</v>
      </c>
      <c r="P67" s="4">
        <f t="shared" si="4"/>
        <v>402</v>
      </c>
      <c r="Q67" s="4">
        <f t="shared" si="4"/>
        <v>228</v>
      </c>
      <c r="R67" s="4">
        <f t="shared" si="4"/>
        <v>29</v>
      </c>
      <c r="S67" s="4">
        <f t="shared" si="4"/>
        <v>5</v>
      </c>
      <c r="T67" s="4">
        <f t="shared" si="4"/>
        <v>155</v>
      </c>
      <c r="U67" s="4">
        <f t="shared" si="4"/>
        <v>152</v>
      </c>
      <c r="V67" s="4">
        <f t="shared" si="4"/>
        <v>557</v>
      </c>
      <c r="W67" s="4">
        <f t="shared" si="4"/>
        <v>292</v>
      </c>
      <c r="X67" s="4">
        <f t="shared" si="4"/>
        <v>52</v>
      </c>
      <c r="Y67" s="4">
        <f t="shared" si="4"/>
        <v>73</v>
      </c>
      <c r="Z67" s="4">
        <f t="shared" si="4"/>
        <v>29</v>
      </c>
      <c r="AA67" s="4">
        <f t="shared" si="4"/>
        <v>32</v>
      </c>
      <c r="AB67" s="4">
        <f t="shared" si="4"/>
        <v>10</v>
      </c>
      <c r="AC67" s="4">
        <f t="shared" si="4"/>
        <v>5</v>
      </c>
    </row>
  </sheetData>
  <pageMargins left="0.5" right="0.5" top="0.75" bottom="0.75" header="0.5" footer="0.5"/>
  <pageSetup orientation="portrait" horizontalDpi="0" verticalDpi="0" copies="0"/>
  <headerFooter alignWithMargins="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8"/>
  <sheetViews>
    <sheetView showOutlineSymbols="0" defaultGridColor="0" colorId="9" workbookViewId="0">
      <selection activeCell="A3" sqref="A3"/>
    </sheetView>
  </sheetViews>
  <sheetFormatPr defaultColWidth="8.6640625" defaultRowHeight="15" x14ac:dyDescent="0.2"/>
  <cols>
    <col min="1" max="16384" width="8.6640625" style="2"/>
  </cols>
  <sheetData>
    <row r="1" spans="1:23" ht="18" x14ac:dyDescent="0.25">
      <c r="A1" s="18" t="s">
        <v>1709</v>
      </c>
      <c r="W1" s="2" t="s">
        <v>1</v>
      </c>
    </row>
    <row r="2" spans="1:23" x14ac:dyDescent="0.2">
      <c r="W2" s="2" t="s">
        <v>1</v>
      </c>
    </row>
    <row r="3" spans="1:23" x14ac:dyDescent="0.2">
      <c r="W3" s="2" t="s">
        <v>1</v>
      </c>
    </row>
    <row r="4" spans="1:23" x14ac:dyDescent="0.2">
      <c r="W4" s="2" t="s">
        <v>1</v>
      </c>
    </row>
    <row r="5" spans="1:23" x14ac:dyDescent="0.2">
      <c r="W5" s="2" t="s">
        <v>1</v>
      </c>
    </row>
    <row r="6" spans="1:23" x14ac:dyDescent="0.2">
      <c r="A6" s="21" t="s">
        <v>253</v>
      </c>
      <c r="B6" s="8" t="s">
        <v>286</v>
      </c>
      <c r="C6" s="8" t="s">
        <v>287</v>
      </c>
      <c r="D6" s="8" t="s">
        <v>117</v>
      </c>
      <c r="E6" s="8" t="s">
        <v>118</v>
      </c>
      <c r="F6" s="8" t="s">
        <v>123</v>
      </c>
      <c r="G6" s="8" t="s">
        <v>134</v>
      </c>
      <c r="H6" s="8" t="s">
        <v>138</v>
      </c>
      <c r="I6" s="8" t="s">
        <v>136</v>
      </c>
      <c r="J6" s="8" t="s">
        <v>130</v>
      </c>
      <c r="K6" s="8" t="s">
        <v>133</v>
      </c>
      <c r="L6" s="8" t="s">
        <v>121</v>
      </c>
      <c r="M6" s="8" t="s">
        <v>148</v>
      </c>
      <c r="N6" s="8" t="s">
        <v>115</v>
      </c>
      <c r="O6" s="8" t="s">
        <v>126</v>
      </c>
      <c r="P6" s="8" t="s">
        <v>122</v>
      </c>
      <c r="Q6" s="8" t="s">
        <v>113</v>
      </c>
      <c r="R6" s="8" t="s">
        <v>131</v>
      </c>
      <c r="S6" s="8" t="s">
        <v>129</v>
      </c>
      <c r="T6" s="8" t="s">
        <v>149</v>
      </c>
      <c r="U6" s="8" t="s">
        <v>151</v>
      </c>
      <c r="W6" s="2" t="s">
        <v>1</v>
      </c>
    </row>
    <row r="7" spans="1:23" x14ac:dyDescent="0.2">
      <c r="C7" s="15" t="s">
        <v>291</v>
      </c>
      <c r="D7" s="8" t="s">
        <v>266</v>
      </c>
      <c r="E7" s="8" t="s">
        <v>266</v>
      </c>
      <c r="F7" s="8" t="s">
        <v>266</v>
      </c>
      <c r="G7" s="8" t="s">
        <v>371</v>
      </c>
      <c r="H7" s="8" t="s">
        <v>266</v>
      </c>
      <c r="I7" s="8" t="s">
        <v>144</v>
      </c>
      <c r="J7" s="8" t="s">
        <v>144</v>
      </c>
      <c r="K7" s="8" t="s">
        <v>144</v>
      </c>
      <c r="L7" s="8" t="s">
        <v>144</v>
      </c>
      <c r="M7" s="8" t="s">
        <v>144</v>
      </c>
      <c r="N7" s="8" t="s">
        <v>144</v>
      </c>
      <c r="O7" s="8" t="s">
        <v>144</v>
      </c>
      <c r="P7" s="8" t="s">
        <v>144</v>
      </c>
      <c r="Q7" s="8" t="s">
        <v>144</v>
      </c>
      <c r="R7" s="8" t="s">
        <v>144</v>
      </c>
      <c r="S7" s="8" t="s">
        <v>144</v>
      </c>
      <c r="T7" s="8" t="s">
        <v>144</v>
      </c>
      <c r="U7" s="8" t="s">
        <v>144</v>
      </c>
      <c r="W7" s="2" t="s">
        <v>1</v>
      </c>
    </row>
    <row r="8" spans="1:23" x14ac:dyDescent="0.2">
      <c r="W8" s="2" t="s">
        <v>1</v>
      </c>
    </row>
    <row r="9" spans="1:23" x14ac:dyDescent="0.2">
      <c r="A9" s="7">
        <f>DATE(85,2,25)</f>
        <v>31103</v>
      </c>
      <c r="B9" s="2">
        <v>1255</v>
      </c>
      <c r="C9" s="17">
        <v>-5.2</v>
      </c>
      <c r="D9" s="2">
        <v>535</v>
      </c>
      <c r="E9" s="2">
        <v>205</v>
      </c>
      <c r="F9" s="2">
        <v>1735</v>
      </c>
      <c r="G9" s="2">
        <v>353</v>
      </c>
      <c r="H9" s="4">
        <v>339</v>
      </c>
      <c r="I9" s="4">
        <v>403.5</v>
      </c>
      <c r="J9" s="2">
        <v>237</v>
      </c>
      <c r="K9" s="17">
        <v>31.8</v>
      </c>
      <c r="L9" s="4">
        <v>194.5</v>
      </c>
      <c r="M9" s="2">
        <v>91</v>
      </c>
      <c r="N9" s="2">
        <v>780</v>
      </c>
      <c r="O9" s="2">
        <v>1310</v>
      </c>
      <c r="P9" s="2">
        <v>709</v>
      </c>
      <c r="Q9" s="2">
        <v>698</v>
      </c>
      <c r="R9" s="2">
        <v>1290</v>
      </c>
      <c r="S9" s="2">
        <v>639</v>
      </c>
      <c r="T9" s="2">
        <v>363</v>
      </c>
      <c r="U9" s="2">
        <v>634</v>
      </c>
      <c r="W9" s="2" t="s">
        <v>1</v>
      </c>
    </row>
    <row r="10" spans="1:23" x14ac:dyDescent="0.2">
      <c r="A10" s="7">
        <f>DATE(85,2,27)</f>
        <v>31105</v>
      </c>
      <c r="B10" s="2">
        <v>1455</v>
      </c>
      <c r="C10" s="17">
        <v>-3.5</v>
      </c>
      <c r="D10" s="2">
        <v>542</v>
      </c>
      <c r="E10" s="2">
        <v>143</v>
      </c>
      <c r="F10" s="2">
        <v>1702</v>
      </c>
      <c r="G10" s="2">
        <v>350</v>
      </c>
      <c r="H10" s="4">
        <v>342.5</v>
      </c>
      <c r="I10" s="4">
        <v>410.5</v>
      </c>
      <c r="J10" s="2">
        <v>234</v>
      </c>
      <c r="K10" s="17">
        <v>31.5</v>
      </c>
      <c r="L10" s="4">
        <v>192</v>
      </c>
      <c r="M10" s="2">
        <v>90</v>
      </c>
      <c r="N10" s="2">
        <v>651</v>
      </c>
      <c r="O10" s="2">
        <v>2230</v>
      </c>
      <c r="P10" s="2">
        <v>399</v>
      </c>
      <c r="Q10" s="2">
        <v>503</v>
      </c>
      <c r="R10" s="2">
        <v>704</v>
      </c>
      <c r="S10" s="2">
        <v>508</v>
      </c>
      <c r="T10" s="2">
        <v>268</v>
      </c>
      <c r="U10" s="2">
        <v>538</v>
      </c>
      <c r="W10" s="2" t="s">
        <v>1</v>
      </c>
    </row>
    <row r="11" spans="1:23" x14ac:dyDescent="0.2">
      <c r="A11" s="7">
        <f>DATE(85,2,28)</f>
        <v>31106</v>
      </c>
      <c r="B11" s="2">
        <v>1030</v>
      </c>
      <c r="C11" s="17">
        <v>3</v>
      </c>
      <c r="D11" s="2">
        <v>510</v>
      </c>
      <c r="E11" s="2">
        <v>167</v>
      </c>
      <c r="F11" s="2">
        <v>1711</v>
      </c>
      <c r="G11" s="2">
        <v>350</v>
      </c>
      <c r="H11" s="4">
        <v>339.5</v>
      </c>
      <c r="I11" s="4">
        <v>397</v>
      </c>
      <c r="J11" s="2">
        <v>236</v>
      </c>
      <c r="K11" s="17">
        <v>31.5</v>
      </c>
      <c r="L11" s="4">
        <v>198</v>
      </c>
      <c r="M11" s="2">
        <v>90</v>
      </c>
      <c r="N11" s="2">
        <v>686</v>
      </c>
      <c r="O11" s="2">
        <v>2270</v>
      </c>
      <c r="P11" s="2">
        <v>209</v>
      </c>
      <c r="Q11" s="2">
        <v>567</v>
      </c>
      <c r="R11" s="2">
        <v>937</v>
      </c>
      <c r="S11" s="2">
        <v>247</v>
      </c>
      <c r="T11" s="2">
        <v>231</v>
      </c>
      <c r="U11" s="2">
        <v>403</v>
      </c>
      <c r="W11" s="2" t="s">
        <v>1</v>
      </c>
    </row>
    <row r="12" spans="1:23" x14ac:dyDescent="0.2">
      <c r="A12" s="7">
        <f>DATE(85,3,4)</f>
        <v>31110</v>
      </c>
      <c r="B12" s="2">
        <v>900</v>
      </c>
      <c r="C12" s="17">
        <v>-7.3</v>
      </c>
      <c r="D12" s="2">
        <v>521</v>
      </c>
      <c r="E12" s="2">
        <v>184</v>
      </c>
      <c r="F12" s="2">
        <v>1715</v>
      </c>
      <c r="G12" s="2">
        <v>354</v>
      </c>
      <c r="H12" s="4">
        <v>340</v>
      </c>
      <c r="I12" s="4">
        <v>403</v>
      </c>
      <c r="J12" s="2">
        <v>233</v>
      </c>
      <c r="K12" s="17">
        <v>32.5</v>
      </c>
      <c r="L12" s="4">
        <v>202</v>
      </c>
      <c r="M12" s="2">
        <v>91</v>
      </c>
      <c r="N12" s="2">
        <v>643</v>
      </c>
      <c r="O12" s="2">
        <v>2690</v>
      </c>
      <c r="P12" s="2">
        <v>309</v>
      </c>
      <c r="Q12" s="2">
        <v>645</v>
      </c>
      <c r="R12" s="2">
        <v>971</v>
      </c>
      <c r="S12" s="2">
        <v>441</v>
      </c>
      <c r="T12" s="2">
        <v>261</v>
      </c>
      <c r="U12" s="2">
        <v>459</v>
      </c>
      <c r="W12" s="2" t="s">
        <v>1</v>
      </c>
    </row>
    <row r="13" spans="1:23" x14ac:dyDescent="0.2">
      <c r="A13" s="7">
        <f>DATE(85,3,6)</f>
        <v>31112</v>
      </c>
      <c r="B13" s="2">
        <v>950</v>
      </c>
      <c r="C13" s="17">
        <v>2.6</v>
      </c>
      <c r="D13" s="2">
        <v>552</v>
      </c>
      <c r="E13" s="2">
        <v>285</v>
      </c>
      <c r="F13" s="2">
        <v>1796</v>
      </c>
      <c r="G13" s="2">
        <v>357</v>
      </c>
      <c r="H13" s="4">
        <v>337.5</v>
      </c>
      <c r="I13" s="4">
        <v>420</v>
      </c>
      <c r="J13" s="2">
        <v>256</v>
      </c>
      <c r="K13" s="17">
        <v>37</v>
      </c>
      <c r="L13" s="4">
        <v>226</v>
      </c>
      <c r="M13" s="2">
        <v>99</v>
      </c>
      <c r="N13" s="2">
        <v>668</v>
      </c>
      <c r="O13" s="2">
        <v>4080</v>
      </c>
      <c r="P13" s="2">
        <v>616</v>
      </c>
      <c r="Q13" s="2">
        <v>1510</v>
      </c>
      <c r="R13" s="2">
        <v>1700</v>
      </c>
      <c r="S13" s="2">
        <v>234</v>
      </c>
      <c r="T13" s="2">
        <v>541</v>
      </c>
      <c r="U13" s="2">
        <v>895</v>
      </c>
      <c r="W13" s="2" t="s">
        <v>1</v>
      </c>
    </row>
    <row r="14" spans="1:23" x14ac:dyDescent="0.2">
      <c r="A14" s="7">
        <f>DATE(85,3,8)</f>
        <v>31114</v>
      </c>
      <c r="B14" s="2">
        <v>1300</v>
      </c>
      <c r="C14" s="17">
        <v>0.3</v>
      </c>
      <c r="D14" s="2">
        <v>509</v>
      </c>
      <c r="E14" s="2">
        <v>163</v>
      </c>
      <c r="F14" s="2">
        <v>1730</v>
      </c>
      <c r="G14" s="2">
        <v>352</v>
      </c>
      <c r="H14" s="4">
        <v>343.5</v>
      </c>
      <c r="I14" s="4">
        <v>407</v>
      </c>
      <c r="J14" s="2">
        <v>239</v>
      </c>
      <c r="K14" s="17">
        <v>32.6</v>
      </c>
      <c r="L14" s="4">
        <v>195.5</v>
      </c>
      <c r="M14" s="2">
        <v>89</v>
      </c>
      <c r="N14" s="2">
        <v>618</v>
      </c>
      <c r="O14" s="2">
        <v>2660</v>
      </c>
      <c r="P14" s="2">
        <v>265</v>
      </c>
      <c r="Q14" s="2">
        <v>685</v>
      </c>
      <c r="R14" s="2">
        <v>1100</v>
      </c>
      <c r="S14" s="2">
        <v>254</v>
      </c>
      <c r="T14" s="2">
        <v>305</v>
      </c>
      <c r="U14" s="2">
        <v>522</v>
      </c>
      <c r="W14" s="2" t="s">
        <v>1</v>
      </c>
    </row>
    <row r="15" spans="1:23" x14ac:dyDescent="0.2">
      <c r="A15" s="7">
        <f>DATE(85,3,11)</f>
        <v>31117</v>
      </c>
      <c r="B15" s="2">
        <v>1430</v>
      </c>
      <c r="C15" s="17">
        <v>-11</v>
      </c>
      <c r="D15" s="2">
        <v>500</v>
      </c>
      <c r="E15" s="2">
        <v>160</v>
      </c>
      <c r="F15" s="2">
        <v>1729</v>
      </c>
      <c r="G15" s="2">
        <v>351</v>
      </c>
      <c r="H15" s="4">
        <v>339</v>
      </c>
      <c r="I15" s="4">
        <v>404</v>
      </c>
      <c r="J15" s="2">
        <v>234</v>
      </c>
      <c r="K15" s="17">
        <v>31</v>
      </c>
      <c r="L15" s="4">
        <v>196</v>
      </c>
      <c r="M15" s="2">
        <v>90</v>
      </c>
      <c r="N15" s="2">
        <v>740</v>
      </c>
      <c r="O15" s="2">
        <v>2760</v>
      </c>
      <c r="P15" s="2">
        <v>262</v>
      </c>
      <c r="Q15" s="2">
        <v>685</v>
      </c>
      <c r="R15" s="2">
        <v>1060</v>
      </c>
      <c r="S15" s="2">
        <v>288</v>
      </c>
      <c r="T15" s="2">
        <v>300</v>
      </c>
      <c r="U15" s="2">
        <v>508</v>
      </c>
      <c r="W15" s="2" t="s">
        <v>1</v>
      </c>
    </row>
    <row r="16" spans="1:23" x14ac:dyDescent="0.2">
      <c r="A16" s="7">
        <f>DATE(85,3,13)</f>
        <v>31119</v>
      </c>
      <c r="B16" s="2">
        <v>1930</v>
      </c>
      <c r="C16" s="17">
        <v>-17</v>
      </c>
      <c r="D16" s="2">
        <v>635</v>
      </c>
      <c r="E16" s="2">
        <v>206</v>
      </c>
      <c r="F16" s="2">
        <v>1741</v>
      </c>
      <c r="G16" s="2">
        <v>362</v>
      </c>
      <c r="H16" s="4">
        <v>343</v>
      </c>
      <c r="I16" s="4">
        <v>418</v>
      </c>
      <c r="J16" s="2">
        <v>237</v>
      </c>
      <c r="K16" s="17">
        <v>34.4</v>
      </c>
      <c r="L16" s="4">
        <v>227</v>
      </c>
      <c r="M16" s="2">
        <v>90</v>
      </c>
      <c r="N16" s="2">
        <v>647</v>
      </c>
      <c r="O16" s="2">
        <v>2670</v>
      </c>
      <c r="P16" s="2">
        <v>318</v>
      </c>
      <c r="Q16" s="2">
        <v>842</v>
      </c>
      <c r="R16" s="2">
        <v>1260</v>
      </c>
      <c r="S16" s="2">
        <v>278</v>
      </c>
      <c r="T16" s="2">
        <v>1640</v>
      </c>
      <c r="U16" s="2">
        <v>3900</v>
      </c>
      <c r="W16" s="2" t="s">
        <v>1</v>
      </c>
    </row>
    <row r="17" spans="1:23" x14ac:dyDescent="0.2">
      <c r="A17" s="7">
        <f>DATE(85,3,15)</f>
        <v>31121</v>
      </c>
      <c r="B17" s="2">
        <v>1930</v>
      </c>
      <c r="C17" s="17">
        <v>-21.1</v>
      </c>
      <c r="D17" s="2">
        <v>503</v>
      </c>
      <c r="E17" s="2">
        <v>174</v>
      </c>
      <c r="F17" s="2">
        <v>1729</v>
      </c>
      <c r="G17" s="2">
        <v>351</v>
      </c>
      <c r="H17" s="4">
        <v>343</v>
      </c>
      <c r="I17" s="4">
        <v>412</v>
      </c>
      <c r="J17" s="2">
        <v>236</v>
      </c>
      <c r="K17" s="17">
        <v>32.1</v>
      </c>
      <c r="L17" s="4">
        <v>196</v>
      </c>
      <c r="M17" s="2">
        <v>93</v>
      </c>
      <c r="N17" s="2">
        <v>657</v>
      </c>
      <c r="O17" s="2">
        <v>2310</v>
      </c>
      <c r="P17" s="2">
        <v>153</v>
      </c>
      <c r="Q17" s="2">
        <v>653</v>
      </c>
      <c r="R17" s="2">
        <v>1060</v>
      </c>
      <c r="S17" s="2">
        <v>156</v>
      </c>
      <c r="T17" s="2">
        <v>297</v>
      </c>
      <c r="U17" s="2">
        <v>517</v>
      </c>
      <c r="W17" s="2" t="s">
        <v>1</v>
      </c>
    </row>
    <row r="18" spans="1:23" x14ac:dyDescent="0.2">
      <c r="A18" s="7">
        <f>DATE(85,3,18)</f>
        <v>31124</v>
      </c>
      <c r="B18" s="2">
        <v>1930</v>
      </c>
      <c r="C18" s="17">
        <v>-16.5</v>
      </c>
      <c r="D18" s="2">
        <v>503</v>
      </c>
      <c r="E18" s="2">
        <v>158</v>
      </c>
      <c r="F18" s="2">
        <v>1724</v>
      </c>
      <c r="G18" s="2">
        <v>353</v>
      </c>
      <c r="H18" s="4">
        <v>340</v>
      </c>
      <c r="I18" s="4">
        <v>404</v>
      </c>
      <c r="J18" s="2">
        <v>233</v>
      </c>
      <c r="K18" s="17">
        <v>30.1</v>
      </c>
      <c r="L18" s="4">
        <v>188.5</v>
      </c>
      <c r="M18" s="2">
        <v>92</v>
      </c>
      <c r="N18" s="2">
        <v>769</v>
      </c>
      <c r="O18" s="2">
        <v>2260</v>
      </c>
      <c r="P18" s="2">
        <v>98</v>
      </c>
      <c r="Q18" s="2">
        <v>414</v>
      </c>
      <c r="R18" s="2">
        <v>967</v>
      </c>
      <c r="S18" s="2">
        <v>86</v>
      </c>
      <c r="T18" s="2">
        <v>251</v>
      </c>
      <c r="U18" s="2">
        <v>418</v>
      </c>
      <c r="W18" s="2" t="s">
        <v>1</v>
      </c>
    </row>
    <row r="19" spans="1:23" x14ac:dyDescent="0.2">
      <c r="A19" s="7">
        <f>DATE(85,3,20)</f>
        <v>31126</v>
      </c>
      <c r="B19" s="2">
        <v>1900</v>
      </c>
      <c r="C19" s="17">
        <v>-9.3000000000000007</v>
      </c>
      <c r="D19" s="2">
        <v>540</v>
      </c>
      <c r="E19" s="2">
        <v>167</v>
      </c>
      <c r="F19" s="2">
        <v>1733</v>
      </c>
      <c r="G19" s="2">
        <v>352</v>
      </c>
      <c r="H19" s="4">
        <v>346</v>
      </c>
      <c r="I19" s="4">
        <v>432</v>
      </c>
      <c r="J19" s="2">
        <v>238</v>
      </c>
      <c r="K19" s="17">
        <v>31.6</v>
      </c>
      <c r="L19" s="4">
        <v>197</v>
      </c>
      <c r="M19" s="2">
        <v>91</v>
      </c>
      <c r="N19" s="2">
        <v>622</v>
      </c>
      <c r="O19" s="2">
        <v>2550</v>
      </c>
      <c r="P19" s="2">
        <v>93</v>
      </c>
      <c r="Q19" s="2">
        <v>584</v>
      </c>
      <c r="R19" s="2">
        <v>1100</v>
      </c>
      <c r="S19" s="2">
        <v>104</v>
      </c>
      <c r="T19" s="2">
        <v>284</v>
      </c>
      <c r="U19" s="2">
        <v>464</v>
      </c>
      <c r="W19" s="2" t="s">
        <v>1</v>
      </c>
    </row>
    <row r="20" spans="1:23" x14ac:dyDescent="0.2">
      <c r="A20" s="7">
        <f>DATE(85,3,22)</f>
        <v>31128</v>
      </c>
      <c r="B20" s="2">
        <v>2000</v>
      </c>
      <c r="C20" s="17">
        <v>-18</v>
      </c>
      <c r="D20" s="2">
        <v>508</v>
      </c>
      <c r="E20" s="2">
        <v>183</v>
      </c>
      <c r="F20" s="2">
        <v>1758</v>
      </c>
      <c r="G20" s="2">
        <v>356</v>
      </c>
      <c r="H20" s="4">
        <v>338.5</v>
      </c>
      <c r="I20" s="4">
        <v>411</v>
      </c>
      <c r="J20" s="2">
        <v>237</v>
      </c>
      <c r="K20" s="17">
        <v>32.1</v>
      </c>
      <c r="L20" s="4">
        <v>193</v>
      </c>
      <c r="M20" s="2">
        <v>92</v>
      </c>
      <c r="N20" s="2">
        <v>630</v>
      </c>
      <c r="O20" s="2">
        <v>2650</v>
      </c>
      <c r="P20" s="2">
        <v>166</v>
      </c>
      <c r="Q20" s="2">
        <v>705</v>
      </c>
      <c r="R20" s="2">
        <v>1250</v>
      </c>
      <c r="S20" s="2">
        <v>78</v>
      </c>
      <c r="T20" s="2">
        <v>412</v>
      </c>
      <c r="U20" s="2">
        <v>780</v>
      </c>
      <c r="W20" s="2" t="s">
        <v>1</v>
      </c>
    </row>
    <row r="21" spans="1:23" x14ac:dyDescent="0.2">
      <c r="A21" s="7">
        <f>DATE(85,3,25)</f>
        <v>31131</v>
      </c>
      <c r="B21" s="2">
        <v>1930</v>
      </c>
      <c r="C21" s="17">
        <v>-25</v>
      </c>
      <c r="D21" s="2">
        <v>518</v>
      </c>
      <c r="E21" s="2">
        <v>201</v>
      </c>
      <c r="F21" s="2">
        <v>1764</v>
      </c>
      <c r="G21" s="2">
        <v>354</v>
      </c>
      <c r="H21" s="4">
        <v>343.5</v>
      </c>
      <c r="I21" s="4">
        <v>416</v>
      </c>
      <c r="J21" s="2">
        <v>238</v>
      </c>
      <c r="K21" s="17">
        <v>34.299999999999997</v>
      </c>
      <c r="L21" s="4">
        <v>197.5</v>
      </c>
      <c r="M21" s="2">
        <v>95</v>
      </c>
      <c r="N21" s="2">
        <v>677</v>
      </c>
      <c r="O21" s="2">
        <v>2770</v>
      </c>
      <c r="P21" s="2">
        <v>354</v>
      </c>
      <c r="Q21" s="2">
        <v>570</v>
      </c>
      <c r="R21" s="2">
        <v>1430</v>
      </c>
      <c r="S21" s="2">
        <v>431</v>
      </c>
      <c r="T21" s="2">
        <v>508</v>
      </c>
      <c r="U21" s="2">
        <v>1000</v>
      </c>
      <c r="W21" s="2" t="s">
        <v>1</v>
      </c>
    </row>
    <row r="22" spans="1:23" x14ac:dyDescent="0.2">
      <c r="A22" s="7">
        <f>DATE(85,3,27)</f>
        <v>31133</v>
      </c>
      <c r="B22" s="2">
        <v>1745</v>
      </c>
      <c r="C22" s="17">
        <v>-17</v>
      </c>
      <c r="D22" s="2">
        <v>532</v>
      </c>
      <c r="E22" s="2">
        <v>198</v>
      </c>
      <c r="F22" s="2">
        <v>1759</v>
      </c>
      <c r="G22" s="2">
        <v>355</v>
      </c>
      <c r="H22" s="4">
        <v>340.5</v>
      </c>
      <c r="I22" s="4">
        <v>415.5</v>
      </c>
      <c r="J22" s="2">
        <v>234</v>
      </c>
      <c r="K22" s="17">
        <v>34.799999999999997</v>
      </c>
      <c r="L22" s="4">
        <v>198</v>
      </c>
      <c r="M22" s="2">
        <v>94</v>
      </c>
      <c r="N22" s="2">
        <v>1034</v>
      </c>
      <c r="O22" s="2">
        <v>3250</v>
      </c>
      <c r="P22" s="2">
        <v>726</v>
      </c>
      <c r="Q22" s="2">
        <v>836</v>
      </c>
      <c r="R22" s="2">
        <v>1670</v>
      </c>
      <c r="S22" s="2">
        <v>1030</v>
      </c>
      <c r="T22" s="2">
        <v>468</v>
      </c>
      <c r="U22" s="2">
        <v>787</v>
      </c>
      <c r="W22" s="2" t="s">
        <v>1</v>
      </c>
    </row>
    <row r="23" spans="1:23" x14ac:dyDescent="0.2">
      <c r="A23" s="7">
        <f>DATE(85,3,29)</f>
        <v>31135</v>
      </c>
      <c r="B23" s="2">
        <v>1900</v>
      </c>
      <c r="C23" s="17">
        <v>-25</v>
      </c>
      <c r="D23" s="2">
        <v>505</v>
      </c>
      <c r="E23" s="2">
        <v>188</v>
      </c>
      <c r="F23" s="2">
        <v>1749</v>
      </c>
      <c r="G23" s="2">
        <v>353</v>
      </c>
      <c r="H23" s="4">
        <v>337</v>
      </c>
      <c r="I23" s="4">
        <v>401.5</v>
      </c>
      <c r="J23" s="2">
        <v>236</v>
      </c>
      <c r="K23" s="17">
        <v>36.799999999999997</v>
      </c>
      <c r="L23" s="4">
        <v>195</v>
      </c>
      <c r="M23" s="2">
        <v>95</v>
      </c>
      <c r="N23" s="2">
        <v>663</v>
      </c>
      <c r="O23" s="2">
        <v>2650</v>
      </c>
      <c r="P23" s="2">
        <v>894</v>
      </c>
      <c r="Q23" s="2">
        <v>603</v>
      </c>
      <c r="R23" s="2">
        <v>1260</v>
      </c>
      <c r="S23" s="2">
        <v>1570</v>
      </c>
      <c r="T23" s="2">
        <v>715</v>
      </c>
      <c r="U23" s="2">
        <v>1810</v>
      </c>
      <c r="W23" s="2" t="s">
        <v>1</v>
      </c>
    </row>
    <row r="24" spans="1:23" x14ac:dyDescent="0.2">
      <c r="A24" s="7">
        <f>DATE(85,4,1)</f>
        <v>31138</v>
      </c>
      <c r="B24" s="2">
        <v>2030</v>
      </c>
      <c r="C24" s="17">
        <v>-11.5</v>
      </c>
      <c r="D24" s="2">
        <v>522</v>
      </c>
      <c r="E24" s="2">
        <v>186</v>
      </c>
      <c r="F24" s="2">
        <v>1737</v>
      </c>
      <c r="G24" s="2">
        <v>353</v>
      </c>
      <c r="H24" s="4">
        <v>341</v>
      </c>
      <c r="I24" s="4">
        <v>413.5</v>
      </c>
      <c r="J24" s="2">
        <v>235</v>
      </c>
      <c r="K24" s="17">
        <v>31.5</v>
      </c>
      <c r="L24" s="4">
        <v>197</v>
      </c>
      <c r="M24" s="2">
        <v>90</v>
      </c>
      <c r="N24" s="2">
        <v>644</v>
      </c>
      <c r="O24" s="2">
        <v>2560</v>
      </c>
      <c r="P24" s="2">
        <v>421</v>
      </c>
      <c r="Q24" s="2">
        <v>629</v>
      </c>
      <c r="R24" s="2">
        <v>1160</v>
      </c>
      <c r="S24" s="2">
        <v>632</v>
      </c>
      <c r="T24" s="2">
        <v>309</v>
      </c>
      <c r="U24" s="2">
        <v>536</v>
      </c>
      <c r="W24" s="2" t="s">
        <v>1</v>
      </c>
    </row>
    <row r="25" spans="1:23" x14ac:dyDescent="0.2">
      <c r="A25" s="7">
        <f>DATE(85,4,3)</f>
        <v>31140</v>
      </c>
      <c r="B25" s="2">
        <v>1900</v>
      </c>
      <c r="C25" s="17">
        <v>-14</v>
      </c>
      <c r="D25" s="2">
        <v>531</v>
      </c>
      <c r="E25" s="2">
        <v>212</v>
      </c>
      <c r="F25" s="2">
        <v>1735</v>
      </c>
      <c r="G25" s="2">
        <v>357</v>
      </c>
      <c r="H25" s="4">
        <v>337</v>
      </c>
      <c r="I25" s="4">
        <v>403</v>
      </c>
      <c r="J25" s="2">
        <v>234</v>
      </c>
      <c r="K25" s="17">
        <v>32.700000000000003</v>
      </c>
      <c r="L25" s="4">
        <v>193.5</v>
      </c>
      <c r="M25" s="2">
        <v>93</v>
      </c>
      <c r="N25" s="2">
        <v>715</v>
      </c>
      <c r="O25" s="2">
        <v>2550</v>
      </c>
      <c r="P25" s="2">
        <v>533</v>
      </c>
      <c r="Q25" s="2">
        <v>974</v>
      </c>
      <c r="R25" s="2">
        <v>1100</v>
      </c>
      <c r="S25" s="2">
        <v>657</v>
      </c>
      <c r="T25" s="2">
        <v>1540</v>
      </c>
      <c r="U25" s="2">
        <v>5080</v>
      </c>
      <c r="W25" s="2" t="s">
        <v>1</v>
      </c>
    </row>
    <row r="26" spans="1:23" x14ac:dyDescent="0.2">
      <c r="A26" s="7">
        <f>DATE(85,4,5)</f>
        <v>31142</v>
      </c>
      <c r="B26" s="2">
        <v>1930</v>
      </c>
      <c r="C26" s="17">
        <v>-9.5</v>
      </c>
      <c r="D26" s="2">
        <v>566</v>
      </c>
      <c r="E26" s="2">
        <v>189</v>
      </c>
      <c r="F26" s="2">
        <v>1731</v>
      </c>
      <c r="G26" s="2">
        <v>352</v>
      </c>
      <c r="H26" s="4">
        <v>337</v>
      </c>
      <c r="I26" s="4">
        <v>402</v>
      </c>
      <c r="J26" s="2">
        <v>236</v>
      </c>
      <c r="K26" s="17">
        <v>33.299999999999997</v>
      </c>
      <c r="L26" s="4">
        <v>197.5</v>
      </c>
      <c r="M26" s="2">
        <v>95</v>
      </c>
      <c r="N26" s="2">
        <v>765</v>
      </c>
      <c r="O26" s="2">
        <v>2490</v>
      </c>
      <c r="P26" s="2">
        <v>435</v>
      </c>
      <c r="Q26" s="2">
        <v>567</v>
      </c>
      <c r="R26" s="2">
        <v>923</v>
      </c>
      <c r="S26" s="2">
        <v>523</v>
      </c>
      <c r="T26" s="2">
        <v>962</v>
      </c>
      <c r="U26" s="2">
        <v>2790</v>
      </c>
      <c r="W26" s="2" t="s">
        <v>1</v>
      </c>
    </row>
    <row r="27" spans="1:23" x14ac:dyDescent="0.2">
      <c r="A27" s="7">
        <f>DATE(85,4,8)</f>
        <v>31145</v>
      </c>
      <c r="B27" s="2">
        <v>2000</v>
      </c>
      <c r="C27" s="17">
        <v>-17</v>
      </c>
      <c r="D27" s="2">
        <v>537</v>
      </c>
      <c r="E27" s="2">
        <v>180</v>
      </c>
      <c r="F27" s="2">
        <v>1742</v>
      </c>
      <c r="G27" s="2">
        <v>353</v>
      </c>
      <c r="H27" s="4">
        <v>342.5</v>
      </c>
      <c r="I27" s="4">
        <v>416</v>
      </c>
      <c r="J27" s="2">
        <v>238</v>
      </c>
      <c r="K27" s="17">
        <v>32.4</v>
      </c>
      <c r="L27" s="4">
        <v>224</v>
      </c>
      <c r="M27" s="2">
        <v>95</v>
      </c>
      <c r="N27" s="2">
        <v>675</v>
      </c>
      <c r="O27" s="2">
        <v>2520</v>
      </c>
      <c r="P27" s="2">
        <v>76</v>
      </c>
      <c r="Q27" s="2">
        <v>714</v>
      </c>
      <c r="R27" s="2">
        <v>1100</v>
      </c>
      <c r="S27" s="2">
        <v>63</v>
      </c>
      <c r="T27" s="2">
        <v>277</v>
      </c>
      <c r="U27" s="2">
        <v>455</v>
      </c>
      <c r="W27" s="2" t="s">
        <v>1</v>
      </c>
    </row>
    <row r="28" spans="1:23" x14ac:dyDescent="0.2">
      <c r="A28" s="7">
        <f>DATE(85,4,10)</f>
        <v>31147</v>
      </c>
      <c r="B28" s="2">
        <v>1845</v>
      </c>
      <c r="C28" s="17">
        <v>-12</v>
      </c>
      <c r="D28" s="2">
        <v>529</v>
      </c>
      <c r="E28" s="2">
        <v>193</v>
      </c>
      <c r="F28" s="2">
        <v>1738</v>
      </c>
      <c r="G28" s="2">
        <v>352</v>
      </c>
      <c r="H28" s="4">
        <v>338</v>
      </c>
      <c r="I28" s="4">
        <v>403.5</v>
      </c>
      <c r="J28" s="2">
        <v>236</v>
      </c>
      <c r="K28" s="17">
        <v>32</v>
      </c>
      <c r="M28" s="2">
        <v>92</v>
      </c>
      <c r="N28" s="2">
        <v>675</v>
      </c>
      <c r="O28" s="2">
        <v>2340</v>
      </c>
      <c r="P28" s="2">
        <v>98</v>
      </c>
      <c r="Q28" s="2">
        <v>524</v>
      </c>
      <c r="R28" s="2">
        <v>828</v>
      </c>
      <c r="S28" s="2">
        <v>71</v>
      </c>
      <c r="T28" s="2">
        <v>206</v>
      </c>
      <c r="U28" s="2">
        <v>340</v>
      </c>
      <c r="W28" s="2" t="s">
        <v>1</v>
      </c>
    </row>
    <row r="29" spans="1:23" x14ac:dyDescent="0.2">
      <c r="A29" s="7">
        <f>DATE(85,4,12)</f>
        <v>31149</v>
      </c>
      <c r="B29" s="2">
        <v>2030</v>
      </c>
      <c r="C29" s="17">
        <v>-16</v>
      </c>
      <c r="D29" s="2">
        <v>541</v>
      </c>
      <c r="E29" s="2">
        <v>206</v>
      </c>
      <c r="F29" s="2">
        <v>1744</v>
      </c>
      <c r="G29" s="2">
        <v>353</v>
      </c>
      <c r="H29" s="4">
        <v>338</v>
      </c>
      <c r="I29" s="4">
        <v>401.5</v>
      </c>
      <c r="J29" s="2">
        <v>235</v>
      </c>
      <c r="K29" s="17">
        <v>32</v>
      </c>
      <c r="L29" s="4">
        <v>227.5</v>
      </c>
      <c r="M29" s="2">
        <v>93</v>
      </c>
      <c r="N29" s="2">
        <v>760</v>
      </c>
      <c r="O29" s="2">
        <v>2660</v>
      </c>
      <c r="P29" s="2">
        <v>496</v>
      </c>
      <c r="Q29" s="2">
        <v>699</v>
      </c>
      <c r="R29" s="2">
        <v>1050</v>
      </c>
      <c r="S29" s="2">
        <v>608</v>
      </c>
      <c r="T29" s="2">
        <v>304</v>
      </c>
      <c r="U29" s="2">
        <v>541</v>
      </c>
      <c r="W29" s="2" t="s">
        <v>1</v>
      </c>
    </row>
    <row r="30" spans="1:23" x14ac:dyDescent="0.2">
      <c r="A30" s="7">
        <f>DATE(85,4,15)</f>
        <v>31152</v>
      </c>
      <c r="B30" s="2">
        <v>2100</v>
      </c>
      <c r="C30" s="17">
        <v>-21</v>
      </c>
      <c r="D30" s="2">
        <v>537</v>
      </c>
      <c r="E30" s="2">
        <v>203</v>
      </c>
      <c r="F30" s="2">
        <v>1762</v>
      </c>
      <c r="G30" s="2">
        <v>353</v>
      </c>
      <c r="H30" s="4">
        <v>340.5</v>
      </c>
      <c r="I30" s="4">
        <v>410</v>
      </c>
      <c r="J30" s="2">
        <v>234</v>
      </c>
      <c r="K30" s="17">
        <v>33.4</v>
      </c>
      <c r="L30" s="4">
        <v>220</v>
      </c>
      <c r="M30" s="2">
        <v>97</v>
      </c>
      <c r="N30" s="2">
        <v>673</v>
      </c>
      <c r="O30" s="2">
        <v>2590</v>
      </c>
      <c r="P30" s="2">
        <v>163</v>
      </c>
      <c r="Q30" s="2">
        <v>639</v>
      </c>
      <c r="R30" s="2">
        <v>1470</v>
      </c>
      <c r="S30" s="2">
        <v>218</v>
      </c>
      <c r="T30" s="2">
        <v>1620</v>
      </c>
      <c r="U30" s="2">
        <v>2670</v>
      </c>
      <c r="W30" s="2" t="s">
        <v>1</v>
      </c>
    </row>
    <row r="31" spans="1:23" x14ac:dyDescent="0.2">
      <c r="A31" s="7">
        <f>DATE(85,4,19)</f>
        <v>31156</v>
      </c>
      <c r="B31" s="2">
        <v>2200</v>
      </c>
      <c r="C31" s="17">
        <v>-3</v>
      </c>
      <c r="D31" s="2">
        <v>549</v>
      </c>
      <c r="E31" s="2">
        <v>190</v>
      </c>
      <c r="F31" s="2">
        <v>1738</v>
      </c>
      <c r="G31" s="2">
        <v>352</v>
      </c>
      <c r="H31" s="4">
        <v>337.5</v>
      </c>
      <c r="I31" s="4">
        <v>433</v>
      </c>
      <c r="J31" s="2">
        <v>238</v>
      </c>
      <c r="K31" s="17">
        <v>32.299999999999997</v>
      </c>
      <c r="L31" s="4">
        <v>218</v>
      </c>
      <c r="M31" s="2">
        <v>92</v>
      </c>
      <c r="N31" s="2">
        <v>640</v>
      </c>
      <c r="O31" s="2">
        <v>2630</v>
      </c>
      <c r="P31" s="2">
        <v>134</v>
      </c>
      <c r="Q31" s="2">
        <v>710</v>
      </c>
      <c r="R31" s="2">
        <v>925</v>
      </c>
      <c r="S31" s="2">
        <v>123</v>
      </c>
      <c r="T31" s="2">
        <v>266</v>
      </c>
      <c r="U31" s="2">
        <v>631</v>
      </c>
      <c r="W31" s="2" t="s">
        <v>1</v>
      </c>
    </row>
    <row r="32" spans="1:23" x14ac:dyDescent="0.2">
      <c r="A32" s="7">
        <f>DATE(85,4,21)</f>
        <v>31158</v>
      </c>
      <c r="B32" s="2">
        <v>2000</v>
      </c>
      <c r="C32" s="17">
        <v>-9.3000000000000007</v>
      </c>
      <c r="D32" s="2">
        <v>530</v>
      </c>
      <c r="E32" s="2">
        <v>174</v>
      </c>
      <c r="F32" s="2">
        <v>1757</v>
      </c>
      <c r="G32" s="2">
        <v>354</v>
      </c>
      <c r="H32" s="4">
        <v>338</v>
      </c>
      <c r="I32" s="4">
        <v>402.5</v>
      </c>
      <c r="J32" s="2">
        <v>242</v>
      </c>
      <c r="K32" s="17">
        <v>32.299999999999997</v>
      </c>
      <c r="L32" s="4">
        <v>205.5</v>
      </c>
      <c r="M32" s="2">
        <v>93</v>
      </c>
      <c r="N32" s="2">
        <v>632</v>
      </c>
      <c r="O32" s="2">
        <v>2310</v>
      </c>
      <c r="P32" s="2">
        <v>92</v>
      </c>
      <c r="Q32" s="2">
        <v>441</v>
      </c>
      <c r="R32" s="2">
        <v>937</v>
      </c>
      <c r="S32" s="2">
        <v>78</v>
      </c>
      <c r="T32" s="2">
        <v>518</v>
      </c>
      <c r="U32" s="2">
        <v>899</v>
      </c>
      <c r="W32" s="2" t="s">
        <v>1</v>
      </c>
    </row>
    <row r="33" spans="1:23" x14ac:dyDescent="0.2">
      <c r="W33" s="2" t="s">
        <v>1</v>
      </c>
    </row>
    <row r="34" spans="1:23" x14ac:dyDescent="0.2">
      <c r="W34" s="2" t="s">
        <v>1</v>
      </c>
    </row>
    <row r="35" spans="1:23" x14ac:dyDescent="0.2">
      <c r="A35" s="2" t="s">
        <v>1710</v>
      </c>
      <c r="W35" s="2" t="s">
        <v>1</v>
      </c>
    </row>
    <row r="36" spans="1:23" x14ac:dyDescent="0.2">
      <c r="W36" s="2" t="s">
        <v>1</v>
      </c>
    </row>
    <row r="37" spans="1:23" x14ac:dyDescent="0.2">
      <c r="A37" s="7">
        <f t="shared" ref="A37:U37" si="0">AVERAGE(A9:A11)</f>
        <v>31104.666666666668</v>
      </c>
      <c r="B37" s="4">
        <f t="shared" si="0"/>
        <v>1246.6666666666667</v>
      </c>
      <c r="C37" s="4">
        <f t="shared" si="0"/>
        <v>-1.8999999999999997</v>
      </c>
      <c r="D37" s="4">
        <f t="shared" si="0"/>
        <v>529</v>
      </c>
      <c r="E37" s="4">
        <f t="shared" si="0"/>
        <v>171.66666666666666</v>
      </c>
      <c r="F37" s="4">
        <f t="shared" si="0"/>
        <v>1716</v>
      </c>
      <c r="G37" s="4">
        <f t="shared" si="0"/>
        <v>351</v>
      </c>
      <c r="H37" s="4">
        <f t="shared" si="0"/>
        <v>340.33333333333331</v>
      </c>
      <c r="I37" s="4">
        <f t="shared" si="0"/>
        <v>403.66666666666669</v>
      </c>
      <c r="J37" s="4">
        <f t="shared" si="0"/>
        <v>235.66666666666666</v>
      </c>
      <c r="K37" s="4">
        <f t="shared" si="0"/>
        <v>31.599999999999998</v>
      </c>
      <c r="L37" s="4">
        <f t="shared" si="0"/>
        <v>194.83333333333334</v>
      </c>
      <c r="M37" s="4">
        <f t="shared" si="0"/>
        <v>90.333333333333329</v>
      </c>
      <c r="N37" s="4">
        <f t="shared" si="0"/>
        <v>705.66666666666663</v>
      </c>
      <c r="O37" s="4">
        <f t="shared" si="0"/>
        <v>1936.6666666666667</v>
      </c>
      <c r="P37" s="4">
        <f t="shared" si="0"/>
        <v>439</v>
      </c>
      <c r="Q37" s="4">
        <f t="shared" si="0"/>
        <v>589.33333333333337</v>
      </c>
      <c r="R37" s="4">
        <f t="shared" si="0"/>
        <v>977</v>
      </c>
      <c r="S37" s="4">
        <f t="shared" si="0"/>
        <v>464.66666666666669</v>
      </c>
      <c r="T37" s="4">
        <f t="shared" si="0"/>
        <v>287.33333333333331</v>
      </c>
      <c r="U37" s="4">
        <f t="shared" si="0"/>
        <v>525</v>
      </c>
      <c r="W37" s="2" t="s">
        <v>1</v>
      </c>
    </row>
    <row r="38" spans="1:23" x14ac:dyDescent="0.2">
      <c r="A38" s="7">
        <f t="shared" ref="A38:U38" si="1">AVERAGE(A12:A23)</f>
        <v>31122.5</v>
      </c>
      <c r="B38" s="4">
        <f t="shared" si="1"/>
        <v>1653.75</v>
      </c>
      <c r="C38" s="4">
        <f t="shared" si="1"/>
        <v>-13.691666666666668</v>
      </c>
      <c r="D38" s="4">
        <f t="shared" si="1"/>
        <v>527.16666666666663</v>
      </c>
      <c r="E38" s="4">
        <f t="shared" si="1"/>
        <v>188.91666666666666</v>
      </c>
      <c r="F38" s="4">
        <f t="shared" si="1"/>
        <v>1743.9166666666667</v>
      </c>
      <c r="G38" s="4">
        <f t="shared" si="1"/>
        <v>354.16666666666669</v>
      </c>
      <c r="H38" s="4">
        <f t="shared" si="1"/>
        <v>340.95833333333331</v>
      </c>
      <c r="I38" s="4">
        <f t="shared" si="1"/>
        <v>412</v>
      </c>
      <c r="J38" s="4">
        <f t="shared" si="1"/>
        <v>237.58333333333334</v>
      </c>
      <c r="K38" s="4">
        <f t="shared" si="1"/>
        <v>33.275000000000006</v>
      </c>
      <c r="L38" s="4">
        <f t="shared" si="1"/>
        <v>200.95833333333334</v>
      </c>
      <c r="M38" s="4">
        <f t="shared" si="1"/>
        <v>92.583333333333329</v>
      </c>
      <c r="N38" s="4">
        <f t="shared" si="1"/>
        <v>697.33333333333337</v>
      </c>
      <c r="O38" s="4">
        <f t="shared" si="1"/>
        <v>2775</v>
      </c>
      <c r="P38" s="4">
        <f t="shared" si="1"/>
        <v>354.5</v>
      </c>
      <c r="Q38" s="4">
        <f t="shared" si="1"/>
        <v>727.66666666666663</v>
      </c>
      <c r="R38" s="4">
        <f t="shared" si="1"/>
        <v>1235.6666666666667</v>
      </c>
      <c r="S38" s="4">
        <f t="shared" si="1"/>
        <v>412.5</v>
      </c>
      <c r="T38" s="4">
        <f t="shared" si="1"/>
        <v>498.5</v>
      </c>
      <c r="U38" s="4">
        <f t="shared" si="1"/>
        <v>1005</v>
      </c>
      <c r="W38" s="2" t="s">
        <v>1</v>
      </c>
    </row>
    <row r="39" spans="1:23" x14ac:dyDescent="0.2">
      <c r="A39" s="7">
        <f t="shared" ref="A39:U39" si="2">AVERAGE(A24:A32)</f>
        <v>31147.444444444445</v>
      </c>
      <c r="B39" s="4">
        <f t="shared" si="2"/>
        <v>2003.8888888888889</v>
      </c>
      <c r="C39" s="4">
        <f t="shared" si="2"/>
        <v>-12.588888888888889</v>
      </c>
      <c r="D39" s="4">
        <f t="shared" si="2"/>
        <v>538</v>
      </c>
      <c r="E39" s="4">
        <f t="shared" si="2"/>
        <v>192.55555555555554</v>
      </c>
      <c r="F39" s="4">
        <f t="shared" si="2"/>
        <v>1742.6666666666667</v>
      </c>
      <c r="G39" s="4">
        <f t="shared" si="2"/>
        <v>353.22222222222223</v>
      </c>
      <c r="H39" s="4">
        <f t="shared" si="2"/>
        <v>338.83333333333331</v>
      </c>
      <c r="I39" s="4">
        <f t="shared" si="2"/>
        <v>409.44444444444446</v>
      </c>
      <c r="J39" s="4">
        <f t="shared" si="2"/>
        <v>236.44444444444446</v>
      </c>
      <c r="K39" s="4">
        <f t="shared" si="2"/>
        <v>32.433333333333337</v>
      </c>
      <c r="L39" s="4">
        <f t="shared" si="2"/>
        <v>210.375</v>
      </c>
      <c r="M39" s="4">
        <f t="shared" si="2"/>
        <v>93.333333333333329</v>
      </c>
      <c r="N39" s="4">
        <f t="shared" si="2"/>
        <v>686.55555555555554</v>
      </c>
      <c r="O39" s="4">
        <f t="shared" si="2"/>
        <v>2516.6666666666665</v>
      </c>
      <c r="P39" s="4">
        <f t="shared" si="2"/>
        <v>272</v>
      </c>
      <c r="Q39" s="4">
        <f t="shared" si="2"/>
        <v>655.22222222222217</v>
      </c>
      <c r="R39" s="4">
        <f t="shared" si="2"/>
        <v>1054.7777777777778</v>
      </c>
      <c r="S39" s="4">
        <f t="shared" si="2"/>
        <v>330.33333333333331</v>
      </c>
      <c r="T39" s="4">
        <f t="shared" si="2"/>
        <v>666.88888888888891</v>
      </c>
      <c r="U39" s="4">
        <f t="shared" si="2"/>
        <v>1549.1111111111111</v>
      </c>
      <c r="W39" s="2" t="s">
        <v>1</v>
      </c>
    </row>
    <row r="40" spans="1:23" x14ac:dyDescent="0.2">
      <c r="W40" s="2" t="s">
        <v>1</v>
      </c>
    </row>
    <row r="41" spans="1:23" x14ac:dyDescent="0.2">
      <c r="W41" s="2" t="s">
        <v>1</v>
      </c>
    </row>
    <row r="42" spans="1:23" x14ac:dyDescent="0.2">
      <c r="A42" s="2" t="s">
        <v>277</v>
      </c>
      <c r="W42" s="2" t="s">
        <v>1</v>
      </c>
    </row>
    <row r="43" spans="1:23" x14ac:dyDescent="0.2">
      <c r="A43" s="7">
        <v>31104.666666666668</v>
      </c>
      <c r="B43" s="4">
        <v>212.62251370288456</v>
      </c>
      <c r="C43" s="4">
        <v>4.3278170016764808</v>
      </c>
      <c r="D43" s="4">
        <v>16.822603841260722</v>
      </c>
      <c r="E43" s="4">
        <v>31.262330900515614</v>
      </c>
      <c r="F43" s="4">
        <v>17.058722109231979</v>
      </c>
      <c r="G43" s="4">
        <v>1.7320508075688772</v>
      </c>
      <c r="H43" s="4">
        <v>1.8929694486000912</v>
      </c>
      <c r="I43" s="4">
        <v>6.751543033509698</v>
      </c>
      <c r="J43" s="4">
        <v>1.5275252316519468</v>
      </c>
      <c r="K43" s="4">
        <v>0.17320508075688773</v>
      </c>
      <c r="L43" s="4">
        <v>3.0138568866708542</v>
      </c>
      <c r="M43" s="4">
        <v>0.57735026918962573</v>
      </c>
      <c r="N43" s="4">
        <v>66.710818712809498</v>
      </c>
      <c r="O43" s="4">
        <v>543.07764945110137</v>
      </c>
      <c r="P43" s="4">
        <v>252.38858928247924</v>
      </c>
      <c r="Q43" s="4">
        <v>99.399865861747188</v>
      </c>
      <c r="R43" s="4">
        <v>295.04067516191731</v>
      </c>
      <c r="S43" s="4">
        <v>199.56035010325405</v>
      </c>
      <c r="T43" s="4">
        <v>68.090625884429443</v>
      </c>
      <c r="U43" s="4">
        <v>116.04740410711477</v>
      </c>
      <c r="W43" s="2" t="s">
        <v>1</v>
      </c>
    </row>
    <row r="44" spans="1:23" x14ac:dyDescent="0.2">
      <c r="A44" s="7">
        <v>31122.5</v>
      </c>
      <c r="B44" s="4">
        <v>403.77269145354092</v>
      </c>
      <c r="C44" s="4">
        <v>8.9825546410132056</v>
      </c>
      <c r="D44" s="4">
        <v>37.718655459824781</v>
      </c>
      <c r="E44" s="4">
        <v>34.349694542332031</v>
      </c>
      <c r="F44" s="4">
        <v>22.496295991414527</v>
      </c>
      <c r="G44" s="4">
        <v>3.0993645487519865</v>
      </c>
      <c r="H44" s="4">
        <v>2.799824128675791</v>
      </c>
      <c r="I44" s="4">
        <v>8.9111778631722363</v>
      </c>
      <c r="J44" s="4">
        <v>6.1416363430031389</v>
      </c>
      <c r="K44" s="4">
        <v>2.1913569892980593</v>
      </c>
      <c r="L44" s="4">
        <v>12.342569228143512</v>
      </c>
      <c r="M44" s="4">
        <v>2.8109633849474367</v>
      </c>
      <c r="N44" s="4">
        <v>115.35268711322864</v>
      </c>
      <c r="O44" s="4">
        <v>478.98567069096413</v>
      </c>
      <c r="P44" s="4">
        <v>257.21109123547814</v>
      </c>
      <c r="Q44" s="4">
        <v>271.83629208950322</v>
      </c>
      <c r="R44" s="4">
        <v>249.39283846732224</v>
      </c>
      <c r="S44" s="4">
        <v>446.43018389319184</v>
      </c>
      <c r="T44" s="4">
        <v>386.27863236034921</v>
      </c>
      <c r="U44" s="4">
        <v>990.55227937843756</v>
      </c>
      <c r="W44" s="2" t="s">
        <v>1</v>
      </c>
    </row>
    <row r="45" spans="1:23" x14ac:dyDescent="0.2">
      <c r="A45" s="7">
        <v>31147.444444444445</v>
      </c>
      <c r="B45" s="4">
        <v>106.41245749963258</v>
      </c>
      <c r="C45" s="4">
        <v>5.2161874114252367</v>
      </c>
      <c r="D45" s="4">
        <v>13.067134345371979</v>
      </c>
      <c r="E45" s="4">
        <v>12.410792794087644</v>
      </c>
      <c r="F45" s="4">
        <v>10.319883720275147</v>
      </c>
      <c r="G45" s="4">
        <v>1.5634719199411431</v>
      </c>
      <c r="H45" s="4">
        <v>1.984313483298443</v>
      </c>
      <c r="I45" s="4">
        <v>10.357498625526231</v>
      </c>
      <c r="J45" s="4">
        <v>2.5549516194593154</v>
      </c>
      <c r="K45" s="4">
        <v>0.61644140029689765</v>
      </c>
      <c r="L45" s="4">
        <v>13.537645923234111</v>
      </c>
      <c r="M45" s="4">
        <v>2.0615528128088303</v>
      </c>
      <c r="N45" s="4">
        <v>49.701889076550984</v>
      </c>
      <c r="O45" s="4">
        <v>120.62338081814819</v>
      </c>
      <c r="P45" s="4">
        <v>193.35330356629544</v>
      </c>
      <c r="Q45" s="4">
        <v>150.76287488783319</v>
      </c>
      <c r="R45" s="4">
        <v>189.44047731264942</v>
      </c>
      <c r="S45" s="4">
        <v>266.9110338670921</v>
      </c>
      <c r="T45" s="4">
        <v>566.22862971692905</v>
      </c>
      <c r="U45" s="4">
        <v>1629.0586579712565</v>
      </c>
      <c r="W45" s="2" t="s">
        <v>1</v>
      </c>
    </row>
    <row r="48" spans="1:23" x14ac:dyDescent="0.2">
      <c r="A48" s="2" t="s">
        <v>279</v>
      </c>
    </row>
    <row r="49" spans="1:21" x14ac:dyDescent="0.2">
      <c r="A49" s="7">
        <v>31104.666666666668</v>
      </c>
      <c r="B49" s="4">
        <v>3</v>
      </c>
      <c r="C49" s="4">
        <v>3</v>
      </c>
      <c r="D49" s="4">
        <v>3</v>
      </c>
      <c r="E49" s="4">
        <v>3</v>
      </c>
      <c r="F49" s="4">
        <v>3</v>
      </c>
      <c r="G49" s="4">
        <v>3</v>
      </c>
      <c r="H49" s="4">
        <v>3</v>
      </c>
      <c r="I49" s="4">
        <v>3</v>
      </c>
      <c r="J49" s="4">
        <v>3</v>
      </c>
      <c r="K49" s="4">
        <v>3</v>
      </c>
      <c r="L49" s="4">
        <v>3</v>
      </c>
      <c r="M49" s="4">
        <v>3</v>
      </c>
      <c r="N49" s="4">
        <v>3</v>
      </c>
      <c r="O49" s="4">
        <v>3</v>
      </c>
      <c r="P49" s="4">
        <v>3</v>
      </c>
      <c r="Q49" s="4">
        <v>3</v>
      </c>
      <c r="R49" s="4">
        <v>3</v>
      </c>
      <c r="S49" s="4">
        <v>3</v>
      </c>
      <c r="T49" s="4">
        <v>3</v>
      </c>
      <c r="U49" s="4">
        <v>3</v>
      </c>
    </row>
    <row r="50" spans="1:21" x14ac:dyDescent="0.2">
      <c r="A50" s="7">
        <v>31122.5</v>
      </c>
      <c r="B50" s="4">
        <v>12</v>
      </c>
      <c r="C50" s="4">
        <v>12</v>
      </c>
      <c r="D50" s="4">
        <v>12</v>
      </c>
      <c r="E50" s="4">
        <v>12</v>
      </c>
      <c r="F50" s="4">
        <v>12</v>
      </c>
      <c r="G50" s="4">
        <v>12</v>
      </c>
      <c r="H50" s="4">
        <v>12</v>
      </c>
      <c r="I50" s="4">
        <v>12</v>
      </c>
      <c r="J50" s="4">
        <v>12</v>
      </c>
      <c r="K50" s="4">
        <v>12</v>
      </c>
      <c r="L50" s="4">
        <v>12</v>
      </c>
      <c r="M50" s="4">
        <v>12</v>
      </c>
      <c r="N50" s="4">
        <v>12</v>
      </c>
      <c r="O50" s="4">
        <v>12</v>
      </c>
      <c r="P50" s="4">
        <v>12</v>
      </c>
      <c r="Q50" s="4">
        <v>12</v>
      </c>
      <c r="R50" s="4">
        <v>12</v>
      </c>
      <c r="S50" s="4">
        <v>12</v>
      </c>
      <c r="T50" s="4">
        <v>12</v>
      </c>
      <c r="U50" s="4">
        <v>12</v>
      </c>
    </row>
    <row r="51" spans="1:21" x14ac:dyDescent="0.2">
      <c r="A51" s="7">
        <v>31147.444444444445</v>
      </c>
      <c r="B51" s="4">
        <v>9</v>
      </c>
      <c r="C51" s="4">
        <v>9</v>
      </c>
      <c r="D51" s="4">
        <v>9</v>
      </c>
      <c r="E51" s="4">
        <v>9</v>
      </c>
      <c r="F51" s="4">
        <v>9</v>
      </c>
      <c r="G51" s="4">
        <v>9</v>
      </c>
      <c r="H51" s="4">
        <v>9</v>
      </c>
      <c r="I51" s="4">
        <v>9</v>
      </c>
      <c r="J51" s="4">
        <v>9</v>
      </c>
      <c r="K51" s="4">
        <v>9</v>
      </c>
      <c r="L51" s="4">
        <v>8</v>
      </c>
      <c r="M51" s="4">
        <v>9</v>
      </c>
      <c r="N51" s="4">
        <v>9</v>
      </c>
      <c r="O51" s="4">
        <v>9</v>
      </c>
      <c r="P51" s="4">
        <v>9</v>
      </c>
      <c r="Q51" s="4">
        <v>9</v>
      </c>
      <c r="R51" s="4">
        <v>9</v>
      </c>
      <c r="S51" s="4">
        <v>9</v>
      </c>
      <c r="T51" s="4">
        <v>9</v>
      </c>
      <c r="U51" s="4">
        <v>9</v>
      </c>
    </row>
    <row r="53" spans="1:21" x14ac:dyDescent="0.2">
      <c r="D53" s="8" t="s">
        <v>117</v>
      </c>
      <c r="E53" s="8" t="s">
        <v>118</v>
      </c>
      <c r="F53" s="8" t="s">
        <v>123</v>
      </c>
      <c r="G53" s="8" t="s">
        <v>134</v>
      </c>
      <c r="H53" s="8" t="s">
        <v>138</v>
      </c>
      <c r="I53" s="8" t="s">
        <v>136</v>
      </c>
      <c r="J53" s="8" t="s">
        <v>130</v>
      </c>
      <c r="K53" s="8" t="s">
        <v>133</v>
      </c>
      <c r="L53" s="8" t="s">
        <v>121</v>
      </c>
      <c r="M53" s="8" t="s">
        <v>148</v>
      </c>
      <c r="N53" s="8" t="s">
        <v>115</v>
      </c>
      <c r="O53" s="8" t="s">
        <v>126</v>
      </c>
      <c r="P53" s="8" t="s">
        <v>122</v>
      </c>
      <c r="Q53" s="8" t="s">
        <v>113</v>
      </c>
      <c r="R53" s="8" t="s">
        <v>131</v>
      </c>
      <c r="S53" s="8" t="s">
        <v>129</v>
      </c>
      <c r="T53" s="8" t="s">
        <v>149</v>
      </c>
      <c r="U53" s="8" t="s">
        <v>151</v>
      </c>
    </row>
    <row r="54" spans="1:21" x14ac:dyDescent="0.2">
      <c r="A54" s="2" t="s">
        <v>1711</v>
      </c>
      <c r="D54" s="8" t="s">
        <v>266</v>
      </c>
      <c r="E54" s="8" t="s">
        <v>266</v>
      </c>
      <c r="F54" s="8" t="s">
        <v>266</v>
      </c>
      <c r="G54" s="8" t="s">
        <v>371</v>
      </c>
      <c r="H54" s="8" t="s">
        <v>266</v>
      </c>
      <c r="I54" s="8" t="s">
        <v>144</v>
      </c>
      <c r="J54" s="8" t="s">
        <v>144</v>
      </c>
      <c r="K54" s="8" t="s">
        <v>144</v>
      </c>
      <c r="L54" s="8" t="s">
        <v>144</v>
      </c>
      <c r="M54" s="8" t="s">
        <v>144</v>
      </c>
      <c r="N54" s="8" t="s">
        <v>144</v>
      </c>
      <c r="O54" s="8" t="s">
        <v>144</v>
      </c>
      <c r="P54" s="8" t="s">
        <v>144</v>
      </c>
      <c r="Q54" s="8" t="s">
        <v>144</v>
      </c>
      <c r="R54" s="8" t="s">
        <v>144</v>
      </c>
      <c r="S54" s="8" t="s">
        <v>144</v>
      </c>
      <c r="T54" s="8" t="s">
        <v>144</v>
      </c>
      <c r="U54" s="8" t="s">
        <v>144</v>
      </c>
    </row>
    <row r="55" spans="1:21" x14ac:dyDescent="0.2">
      <c r="A55" s="7">
        <f>AVERAGE(A9:A32)</f>
        <v>31129.625</v>
      </c>
    </row>
    <row r="56" spans="1:21" x14ac:dyDescent="0.2">
      <c r="A56" s="2" t="s">
        <v>529</v>
      </c>
      <c r="C56" s="4">
        <f t="shared" ref="C56:U56" si="3">AVERAGE(C9:C32)</f>
        <v>-11.804166666666667</v>
      </c>
      <c r="D56" s="4">
        <f t="shared" si="3"/>
        <v>531.45833333333337</v>
      </c>
      <c r="E56" s="4">
        <f t="shared" si="3"/>
        <v>188.125</v>
      </c>
      <c r="F56" s="4">
        <f t="shared" si="3"/>
        <v>1739.9583333333333</v>
      </c>
      <c r="G56" s="4">
        <f t="shared" si="3"/>
        <v>353.41666666666669</v>
      </c>
      <c r="H56" s="4">
        <f t="shared" si="3"/>
        <v>340.08333333333331</v>
      </c>
      <c r="I56" s="4">
        <f t="shared" si="3"/>
        <v>410</v>
      </c>
      <c r="J56" s="4">
        <f t="shared" si="3"/>
        <v>236.91666666666666</v>
      </c>
      <c r="K56" s="4">
        <f t="shared" si="3"/>
        <v>32.75</v>
      </c>
      <c r="L56" s="4">
        <f t="shared" si="3"/>
        <v>203.43478260869566</v>
      </c>
      <c r="M56" s="4">
        <f t="shared" si="3"/>
        <v>92.583333333333329</v>
      </c>
      <c r="N56" s="4">
        <f t="shared" si="3"/>
        <v>694.33333333333337</v>
      </c>
      <c r="O56" s="4">
        <f t="shared" si="3"/>
        <v>2573.3333333333335</v>
      </c>
      <c r="P56" s="4">
        <f t="shared" si="3"/>
        <v>334.125</v>
      </c>
      <c r="Q56" s="4">
        <f t="shared" si="3"/>
        <v>683.20833333333337</v>
      </c>
      <c r="R56" s="4">
        <f t="shared" si="3"/>
        <v>1135.5</v>
      </c>
      <c r="S56" s="4">
        <f t="shared" si="3"/>
        <v>388.20833333333331</v>
      </c>
      <c r="T56" s="4">
        <f t="shared" si="3"/>
        <v>535.25</v>
      </c>
      <c r="U56" s="4">
        <f t="shared" si="3"/>
        <v>1149.0416666666667</v>
      </c>
    </row>
    <row r="57" spans="1:21" x14ac:dyDescent="0.2">
      <c r="A57" s="2" t="s">
        <v>1078</v>
      </c>
      <c r="C57" s="4">
        <f t="shared" ref="C57:U57" si="4">STDEV(C9:C32)</f>
        <v>8.0359236457659122</v>
      </c>
      <c r="D57" s="4">
        <f t="shared" si="4"/>
        <v>28.134736639910127</v>
      </c>
      <c r="E57" s="4">
        <f t="shared" si="4"/>
        <v>27.316681477743995</v>
      </c>
      <c r="F57" s="4">
        <f t="shared" si="4"/>
        <v>19.756075932023645</v>
      </c>
      <c r="G57" s="4">
        <f t="shared" si="4"/>
        <v>2.6029526155580656</v>
      </c>
      <c r="H57" s="4">
        <f t="shared" si="4"/>
        <v>2.5395423529287395</v>
      </c>
      <c r="I57" s="4">
        <f t="shared" si="4"/>
        <v>9.311050003834854</v>
      </c>
      <c r="J57" s="4">
        <f t="shared" si="4"/>
        <v>4.5865272139231861</v>
      </c>
      <c r="K57" s="4">
        <f t="shared" si="4"/>
        <v>1.669418018873382</v>
      </c>
      <c r="L57" s="4">
        <f t="shared" si="4"/>
        <v>12.894065185039489</v>
      </c>
      <c r="M57" s="4">
        <f t="shared" si="4"/>
        <v>2.4832774042918899</v>
      </c>
      <c r="N57" s="4">
        <f t="shared" si="4"/>
        <v>87.493933537115183</v>
      </c>
      <c r="O57" s="4">
        <f t="shared" si="4"/>
        <v>464.52094693880917</v>
      </c>
      <c r="P57" s="4">
        <f t="shared" si="4"/>
        <v>230.96495358085974</v>
      </c>
      <c r="Q57" s="4">
        <f t="shared" si="4"/>
        <v>215.85481819091254</v>
      </c>
      <c r="R57" s="4">
        <f t="shared" si="4"/>
        <v>246.69784370147323</v>
      </c>
      <c r="S57" s="4">
        <f t="shared" si="4"/>
        <v>354.88172912488278</v>
      </c>
      <c r="T57" s="4">
        <f t="shared" si="4"/>
        <v>445.85377306525254</v>
      </c>
      <c r="U57" s="4">
        <f t="shared" si="4"/>
        <v>1231.9740779022861</v>
      </c>
    </row>
    <row r="58" spans="1:21" x14ac:dyDescent="0.2">
      <c r="A58" s="2" t="s">
        <v>365</v>
      </c>
      <c r="C58" s="4">
        <f t="shared" ref="C58:U58" si="5">COUNTA(C9:C32)</f>
        <v>24</v>
      </c>
      <c r="D58" s="4">
        <f t="shared" si="5"/>
        <v>24</v>
      </c>
      <c r="E58" s="4">
        <f t="shared" si="5"/>
        <v>24</v>
      </c>
      <c r="F58" s="4">
        <f t="shared" si="5"/>
        <v>24</v>
      </c>
      <c r="G58" s="4">
        <f t="shared" si="5"/>
        <v>24</v>
      </c>
      <c r="H58" s="4">
        <f t="shared" si="5"/>
        <v>24</v>
      </c>
      <c r="I58" s="4">
        <f t="shared" si="5"/>
        <v>24</v>
      </c>
      <c r="J58" s="4">
        <f t="shared" si="5"/>
        <v>24</v>
      </c>
      <c r="K58" s="4">
        <f t="shared" si="5"/>
        <v>24</v>
      </c>
      <c r="L58" s="4">
        <f t="shared" si="5"/>
        <v>23</v>
      </c>
      <c r="M58" s="4">
        <f t="shared" si="5"/>
        <v>24</v>
      </c>
      <c r="N58" s="4">
        <f t="shared" si="5"/>
        <v>24</v>
      </c>
      <c r="O58" s="4">
        <f t="shared" si="5"/>
        <v>24</v>
      </c>
      <c r="P58" s="4">
        <f t="shared" si="5"/>
        <v>24</v>
      </c>
      <c r="Q58" s="4">
        <f t="shared" si="5"/>
        <v>24</v>
      </c>
      <c r="R58" s="4">
        <f t="shared" si="5"/>
        <v>24</v>
      </c>
      <c r="S58" s="4">
        <f t="shared" si="5"/>
        <v>24</v>
      </c>
      <c r="T58" s="4">
        <f t="shared" si="5"/>
        <v>24</v>
      </c>
      <c r="U58" s="4">
        <f t="shared" si="5"/>
        <v>24</v>
      </c>
    </row>
  </sheetData>
  <pageMargins left="0.5" right="0.5" top="0.75" bottom="0.75" header="0.5" footer="0.5"/>
  <pageSetup orientation="portrait" horizontalDpi="0" verticalDpi="0" copies="0"/>
  <headerFooter alignWithMargins="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6"/>
  <sheetViews>
    <sheetView showOutlineSymbols="0" defaultGridColor="0" colorId="9" workbookViewId="0">
      <selection activeCell="D6" sqref="D6"/>
    </sheetView>
  </sheetViews>
  <sheetFormatPr defaultColWidth="8.6640625" defaultRowHeight="15" x14ac:dyDescent="0.2"/>
  <cols>
    <col min="1" max="16384" width="8.6640625" style="2"/>
  </cols>
  <sheetData>
    <row r="1" spans="1:14" ht="18" x14ac:dyDescent="0.25">
      <c r="A1" s="18" t="s">
        <v>1712</v>
      </c>
      <c r="N1" s="2" t="s">
        <v>1</v>
      </c>
    </row>
    <row r="2" spans="1:14" x14ac:dyDescent="0.2">
      <c r="A2" s="2" t="s">
        <v>1713</v>
      </c>
      <c r="N2" s="2" t="s">
        <v>1</v>
      </c>
    </row>
    <row r="3" spans="1:14" x14ac:dyDescent="0.2">
      <c r="N3" s="2" t="s">
        <v>1</v>
      </c>
    </row>
    <row r="4" spans="1:14" x14ac:dyDescent="0.2">
      <c r="N4" s="2" t="s">
        <v>1</v>
      </c>
    </row>
    <row r="5" spans="1:14" x14ac:dyDescent="0.2">
      <c r="N5" s="2" t="s">
        <v>1</v>
      </c>
    </row>
    <row r="6" spans="1:14" x14ac:dyDescent="0.2">
      <c r="A6" s="2" t="s">
        <v>682</v>
      </c>
      <c r="B6" s="21" t="s">
        <v>253</v>
      </c>
      <c r="C6" s="8" t="s">
        <v>286</v>
      </c>
      <c r="D6" s="8" t="s">
        <v>138</v>
      </c>
      <c r="E6" s="8" t="s">
        <v>136</v>
      </c>
      <c r="F6" s="8" t="s">
        <v>130</v>
      </c>
      <c r="G6" s="8" t="s">
        <v>133</v>
      </c>
      <c r="H6" s="8" t="s">
        <v>127</v>
      </c>
      <c r="I6" s="8" t="s">
        <v>121</v>
      </c>
      <c r="J6" s="8" t="s">
        <v>112</v>
      </c>
      <c r="K6" s="8" t="s">
        <v>124</v>
      </c>
      <c r="L6" s="8" t="s">
        <v>114</v>
      </c>
      <c r="N6" s="2" t="s">
        <v>1</v>
      </c>
    </row>
    <row r="7" spans="1:14" x14ac:dyDescent="0.2">
      <c r="D7" s="8" t="s">
        <v>266</v>
      </c>
      <c r="E7" s="8" t="s">
        <v>144</v>
      </c>
      <c r="F7" s="8" t="s">
        <v>144</v>
      </c>
      <c r="G7" s="8" t="s">
        <v>144</v>
      </c>
      <c r="H7" s="8" t="s">
        <v>144</v>
      </c>
      <c r="I7" s="8" t="s">
        <v>144</v>
      </c>
      <c r="J7" s="8" t="s">
        <v>144</v>
      </c>
      <c r="K7" s="8" t="s">
        <v>144</v>
      </c>
      <c r="L7" s="8" t="s">
        <v>144</v>
      </c>
      <c r="N7" s="2" t="s">
        <v>1</v>
      </c>
    </row>
    <row r="8" spans="1:14" x14ac:dyDescent="0.2">
      <c r="B8" s="19"/>
      <c r="N8" s="2" t="s">
        <v>1</v>
      </c>
    </row>
    <row r="9" spans="1:14" x14ac:dyDescent="0.2">
      <c r="A9" s="2" t="s">
        <v>1714</v>
      </c>
      <c r="B9" s="19">
        <f>DATE(90,7,27)</f>
        <v>33081</v>
      </c>
      <c r="C9" s="8" t="s">
        <v>1204</v>
      </c>
      <c r="D9" s="4">
        <v>338</v>
      </c>
      <c r="E9" s="4">
        <v>536</v>
      </c>
      <c r="F9" s="4">
        <v>292</v>
      </c>
      <c r="G9" s="4">
        <v>73</v>
      </c>
      <c r="H9" s="4">
        <v>7</v>
      </c>
      <c r="I9" s="4">
        <v>272</v>
      </c>
      <c r="J9" s="4">
        <v>107</v>
      </c>
      <c r="K9" s="4"/>
      <c r="L9" s="4">
        <v>16</v>
      </c>
      <c r="N9" s="2" t="s">
        <v>1</v>
      </c>
    </row>
    <row r="10" spans="1:14" x14ac:dyDescent="0.2">
      <c r="A10" s="2" t="s">
        <v>1715</v>
      </c>
      <c r="B10" s="19">
        <f>DATE(90,7,27)</f>
        <v>33081</v>
      </c>
      <c r="C10" s="8" t="s">
        <v>1716</v>
      </c>
      <c r="D10" s="4">
        <v>340</v>
      </c>
      <c r="E10" s="4">
        <v>518</v>
      </c>
      <c r="F10" s="4">
        <v>293</v>
      </c>
      <c r="G10" s="4">
        <v>61</v>
      </c>
      <c r="H10" s="4">
        <v>10</v>
      </c>
      <c r="I10" s="4">
        <v>223</v>
      </c>
      <c r="J10" s="4">
        <v>110</v>
      </c>
      <c r="K10" s="4"/>
      <c r="L10" s="4">
        <v>6</v>
      </c>
      <c r="N10" s="2" t="s">
        <v>1</v>
      </c>
    </row>
    <row r="11" spans="1:14" x14ac:dyDescent="0.2">
      <c r="A11" s="2" t="s">
        <v>1717</v>
      </c>
      <c r="B11" s="19">
        <f>DATE(90,7,27)</f>
        <v>33081</v>
      </c>
      <c r="C11" s="8" t="s">
        <v>1268</v>
      </c>
      <c r="D11" s="4">
        <v>340</v>
      </c>
      <c r="E11" s="4">
        <v>763</v>
      </c>
      <c r="F11" s="4">
        <v>479</v>
      </c>
      <c r="G11" s="4">
        <v>139</v>
      </c>
      <c r="H11" s="4">
        <v>32</v>
      </c>
      <c r="I11" s="4">
        <v>961</v>
      </c>
      <c r="J11" s="4">
        <v>100</v>
      </c>
      <c r="K11" s="4">
        <v>132</v>
      </c>
      <c r="L11" s="4">
        <v>297</v>
      </c>
      <c r="N11" s="2" t="s">
        <v>1</v>
      </c>
    </row>
    <row r="12" spans="1:14" x14ac:dyDescent="0.2">
      <c r="A12" s="2" t="s">
        <v>1718</v>
      </c>
      <c r="B12" s="19">
        <f>DATE(90,7,28)</f>
        <v>33082</v>
      </c>
      <c r="C12" s="8" t="s">
        <v>1268</v>
      </c>
      <c r="D12" s="4">
        <v>339</v>
      </c>
      <c r="E12" s="4">
        <v>525</v>
      </c>
      <c r="F12" s="4">
        <v>306</v>
      </c>
      <c r="G12" s="4">
        <v>88</v>
      </c>
      <c r="H12" s="4">
        <v>19</v>
      </c>
      <c r="I12" s="4">
        <v>267</v>
      </c>
      <c r="J12" s="4">
        <v>111</v>
      </c>
      <c r="K12" s="4"/>
      <c r="L12" s="4">
        <v>9</v>
      </c>
      <c r="N12" s="2" t="s">
        <v>1</v>
      </c>
    </row>
    <row r="13" spans="1:14" x14ac:dyDescent="0.2">
      <c r="A13" s="2" t="s">
        <v>1719</v>
      </c>
      <c r="B13" s="19">
        <f>DATE(90,7,28)</f>
        <v>33082</v>
      </c>
      <c r="C13" s="8" t="s">
        <v>1716</v>
      </c>
      <c r="D13" s="4">
        <v>338</v>
      </c>
      <c r="E13" s="4">
        <v>515</v>
      </c>
      <c r="F13" s="4">
        <v>295</v>
      </c>
      <c r="G13" s="4">
        <v>68</v>
      </c>
      <c r="H13" s="4">
        <v>30</v>
      </c>
      <c r="I13" s="4">
        <v>212</v>
      </c>
      <c r="J13" s="4">
        <v>111</v>
      </c>
      <c r="K13" s="4"/>
      <c r="L13" s="4">
        <v>19</v>
      </c>
      <c r="N13" s="2" t="s">
        <v>1</v>
      </c>
    </row>
    <row r="14" spans="1:14" x14ac:dyDescent="0.2">
      <c r="A14" s="2" t="s">
        <v>1720</v>
      </c>
      <c r="B14" s="19">
        <f>DATE(90,7,28)</f>
        <v>33082</v>
      </c>
      <c r="C14" s="8" t="s">
        <v>1204</v>
      </c>
      <c r="D14" s="4">
        <v>338</v>
      </c>
      <c r="E14" s="4">
        <v>525</v>
      </c>
      <c r="F14" s="4">
        <v>292</v>
      </c>
      <c r="G14" s="4">
        <v>69</v>
      </c>
      <c r="H14" s="4">
        <v>8</v>
      </c>
      <c r="I14" s="4">
        <v>224</v>
      </c>
      <c r="J14" s="4">
        <v>111</v>
      </c>
      <c r="K14" s="4"/>
      <c r="L14" s="4">
        <v>5</v>
      </c>
      <c r="N14" s="2" t="s">
        <v>1</v>
      </c>
    </row>
    <row r="15" spans="1:14" x14ac:dyDescent="0.2">
      <c r="A15" s="2" t="s">
        <v>1721</v>
      </c>
      <c r="B15" s="19">
        <f>DATE(90,7,29)</f>
        <v>33083</v>
      </c>
      <c r="C15" s="8" t="s">
        <v>1268</v>
      </c>
      <c r="D15" s="4">
        <v>337</v>
      </c>
      <c r="E15" s="4">
        <v>516</v>
      </c>
      <c r="F15" s="4">
        <v>303</v>
      </c>
      <c r="G15" s="4">
        <v>70</v>
      </c>
      <c r="H15" s="4">
        <v>17</v>
      </c>
      <c r="I15" s="4">
        <v>232</v>
      </c>
      <c r="J15" s="4">
        <v>109</v>
      </c>
      <c r="K15" s="4"/>
      <c r="L15" s="4">
        <v>9</v>
      </c>
      <c r="N15" s="2" t="s">
        <v>1</v>
      </c>
    </row>
    <row r="16" spans="1:14" x14ac:dyDescent="0.2">
      <c r="A16" s="2" t="s">
        <v>1722</v>
      </c>
      <c r="B16" s="19">
        <f>DATE(90,7,29)</f>
        <v>33083</v>
      </c>
      <c r="C16" s="8" t="s">
        <v>1204</v>
      </c>
      <c r="D16" s="4">
        <v>339</v>
      </c>
      <c r="E16" s="4">
        <v>546</v>
      </c>
      <c r="F16" s="4">
        <v>292</v>
      </c>
      <c r="G16" s="4">
        <v>63</v>
      </c>
      <c r="H16" s="4">
        <v>24</v>
      </c>
      <c r="I16" s="4">
        <v>224</v>
      </c>
      <c r="J16" s="4">
        <v>112</v>
      </c>
      <c r="K16" s="4"/>
      <c r="L16" s="4">
        <v>5</v>
      </c>
      <c r="N16" s="2" t="s">
        <v>1</v>
      </c>
    </row>
    <row r="17" spans="1:14" x14ac:dyDescent="0.2">
      <c r="A17" s="2" t="s">
        <v>1723</v>
      </c>
      <c r="B17" s="19">
        <f>DATE(90,7,29)</f>
        <v>33083</v>
      </c>
      <c r="C17" s="8" t="s">
        <v>1716</v>
      </c>
      <c r="D17" s="4">
        <v>342</v>
      </c>
      <c r="E17" s="4">
        <v>529</v>
      </c>
      <c r="F17" s="4">
        <v>303</v>
      </c>
      <c r="G17" s="4">
        <v>66</v>
      </c>
      <c r="H17" s="4">
        <v>8</v>
      </c>
      <c r="I17" s="4">
        <v>230</v>
      </c>
      <c r="J17" s="4">
        <v>108</v>
      </c>
      <c r="K17" s="4"/>
      <c r="L17" s="4">
        <v>6</v>
      </c>
      <c r="N17" s="2" t="s">
        <v>1</v>
      </c>
    </row>
    <row r="18" spans="1:14" x14ac:dyDescent="0.2">
      <c r="A18" s="2" t="s">
        <v>1724</v>
      </c>
      <c r="B18" s="19">
        <f>DATE(90,8,3)</f>
        <v>33088</v>
      </c>
      <c r="C18" s="8" t="s">
        <v>1271</v>
      </c>
      <c r="D18" s="4">
        <v>343.9</v>
      </c>
      <c r="E18" s="4">
        <v>510</v>
      </c>
      <c r="F18" s="4">
        <v>322</v>
      </c>
      <c r="G18" s="4">
        <v>62</v>
      </c>
      <c r="H18" s="4">
        <v>15</v>
      </c>
      <c r="I18" s="4">
        <v>264</v>
      </c>
      <c r="J18" s="4">
        <v>109</v>
      </c>
      <c r="K18" s="4">
        <v>4</v>
      </c>
      <c r="L18" s="4">
        <v>14</v>
      </c>
      <c r="N18" s="2" t="s">
        <v>1</v>
      </c>
    </row>
    <row r="19" spans="1:14" x14ac:dyDescent="0.2">
      <c r="A19" s="2" t="s">
        <v>1725</v>
      </c>
      <c r="B19" s="19">
        <f>DATE(90,8,3)</f>
        <v>33088</v>
      </c>
      <c r="C19" s="8" t="s">
        <v>1716</v>
      </c>
      <c r="D19" s="4">
        <v>339.6</v>
      </c>
      <c r="E19" s="4">
        <v>530</v>
      </c>
      <c r="F19" s="4">
        <v>291</v>
      </c>
      <c r="G19" s="4">
        <v>60</v>
      </c>
      <c r="H19" s="4">
        <v>6</v>
      </c>
      <c r="I19" s="4">
        <v>239</v>
      </c>
      <c r="J19" s="4">
        <v>108</v>
      </c>
      <c r="K19" s="4"/>
      <c r="L19" s="4">
        <v>8</v>
      </c>
      <c r="N19" s="2" t="s">
        <v>1</v>
      </c>
    </row>
    <row r="20" spans="1:14" x14ac:dyDescent="0.2">
      <c r="A20" s="2" t="s">
        <v>1726</v>
      </c>
      <c r="B20" s="19">
        <f>DATE(90,8,3)</f>
        <v>33088</v>
      </c>
      <c r="C20" s="8" t="s">
        <v>1204</v>
      </c>
      <c r="D20" s="4">
        <v>339.7</v>
      </c>
      <c r="E20" s="4">
        <v>531</v>
      </c>
      <c r="F20" s="4">
        <v>289</v>
      </c>
      <c r="G20" s="4">
        <v>63</v>
      </c>
      <c r="H20" s="4">
        <v>16</v>
      </c>
      <c r="I20" s="4">
        <v>226</v>
      </c>
      <c r="J20" s="4">
        <v>106</v>
      </c>
      <c r="K20" s="4"/>
      <c r="L20" s="4">
        <v>17</v>
      </c>
      <c r="N20" s="2" t="s">
        <v>1</v>
      </c>
    </row>
    <row r="21" spans="1:14" x14ac:dyDescent="0.2">
      <c r="A21" s="2" t="s">
        <v>1727</v>
      </c>
      <c r="B21" s="19">
        <f>DATE(90,8,4)</f>
        <v>33089</v>
      </c>
      <c r="C21" s="8" t="s">
        <v>1268</v>
      </c>
      <c r="D21" s="4">
        <v>336.1</v>
      </c>
      <c r="E21" s="4">
        <v>569</v>
      </c>
      <c r="F21" s="4">
        <v>308</v>
      </c>
      <c r="G21" s="4">
        <v>93</v>
      </c>
      <c r="H21" s="4">
        <v>25</v>
      </c>
      <c r="I21" s="4">
        <v>327</v>
      </c>
      <c r="J21" s="4">
        <v>110</v>
      </c>
      <c r="K21" s="4"/>
      <c r="L21" s="4">
        <v>10</v>
      </c>
      <c r="N21" s="2" t="s">
        <v>1</v>
      </c>
    </row>
    <row r="22" spans="1:14" x14ac:dyDescent="0.2">
      <c r="A22" s="2" t="s">
        <v>1728</v>
      </c>
      <c r="B22" s="19">
        <f>DATE(90,8,4)</f>
        <v>33089</v>
      </c>
      <c r="C22" s="8" t="s">
        <v>1204</v>
      </c>
      <c r="D22" s="4">
        <v>342.2</v>
      </c>
      <c r="E22" s="4">
        <v>563</v>
      </c>
      <c r="F22" s="4">
        <v>298</v>
      </c>
      <c r="G22" s="4">
        <v>90</v>
      </c>
      <c r="H22" s="4">
        <v>10</v>
      </c>
      <c r="I22" s="4">
        <v>295</v>
      </c>
      <c r="J22" s="4">
        <v>110</v>
      </c>
      <c r="K22" s="4"/>
      <c r="L22" s="4">
        <v>36</v>
      </c>
      <c r="N22" s="2" t="s">
        <v>1</v>
      </c>
    </row>
    <row r="23" spans="1:14" x14ac:dyDescent="0.2">
      <c r="A23" s="2" t="s">
        <v>1729</v>
      </c>
      <c r="B23" s="19">
        <f>DATE(90,8,4)</f>
        <v>33089</v>
      </c>
      <c r="C23" s="8" t="s">
        <v>1716</v>
      </c>
      <c r="D23" s="4">
        <v>339.4</v>
      </c>
      <c r="E23" s="4">
        <v>540</v>
      </c>
      <c r="F23" s="4">
        <v>293</v>
      </c>
      <c r="G23" s="4">
        <v>84</v>
      </c>
      <c r="H23" s="4">
        <v>4</v>
      </c>
      <c r="I23" s="4">
        <v>276</v>
      </c>
      <c r="J23" s="4">
        <v>108</v>
      </c>
      <c r="K23" s="4"/>
      <c r="L23" s="4">
        <v>10</v>
      </c>
      <c r="N23" s="2" t="s">
        <v>1</v>
      </c>
    </row>
    <row r="24" spans="1:14" x14ac:dyDescent="0.2">
      <c r="A24" s="2" t="s">
        <v>1730</v>
      </c>
      <c r="B24" s="19">
        <f>DATE(90,8,5)</f>
        <v>33090</v>
      </c>
      <c r="C24" s="8" t="s">
        <v>1716</v>
      </c>
      <c r="D24" s="4">
        <v>342.1</v>
      </c>
      <c r="E24" s="4">
        <v>539</v>
      </c>
      <c r="F24" s="4">
        <v>294</v>
      </c>
      <c r="G24" s="4">
        <v>64</v>
      </c>
      <c r="H24" s="4">
        <v>14</v>
      </c>
      <c r="I24" s="4">
        <v>319</v>
      </c>
      <c r="J24" s="4">
        <v>111</v>
      </c>
      <c r="K24" s="4">
        <v>108</v>
      </c>
      <c r="L24" s="4">
        <v>28</v>
      </c>
      <c r="N24" s="2" t="s">
        <v>1</v>
      </c>
    </row>
    <row r="25" spans="1:14" x14ac:dyDescent="0.2">
      <c r="A25" s="2" t="s">
        <v>1731</v>
      </c>
      <c r="B25" s="19">
        <f>DATE(90,8,5)</f>
        <v>33090</v>
      </c>
      <c r="C25" s="8" t="s">
        <v>1204</v>
      </c>
      <c r="D25" s="4">
        <v>341.1</v>
      </c>
      <c r="E25" s="4">
        <v>548</v>
      </c>
      <c r="F25" s="4">
        <v>297</v>
      </c>
      <c r="G25" s="4">
        <v>72</v>
      </c>
      <c r="H25" s="4">
        <v>31</v>
      </c>
      <c r="I25" s="4">
        <v>282</v>
      </c>
      <c r="J25" s="4">
        <v>112</v>
      </c>
      <c r="K25" s="4"/>
      <c r="L25" s="4">
        <v>25</v>
      </c>
      <c r="N25" s="2" t="s">
        <v>1</v>
      </c>
    </row>
    <row r="26" spans="1:14" x14ac:dyDescent="0.2">
      <c r="A26" s="2" t="s">
        <v>1732</v>
      </c>
      <c r="B26" s="19">
        <f>DATE(90,8,5)</f>
        <v>33090</v>
      </c>
      <c r="C26" s="8" t="s">
        <v>1268</v>
      </c>
      <c r="D26" s="4">
        <v>339</v>
      </c>
      <c r="E26" s="4">
        <v>548</v>
      </c>
      <c r="F26" s="4">
        <v>303</v>
      </c>
      <c r="G26" s="4">
        <v>82</v>
      </c>
      <c r="H26" s="4">
        <v>16</v>
      </c>
      <c r="I26" s="4">
        <v>286</v>
      </c>
      <c r="J26" s="4">
        <v>110</v>
      </c>
      <c r="K26" s="4"/>
      <c r="L26" s="4">
        <v>19</v>
      </c>
      <c r="N26" s="2" t="s">
        <v>1</v>
      </c>
    </row>
    <row r="27" spans="1:14" x14ac:dyDescent="0.2">
      <c r="A27" s="2" t="s">
        <v>1733</v>
      </c>
      <c r="B27" s="19">
        <f>DATE(90,8,6)</f>
        <v>33091</v>
      </c>
      <c r="C27" s="8" t="s">
        <v>1716</v>
      </c>
      <c r="D27" s="4">
        <v>341.9</v>
      </c>
      <c r="E27" s="4">
        <v>510</v>
      </c>
      <c r="F27" s="4">
        <v>295</v>
      </c>
      <c r="G27" s="4">
        <v>69</v>
      </c>
      <c r="H27" s="4">
        <v>13</v>
      </c>
      <c r="I27" s="4">
        <v>236</v>
      </c>
      <c r="J27" s="4">
        <v>109</v>
      </c>
      <c r="K27" s="4">
        <v>10</v>
      </c>
      <c r="L27" s="4">
        <v>21</v>
      </c>
      <c r="N27" s="2" t="s">
        <v>1</v>
      </c>
    </row>
    <row r="28" spans="1:14" x14ac:dyDescent="0.2">
      <c r="A28" s="2" t="s">
        <v>1734</v>
      </c>
      <c r="B28" s="19">
        <f>DATE(90,8,6)</f>
        <v>33091</v>
      </c>
      <c r="C28" s="8" t="s">
        <v>1204</v>
      </c>
      <c r="D28" s="4">
        <v>336.3</v>
      </c>
      <c r="E28" s="4">
        <v>522</v>
      </c>
      <c r="F28" s="4">
        <v>290</v>
      </c>
      <c r="G28" s="4">
        <v>76</v>
      </c>
      <c r="H28" s="4">
        <v>12</v>
      </c>
      <c r="I28" s="4">
        <v>240</v>
      </c>
      <c r="J28" s="4">
        <v>106</v>
      </c>
      <c r="K28" s="4"/>
      <c r="L28" s="4">
        <v>10</v>
      </c>
      <c r="N28" s="2" t="s">
        <v>1</v>
      </c>
    </row>
    <row r="29" spans="1:14" x14ac:dyDescent="0.2">
      <c r="A29" s="2" t="s">
        <v>1735</v>
      </c>
      <c r="B29" s="19">
        <f>DATE(90,8,6)</f>
        <v>33091</v>
      </c>
      <c r="C29" s="8" t="s">
        <v>1268</v>
      </c>
      <c r="D29" s="4">
        <v>337</v>
      </c>
      <c r="E29" s="4">
        <v>551</v>
      </c>
      <c r="F29" s="4">
        <v>311</v>
      </c>
      <c r="G29" s="4">
        <v>92</v>
      </c>
      <c r="H29" s="4">
        <v>9</v>
      </c>
      <c r="I29" s="4">
        <v>275</v>
      </c>
      <c r="J29" s="4">
        <v>108</v>
      </c>
      <c r="K29" s="4">
        <v>5</v>
      </c>
      <c r="L29" s="4">
        <v>15</v>
      </c>
      <c r="N29" s="2" t="s">
        <v>1</v>
      </c>
    </row>
    <row r="30" spans="1:14" x14ac:dyDescent="0.2">
      <c r="A30" s="2" t="s">
        <v>1736</v>
      </c>
      <c r="B30" s="19">
        <f>DATE(90,8,22)</f>
        <v>33107</v>
      </c>
      <c r="C30" s="8" t="s">
        <v>1268</v>
      </c>
      <c r="D30" s="4">
        <v>342.2</v>
      </c>
      <c r="E30" s="4">
        <v>543</v>
      </c>
      <c r="F30" s="4">
        <v>304</v>
      </c>
      <c r="G30" s="4">
        <v>90</v>
      </c>
      <c r="H30" s="4">
        <v>11</v>
      </c>
      <c r="I30" s="4">
        <v>277</v>
      </c>
      <c r="J30" s="4">
        <v>107</v>
      </c>
      <c r="K30" s="4">
        <v>11</v>
      </c>
      <c r="L30" s="4">
        <v>44</v>
      </c>
      <c r="N30" s="2" t="s">
        <v>1</v>
      </c>
    </row>
    <row r="31" spans="1:14" x14ac:dyDescent="0.2">
      <c r="A31" s="2" t="s">
        <v>1737</v>
      </c>
      <c r="B31" s="19">
        <f>DATE(90,8,22)</f>
        <v>33107</v>
      </c>
      <c r="C31" s="8" t="s">
        <v>1204</v>
      </c>
      <c r="D31" s="4">
        <v>338.9</v>
      </c>
      <c r="E31" s="4">
        <v>542</v>
      </c>
      <c r="F31" s="4">
        <v>292</v>
      </c>
      <c r="G31" s="4">
        <v>67</v>
      </c>
      <c r="H31" s="4">
        <v>15</v>
      </c>
      <c r="I31" s="4">
        <v>232</v>
      </c>
      <c r="J31" s="4">
        <v>109</v>
      </c>
      <c r="K31" s="4">
        <v>6</v>
      </c>
      <c r="L31" s="4">
        <v>10</v>
      </c>
      <c r="N31" s="2" t="s">
        <v>1</v>
      </c>
    </row>
    <row r="32" spans="1:14" x14ac:dyDescent="0.2">
      <c r="A32" s="2" t="s">
        <v>1738</v>
      </c>
      <c r="B32" s="19">
        <f>DATE(90,8,23)</f>
        <v>33108</v>
      </c>
      <c r="C32" s="8" t="s">
        <v>1268</v>
      </c>
      <c r="D32" s="4">
        <v>339</v>
      </c>
      <c r="E32" s="4">
        <v>515</v>
      </c>
      <c r="F32" s="4">
        <v>298</v>
      </c>
      <c r="G32" s="4">
        <v>60</v>
      </c>
      <c r="H32" s="4">
        <v>10</v>
      </c>
      <c r="I32" s="4">
        <v>199</v>
      </c>
      <c r="J32" s="4">
        <v>106</v>
      </c>
      <c r="K32" s="4">
        <v>8</v>
      </c>
      <c r="L32" s="4">
        <v>10</v>
      </c>
      <c r="N32" s="2" t="s">
        <v>1</v>
      </c>
    </row>
    <row r="33" spans="1:14" x14ac:dyDescent="0.2">
      <c r="A33" s="2" t="s">
        <v>1739</v>
      </c>
      <c r="B33" s="19">
        <f>DATE(90,8,23)</f>
        <v>33108</v>
      </c>
      <c r="C33" s="8" t="s">
        <v>1716</v>
      </c>
      <c r="D33" s="4">
        <v>337.1</v>
      </c>
      <c r="E33" s="4">
        <v>526</v>
      </c>
      <c r="F33" s="4">
        <v>289</v>
      </c>
      <c r="G33" s="4">
        <v>56</v>
      </c>
      <c r="H33" s="4">
        <v>16</v>
      </c>
      <c r="I33" s="4">
        <v>193</v>
      </c>
      <c r="J33" s="4">
        <v>111</v>
      </c>
      <c r="K33" s="4"/>
      <c r="L33" s="4">
        <v>5</v>
      </c>
      <c r="N33" s="2" t="s">
        <v>1</v>
      </c>
    </row>
    <row r="34" spans="1:14" x14ac:dyDescent="0.2">
      <c r="A34" s="2" t="s">
        <v>1740</v>
      </c>
      <c r="B34" s="19">
        <f>DATE(90,8,23)</f>
        <v>33108</v>
      </c>
      <c r="C34" s="8" t="s">
        <v>1204</v>
      </c>
      <c r="D34" s="4">
        <v>340.5</v>
      </c>
      <c r="E34" s="4">
        <v>539</v>
      </c>
      <c r="F34" s="4">
        <v>290</v>
      </c>
      <c r="G34" s="4">
        <v>58</v>
      </c>
      <c r="H34" s="4"/>
      <c r="I34" s="4">
        <v>195</v>
      </c>
      <c r="J34" s="4">
        <v>111</v>
      </c>
      <c r="K34" s="4"/>
      <c r="L34" s="4">
        <v>5</v>
      </c>
      <c r="N34" s="2" t="s">
        <v>1</v>
      </c>
    </row>
    <row r="35" spans="1:14" x14ac:dyDescent="0.2">
      <c r="A35" s="2" t="s">
        <v>1741</v>
      </c>
      <c r="B35" s="19">
        <f>DATE(90,8,23)</f>
        <v>33108</v>
      </c>
      <c r="C35" s="8" t="s">
        <v>1204</v>
      </c>
      <c r="D35" s="4">
        <v>340.5</v>
      </c>
      <c r="E35" s="4">
        <v>530</v>
      </c>
      <c r="F35" s="4">
        <v>294</v>
      </c>
      <c r="G35" s="4">
        <v>78</v>
      </c>
      <c r="H35" s="4">
        <v>9</v>
      </c>
      <c r="I35" s="4">
        <v>261</v>
      </c>
      <c r="J35" s="4">
        <v>109</v>
      </c>
      <c r="K35" s="4">
        <v>11</v>
      </c>
      <c r="L35" s="4">
        <v>32</v>
      </c>
      <c r="N35" s="2" t="s">
        <v>1</v>
      </c>
    </row>
    <row r="36" spans="1:14" x14ac:dyDescent="0.2">
      <c r="A36" s="2" t="s">
        <v>1742</v>
      </c>
      <c r="B36" s="19">
        <f>DATE(90,8,24)</f>
        <v>33109</v>
      </c>
      <c r="C36" s="8" t="s">
        <v>1268</v>
      </c>
      <c r="D36" s="4">
        <v>340.9</v>
      </c>
      <c r="E36" s="4">
        <v>517</v>
      </c>
      <c r="F36" s="4">
        <v>290</v>
      </c>
      <c r="G36" s="4">
        <v>54</v>
      </c>
      <c r="H36" s="4">
        <v>25</v>
      </c>
      <c r="I36" s="4">
        <v>184</v>
      </c>
      <c r="J36" s="4">
        <v>112</v>
      </c>
      <c r="K36" s="4"/>
      <c r="L36" s="4">
        <v>6</v>
      </c>
      <c r="N36" s="2" t="s">
        <v>1</v>
      </c>
    </row>
    <row r="37" spans="1:14" x14ac:dyDescent="0.2">
      <c r="A37" s="2" t="s">
        <v>1743</v>
      </c>
      <c r="B37" s="19">
        <f>DATE(90,8,24)</f>
        <v>33109</v>
      </c>
      <c r="C37" s="8" t="s">
        <v>1204</v>
      </c>
      <c r="D37" s="4">
        <v>340.3</v>
      </c>
      <c r="E37" s="4">
        <v>509</v>
      </c>
      <c r="F37" s="4">
        <v>309</v>
      </c>
      <c r="G37" s="4">
        <v>59</v>
      </c>
      <c r="H37" s="4">
        <v>14</v>
      </c>
      <c r="I37" s="4">
        <v>189</v>
      </c>
      <c r="J37" s="4">
        <v>109</v>
      </c>
      <c r="K37" s="4"/>
      <c r="L37" s="4">
        <v>8</v>
      </c>
      <c r="N37" s="2" t="s">
        <v>1</v>
      </c>
    </row>
    <row r="38" spans="1:14" x14ac:dyDescent="0.2">
      <c r="A38" s="2" t="s">
        <v>1744</v>
      </c>
      <c r="B38" s="19">
        <f>DATE(90,8,24)</f>
        <v>33109</v>
      </c>
      <c r="C38" s="8" t="s">
        <v>1716</v>
      </c>
      <c r="D38" s="4">
        <v>338</v>
      </c>
      <c r="E38" s="4">
        <v>528</v>
      </c>
      <c r="F38" s="4">
        <v>286</v>
      </c>
      <c r="G38" s="4">
        <v>53</v>
      </c>
      <c r="H38" s="4">
        <v>6</v>
      </c>
      <c r="I38" s="4">
        <v>190</v>
      </c>
      <c r="J38" s="4">
        <v>110</v>
      </c>
      <c r="K38" s="4">
        <v>10</v>
      </c>
      <c r="L38" s="4">
        <v>10</v>
      </c>
      <c r="N38" s="2" t="s">
        <v>1</v>
      </c>
    </row>
    <row r="39" spans="1:14" x14ac:dyDescent="0.2">
      <c r="N39" s="2" t="s">
        <v>1</v>
      </c>
    </row>
    <row r="40" spans="1:14" x14ac:dyDescent="0.2">
      <c r="D40" s="8" t="s">
        <v>138</v>
      </c>
      <c r="E40" s="8" t="s">
        <v>136</v>
      </c>
      <c r="F40" s="8" t="s">
        <v>130</v>
      </c>
      <c r="G40" s="8" t="s">
        <v>133</v>
      </c>
      <c r="H40" s="8" t="s">
        <v>127</v>
      </c>
      <c r="I40" s="8" t="s">
        <v>121</v>
      </c>
      <c r="J40" s="8" t="s">
        <v>112</v>
      </c>
      <c r="K40" s="8" t="s">
        <v>124</v>
      </c>
      <c r="L40" s="8" t="s">
        <v>114</v>
      </c>
      <c r="N40" s="2" t="s">
        <v>1</v>
      </c>
    </row>
    <row r="41" spans="1:14" x14ac:dyDescent="0.2">
      <c r="D41" s="8" t="s">
        <v>266</v>
      </c>
      <c r="E41" s="8" t="s">
        <v>144</v>
      </c>
      <c r="F41" s="8" t="s">
        <v>144</v>
      </c>
      <c r="G41" s="8" t="s">
        <v>144</v>
      </c>
      <c r="H41" s="8" t="s">
        <v>144</v>
      </c>
      <c r="I41" s="8" t="s">
        <v>144</v>
      </c>
      <c r="J41" s="8" t="s">
        <v>144</v>
      </c>
      <c r="K41" s="8" t="s">
        <v>144</v>
      </c>
      <c r="L41" s="8" t="s">
        <v>144</v>
      </c>
      <c r="N41" s="2" t="s">
        <v>1</v>
      </c>
    </row>
    <row r="43" spans="1:14" x14ac:dyDescent="0.2">
      <c r="A43" s="2" t="s">
        <v>529</v>
      </c>
      <c r="B43" s="7">
        <f>AVERAGE(B9:B38)</f>
        <v>33092.833333333336</v>
      </c>
      <c r="D43" s="4">
        <f t="shared" ref="D43:L43" si="0">AVERAGE(D9:D38)</f>
        <v>339.55666666666662</v>
      </c>
      <c r="E43" s="4">
        <f t="shared" si="0"/>
        <v>539.43333333333328</v>
      </c>
      <c r="F43" s="4">
        <f t="shared" si="0"/>
        <v>303.26666666666665</v>
      </c>
      <c r="G43" s="4">
        <f t="shared" si="0"/>
        <v>72.63333333333334</v>
      </c>
      <c r="H43" s="4">
        <f t="shared" si="0"/>
        <v>14.896551724137931</v>
      </c>
      <c r="I43" s="4">
        <f t="shared" si="0"/>
        <v>267.66666666666669</v>
      </c>
      <c r="J43" s="4">
        <f t="shared" si="0"/>
        <v>109</v>
      </c>
      <c r="K43" s="4">
        <f t="shared" si="0"/>
        <v>30.5</v>
      </c>
      <c r="L43" s="4">
        <f t="shared" si="0"/>
        <v>23.833333333333332</v>
      </c>
      <c r="N43" s="2" t="s">
        <v>1</v>
      </c>
    </row>
    <row r="44" spans="1:14" x14ac:dyDescent="0.2">
      <c r="A44" s="2" t="s">
        <v>255</v>
      </c>
      <c r="D44" s="4">
        <f t="shared" ref="D44:L44" si="1">STDEV(D9:D38)</f>
        <v>1.9542497163932162</v>
      </c>
      <c r="E44" s="4">
        <f t="shared" si="1"/>
        <v>44.92191181282849</v>
      </c>
      <c r="F44" s="4">
        <f t="shared" si="1"/>
        <v>34.170902456807383</v>
      </c>
      <c r="G44" s="4">
        <f t="shared" si="1"/>
        <v>17.279613927147349</v>
      </c>
      <c r="H44" s="4">
        <f t="shared" si="1"/>
        <v>7.7843470576086533</v>
      </c>
      <c r="I44" s="4">
        <f t="shared" si="1"/>
        <v>136.51205159210323</v>
      </c>
      <c r="J44" s="4">
        <f t="shared" si="1"/>
        <v>2.463527048205759</v>
      </c>
      <c r="K44" s="4">
        <f t="shared" si="1"/>
        <v>47.572751304361894</v>
      </c>
      <c r="L44" s="4">
        <f t="shared" si="1"/>
        <v>52.542320107688916</v>
      </c>
      <c r="N44" s="2" t="s">
        <v>1</v>
      </c>
    </row>
    <row r="45" spans="1:14" x14ac:dyDescent="0.2">
      <c r="A45" s="2" t="s">
        <v>365</v>
      </c>
      <c r="D45" s="4">
        <f t="shared" ref="D45:L45" si="2">COUNTA(D9:D38)</f>
        <v>30</v>
      </c>
      <c r="E45" s="4">
        <f t="shared" si="2"/>
        <v>30</v>
      </c>
      <c r="F45" s="4">
        <f t="shared" si="2"/>
        <v>30</v>
      </c>
      <c r="G45" s="4">
        <f t="shared" si="2"/>
        <v>30</v>
      </c>
      <c r="H45" s="4">
        <f t="shared" si="2"/>
        <v>29</v>
      </c>
      <c r="I45" s="4">
        <f t="shared" si="2"/>
        <v>30</v>
      </c>
      <c r="J45" s="4">
        <f t="shared" si="2"/>
        <v>30</v>
      </c>
      <c r="K45" s="4">
        <f t="shared" si="2"/>
        <v>10</v>
      </c>
      <c r="L45" s="4">
        <f t="shared" si="2"/>
        <v>30</v>
      </c>
      <c r="N45" s="2" t="s">
        <v>1</v>
      </c>
    </row>
    <row r="46" spans="1:14" x14ac:dyDescent="0.2">
      <c r="N46" s="2" t="s">
        <v>1</v>
      </c>
    </row>
  </sheetData>
  <pageMargins left="0.5" right="0.5" top="0.75" bottom="0.75" header="0.5" footer="0.5"/>
  <pageSetup orientation="portrait" horizontalDpi="0" verticalDpi="0" copies="0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2"/>
  <sheetViews>
    <sheetView showOutlineSymbols="0" defaultGridColor="0" colorId="9" workbookViewId="0">
      <selection activeCell="D21" sqref="D21"/>
    </sheetView>
  </sheetViews>
  <sheetFormatPr defaultColWidth="8.6640625" defaultRowHeight="15" x14ac:dyDescent="0.2"/>
  <cols>
    <col min="1" max="16384" width="8.6640625" style="2"/>
  </cols>
  <sheetData>
    <row r="1" spans="1:18" ht="18" x14ac:dyDescent="0.25">
      <c r="A1" s="18" t="s">
        <v>1745</v>
      </c>
      <c r="R1" s="2" t="s">
        <v>1</v>
      </c>
    </row>
    <row r="2" spans="1:18" x14ac:dyDescent="0.2">
      <c r="R2" s="2" t="s">
        <v>1</v>
      </c>
    </row>
    <row r="3" spans="1:18" x14ac:dyDescent="0.2">
      <c r="R3" s="2" t="s">
        <v>1</v>
      </c>
    </row>
    <row r="4" spans="1:18" x14ac:dyDescent="0.2">
      <c r="R4" s="2" t="s">
        <v>1</v>
      </c>
    </row>
    <row r="5" spans="1:18" x14ac:dyDescent="0.2">
      <c r="A5" s="2" t="s">
        <v>284</v>
      </c>
      <c r="B5" s="15" t="s">
        <v>253</v>
      </c>
      <c r="C5" s="2" t="s">
        <v>82</v>
      </c>
      <c r="D5" s="8" t="s">
        <v>117</v>
      </c>
      <c r="E5" s="8" t="s">
        <v>118</v>
      </c>
      <c r="F5" s="8" t="s">
        <v>123</v>
      </c>
      <c r="G5" s="8" t="s">
        <v>134</v>
      </c>
      <c r="H5" s="8" t="s">
        <v>138</v>
      </c>
      <c r="I5" s="8" t="s">
        <v>136</v>
      </c>
      <c r="J5" s="8" t="s">
        <v>130</v>
      </c>
      <c r="K5" s="8" t="s">
        <v>133</v>
      </c>
      <c r="L5" s="8" t="s">
        <v>127</v>
      </c>
      <c r="M5" s="8" t="s">
        <v>121</v>
      </c>
      <c r="N5" s="8" t="s">
        <v>112</v>
      </c>
      <c r="O5" s="8" t="s">
        <v>124</v>
      </c>
      <c r="P5" s="8" t="s">
        <v>114</v>
      </c>
      <c r="R5" s="2" t="s">
        <v>1</v>
      </c>
    </row>
    <row r="6" spans="1:18" x14ac:dyDescent="0.2">
      <c r="A6" s="2" t="s">
        <v>289</v>
      </c>
      <c r="D6" s="8" t="s">
        <v>266</v>
      </c>
      <c r="E6" s="8" t="s">
        <v>266</v>
      </c>
      <c r="F6" s="8" t="s">
        <v>266</v>
      </c>
      <c r="G6" s="8" t="s">
        <v>371</v>
      </c>
      <c r="H6" s="8" t="s">
        <v>266</v>
      </c>
      <c r="I6" s="8" t="s">
        <v>144</v>
      </c>
      <c r="J6" s="8" t="s">
        <v>144</v>
      </c>
      <c r="K6" s="8" t="s">
        <v>144</v>
      </c>
      <c r="L6" s="8" t="s">
        <v>144</v>
      </c>
      <c r="M6" s="8" t="s">
        <v>144</v>
      </c>
      <c r="N6" s="8" t="s">
        <v>144</v>
      </c>
      <c r="R6" s="2" t="s">
        <v>1</v>
      </c>
    </row>
    <row r="7" spans="1:18" x14ac:dyDescent="0.2">
      <c r="B7" s="19"/>
      <c r="R7" s="2" t="s">
        <v>1</v>
      </c>
    </row>
    <row r="8" spans="1:18" x14ac:dyDescent="0.2">
      <c r="A8" s="2">
        <v>1</v>
      </c>
      <c r="B8" s="19">
        <f>DATE(90,12,24)</f>
        <v>33231</v>
      </c>
      <c r="C8" s="2" t="s">
        <v>1746</v>
      </c>
      <c r="D8" s="2">
        <v>486</v>
      </c>
      <c r="E8" s="2">
        <v>140</v>
      </c>
      <c r="F8" s="2">
        <v>1830</v>
      </c>
      <c r="G8" s="2">
        <v>360</v>
      </c>
      <c r="H8" s="2">
        <v>339</v>
      </c>
      <c r="I8" s="2">
        <v>512</v>
      </c>
      <c r="J8" s="2">
        <v>288</v>
      </c>
      <c r="K8" s="2">
        <v>58</v>
      </c>
      <c r="L8" s="2">
        <v>27</v>
      </c>
      <c r="M8" s="2">
        <v>230</v>
      </c>
      <c r="N8" s="2">
        <v>161</v>
      </c>
      <c r="R8" s="2" t="s">
        <v>1</v>
      </c>
    </row>
    <row r="9" spans="1:18" x14ac:dyDescent="0.2">
      <c r="A9" s="2">
        <v>2</v>
      </c>
      <c r="B9" s="19"/>
      <c r="D9" s="2">
        <v>489</v>
      </c>
      <c r="E9" s="2">
        <v>138</v>
      </c>
      <c r="F9" s="2">
        <v>1832</v>
      </c>
      <c r="G9" s="2">
        <v>361</v>
      </c>
      <c r="H9" s="2">
        <v>340</v>
      </c>
      <c r="I9" s="2">
        <v>514</v>
      </c>
      <c r="J9" s="2">
        <v>287</v>
      </c>
      <c r="K9" s="2">
        <v>59</v>
      </c>
      <c r="L9" s="2">
        <v>30</v>
      </c>
      <c r="M9" s="2">
        <v>232</v>
      </c>
      <c r="N9" s="2">
        <v>162</v>
      </c>
      <c r="R9" s="2" t="s">
        <v>1</v>
      </c>
    </row>
    <row r="10" spans="1:18" x14ac:dyDescent="0.2">
      <c r="B10" s="19"/>
      <c r="R10" s="2" t="s">
        <v>1</v>
      </c>
    </row>
    <row r="11" spans="1:18" x14ac:dyDescent="0.2">
      <c r="A11" s="2">
        <v>3</v>
      </c>
      <c r="B11" s="19"/>
      <c r="C11" s="2" t="s">
        <v>1747</v>
      </c>
      <c r="D11" s="2">
        <v>492</v>
      </c>
      <c r="E11" s="2">
        <v>137</v>
      </c>
      <c r="F11" s="2">
        <v>1827</v>
      </c>
      <c r="G11" s="2">
        <v>359</v>
      </c>
      <c r="H11" s="2">
        <v>339</v>
      </c>
      <c r="I11" s="2">
        <v>513</v>
      </c>
      <c r="J11" s="2">
        <v>289</v>
      </c>
      <c r="K11" s="2">
        <v>59</v>
      </c>
      <c r="L11" s="2">
        <v>29</v>
      </c>
      <c r="M11" s="2">
        <v>230</v>
      </c>
      <c r="N11" s="2">
        <v>160</v>
      </c>
      <c r="R11" s="2" t="s">
        <v>1</v>
      </c>
    </row>
    <row r="12" spans="1:18" x14ac:dyDescent="0.2">
      <c r="A12" s="2">
        <v>4</v>
      </c>
      <c r="B12" s="19"/>
      <c r="D12" s="2">
        <v>490</v>
      </c>
      <c r="E12" s="2">
        <v>136</v>
      </c>
      <c r="F12" s="2">
        <v>1825</v>
      </c>
      <c r="G12" s="2">
        <v>359</v>
      </c>
      <c r="H12" s="2">
        <v>339</v>
      </c>
      <c r="I12" s="2">
        <v>515</v>
      </c>
      <c r="J12" s="2">
        <v>288</v>
      </c>
      <c r="K12" s="2">
        <v>60</v>
      </c>
      <c r="L12" s="2">
        <v>32</v>
      </c>
      <c r="M12" s="2">
        <v>229</v>
      </c>
      <c r="N12" s="2">
        <v>162</v>
      </c>
      <c r="R12" s="2" t="s">
        <v>1</v>
      </c>
    </row>
    <row r="13" spans="1:18" x14ac:dyDescent="0.2">
      <c r="R13" s="2" t="s">
        <v>1</v>
      </c>
    </row>
    <row r="14" spans="1:18" x14ac:dyDescent="0.2">
      <c r="A14" s="2">
        <v>5</v>
      </c>
      <c r="B14" s="19">
        <f>DATE(90,12,26)</f>
        <v>33233</v>
      </c>
      <c r="C14" s="2" t="s">
        <v>1746</v>
      </c>
      <c r="D14" s="2">
        <v>480</v>
      </c>
      <c r="E14" s="2">
        <v>134</v>
      </c>
      <c r="F14" s="2">
        <v>1818</v>
      </c>
      <c r="G14" s="2">
        <v>357</v>
      </c>
      <c r="H14" s="2">
        <v>340</v>
      </c>
      <c r="I14" s="2">
        <v>512</v>
      </c>
      <c r="J14" s="2">
        <v>287</v>
      </c>
      <c r="K14" s="2">
        <v>59</v>
      </c>
      <c r="L14" s="2">
        <v>29</v>
      </c>
      <c r="M14" s="2">
        <v>227</v>
      </c>
      <c r="N14" s="2">
        <v>162</v>
      </c>
      <c r="R14" s="2" t="s">
        <v>1</v>
      </c>
    </row>
    <row r="15" spans="1:18" x14ac:dyDescent="0.2">
      <c r="A15" s="2">
        <v>6</v>
      </c>
      <c r="B15" s="19"/>
      <c r="D15" s="2">
        <v>484</v>
      </c>
      <c r="E15" s="2">
        <v>134</v>
      </c>
      <c r="F15" s="2">
        <v>1817</v>
      </c>
      <c r="G15" s="2">
        <v>356</v>
      </c>
      <c r="H15" s="2">
        <v>339</v>
      </c>
      <c r="I15" s="2">
        <v>510</v>
      </c>
      <c r="J15" s="2">
        <v>286</v>
      </c>
      <c r="K15" s="2">
        <v>58</v>
      </c>
      <c r="L15" s="2">
        <v>32</v>
      </c>
      <c r="M15" s="2">
        <v>228</v>
      </c>
      <c r="N15" s="2">
        <v>163</v>
      </c>
      <c r="R15" s="2" t="s">
        <v>1</v>
      </c>
    </row>
    <row r="16" spans="1:18" x14ac:dyDescent="0.2">
      <c r="B16" s="19"/>
      <c r="R16" s="2" t="s">
        <v>1</v>
      </c>
    </row>
    <row r="17" spans="1:18" x14ac:dyDescent="0.2">
      <c r="A17" s="2">
        <v>7</v>
      </c>
      <c r="B17" s="19"/>
      <c r="C17" s="2" t="s">
        <v>1747</v>
      </c>
      <c r="D17" s="2">
        <v>489</v>
      </c>
      <c r="E17" s="2">
        <v>130</v>
      </c>
      <c r="F17" s="2">
        <v>1819</v>
      </c>
      <c r="G17" s="2">
        <v>357</v>
      </c>
      <c r="H17" s="2">
        <v>340</v>
      </c>
      <c r="I17" s="2">
        <v>510</v>
      </c>
      <c r="J17" s="2">
        <v>288</v>
      </c>
      <c r="K17" s="2">
        <v>57</v>
      </c>
      <c r="L17" s="2">
        <v>32</v>
      </c>
      <c r="M17" s="2">
        <v>226</v>
      </c>
      <c r="N17" s="2">
        <v>160</v>
      </c>
      <c r="R17" s="2" t="s">
        <v>1</v>
      </c>
    </row>
    <row r="18" spans="1:18" x14ac:dyDescent="0.2">
      <c r="A18" s="2">
        <v>8</v>
      </c>
      <c r="B18" s="19"/>
      <c r="D18" s="2">
        <v>491</v>
      </c>
      <c r="E18" s="2">
        <v>133</v>
      </c>
      <c r="F18" s="2">
        <v>1820</v>
      </c>
      <c r="G18" s="2">
        <v>358</v>
      </c>
      <c r="H18" s="2">
        <v>340</v>
      </c>
      <c r="I18" s="2">
        <v>511</v>
      </c>
      <c r="J18" s="2">
        <v>287</v>
      </c>
      <c r="K18" s="2">
        <v>57</v>
      </c>
      <c r="L18" s="2">
        <v>34</v>
      </c>
      <c r="M18" s="2">
        <v>227</v>
      </c>
      <c r="N18" s="2">
        <v>161</v>
      </c>
      <c r="R18" s="2" t="s">
        <v>1</v>
      </c>
    </row>
    <row r="19" spans="1:18" x14ac:dyDescent="0.2">
      <c r="R19" s="2" t="s">
        <v>1</v>
      </c>
    </row>
    <row r="20" spans="1:18" x14ac:dyDescent="0.2">
      <c r="D20" s="8" t="s">
        <v>117</v>
      </c>
      <c r="E20" s="8" t="s">
        <v>118</v>
      </c>
      <c r="F20" s="8" t="s">
        <v>123</v>
      </c>
      <c r="G20" s="8" t="s">
        <v>134</v>
      </c>
      <c r="H20" s="8" t="s">
        <v>138</v>
      </c>
      <c r="I20" s="8" t="s">
        <v>136</v>
      </c>
      <c r="J20" s="8" t="s">
        <v>130</v>
      </c>
      <c r="K20" s="8" t="s">
        <v>133</v>
      </c>
      <c r="L20" s="8" t="s">
        <v>127</v>
      </c>
      <c r="M20" s="8" t="s">
        <v>121</v>
      </c>
      <c r="N20" s="8" t="s">
        <v>112</v>
      </c>
      <c r="R20" s="2" t="s">
        <v>1</v>
      </c>
    </row>
    <row r="21" spans="1:18" x14ac:dyDescent="0.2">
      <c r="B21" s="7">
        <f>AVERAGE(B8:B14)</f>
        <v>33232</v>
      </c>
      <c r="D21" s="4">
        <f t="shared" ref="D21:N21" si="0">AVERAGE(D8:D18)</f>
        <v>487.625</v>
      </c>
      <c r="E21" s="4">
        <f t="shared" si="0"/>
        <v>135.25</v>
      </c>
      <c r="F21" s="4">
        <f t="shared" si="0"/>
        <v>1823.5</v>
      </c>
      <c r="G21" s="4">
        <f t="shared" si="0"/>
        <v>358.375</v>
      </c>
      <c r="H21" s="4">
        <f t="shared" si="0"/>
        <v>339.5</v>
      </c>
      <c r="I21" s="4">
        <f t="shared" si="0"/>
        <v>512.125</v>
      </c>
      <c r="J21" s="4">
        <f t="shared" si="0"/>
        <v>287.5</v>
      </c>
      <c r="K21" s="4">
        <f t="shared" si="0"/>
        <v>58.375</v>
      </c>
      <c r="L21" s="4">
        <f t="shared" si="0"/>
        <v>30.625</v>
      </c>
      <c r="M21" s="4">
        <f t="shared" si="0"/>
        <v>228.625</v>
      </c>
      <c r="N21" s="4">
        <f t="shared" si="0"/>
        <v>161.375</v>
      </c>
      <c r="R21" s="2" t="s">
        <v>1</v>
      </c>
    </row>
    <row r="22" spans="1:18" x14ac:dyDescent="0.2">
      <c r="D22" s="4">
        <f t="shared" ref="D22:N22" si="1">STDEV(D8:D18)</f>
        <v>4.0333431719675357</v>
      </c>
      <c r="E22" s="4">
        <f t="shared" si="1"/>
        <v>3.1509635714446826</v>
      </c>
      <c r="F22" s="4">
        <f t="shared" si="1"/>
        <v>5.7817446699565895</v>
      </c>
      <c r="G22" s="4">
        <f t="shared" si="1"/>
        <v>1.685018016012207</v>
      </c>
      <c r="H22" s="4">
        <f t="shared" si="1"/>
        <v>0.53452248382484879</v>
      </c>
      <c r="I22" s="4">
        <f t="shared" si="1"/>
        <v>1.807721533549109</v>
      </c>
      <c r="J22" s="4">
        <f t="shared" si="1"/>
        <v>0.92582009977255142</v>
      </c>
      <c r="K22" s="4">
        <f t="shared" si="1"/>
        <v>1.0606601717798212</v>
      </c>
      <c r="L22" s="4">
        <f t="shared" si="1"/>
        <v>2.2638462845343543</v>
      </c>
      <c r="M22" s="4">
        <f t="shared" si="1"/>
        <v>1.9955307206712847</v>
      </c>
      <c r="N22" s="4">
        <f t="shared" si="1"/>
        <v>1.0606601717798212</v>
      </c>
      <c r="R22" s="2" t="s">
        <v>1</v>
      </c>
    </row>
    <row r="23" spans="1:18" x14ac:dyDescent="0.2">
      <c r="D23" s="4">
        <f t="shared" ref="D23:N23" si="2">COUNTA(D8:D18)</f>
        <v>8</v>
      </c>
      <c r="E23" s="4">
        <f t="shared" si="2"/>
        <v>8</v>
      </c>
      <c r="F23" s="4">
        <f t="shared" si="2"/>
        <v>8</v>
      </c>
      <c r="G23" s="4">
        <f t="shared" si="2"/>
        <v>8</v>
      </c>
      <c r="H23" s="4">
        <f t="shared" si="2"/>
        <v>8</v>
      </c>
      <c r="I23" s="4">
        <f t="shared" si="2"/>
        <v>8</v>
      </c>
      <c r="J23" s="4">
        <f t="shared" si="2"/>
        <v>8</v>
      </c>
      <c r="K23" s="4">
        <f t="shared" si="2"/>
        <v>8</v>
      </c>
      <c r="L23" s="4">
        <f t="shared" si="2"/>
        <v>8</v>
      </c>
      <c r="M23" s="4">
        <f t="shared" si="2"/>
        <v>8</v>
      </c>
      <c r="N23" s="4">
        <f t="shared" si="2"/>
        <v>8</v>
      </c>
      <c r="R23" s="2" t="s">
        <v>1</v>
      </c>
    </row>
    <row r="24" spans="1:18" x14ac:dyDescent="0.2">
      <c r="R24" s="2" t="s">
        <v>1</v>
      </c>
    </row>
    <row r="25" spans="1:18" x14ac:dyDescent="0.2">
      <c r="R25" s="2" t="s">
        <v>1</v>
      </c>
    </row>
    <row r="26" spans="1:18" x14ac:dyDescent="0.2">
      <c r="R26" s="2" t="s">
        <v>1</v>
      </c>
    </row>
    <row r="27" spans="1:18" x14ac:dyDescent="0.2">
      <c r="R27" s="2" t="s">
        <v>1</v>
      </c>
    </row>
    <row r="28" spans="1:18" x14ac:dyDescent="0.2">
      <c r="A28" s="2" t="s">
        <v>682</v>
      </c>
      <c r="B28" s="21" t="s">
        <v>253</v>
      </c>
      <c r="C28" s="8" t="s">
        <v>286</v>
      </c>
      <c r="H28" s="8" t="s">
        <v>138</v>
      </c>
      <c r="I28" s="8" t="s">
        <v>136</v>
      </c>
      <c r="J28" s="8" t="s">
        <v>130</v>
      </c>
      <c r="K28" s="8" t="s">
        <v>133</v>
      </c>
      <c r="L28" s="8" t="s">
        <v>127</v>
      </c>
      <c r="M28" s="8" t="s">
        <v>121</v>
      </c>
      <c r="N28" s="8" t="s">
        <v>112</v>
      </c>
      <c r="O28" s="8" t="s">
        <v>124</v>
      </c>
      <c r="P28" s="8" t="s">
        <v>114</v>
      </c>
    </row>
    <row r="29" spans="1:18" x14ac:dyDescent="0.2">
      <c r="H29" s="8" t="s">
        <v>266</v>
      </c>
      <c r="I29" s="8" t="s">
        <v>144</v>
      </c>
      <c r="J29" s="8" t="s">
        <v>144</v>
      </c>
      <c r="K29" s="8" t="s">
        <v>144</v>
      </c>
      <c r="L29" s="8" t="s">
        <v>144</v>
      </c>
      <c r="M29" s="8" t="s">
        <v>144</v>
      </c>
      <c r="N29" s="8" t="s">
        <v>144</v>
      </c>
      <c r="O29" s="8" t="s">
        <v>144</v>
      </c>
      <c r="P29" s="8" t="s">
        <v>144</v>
      </c>
    </row>
    <row r="30" spans="1:18" x14ac:dyDescent="0.2">
      <c r="B30" s="19"/>
    </row>
    <row r="31" spans="1:18" x14ac:dyDescent="0.2">
      <c r="A31" s="2" t="s">
        <v>1748</v>
      </c>
      <c r="B31" s="7">
        <f>DATE(90,7,14)</f>
        <v>33068</v>
      </c>
      <c r="C31" s="8" t="s">
        <v>1749</v>
      </c>
      <c r="H31" s="2">
        <v>356</v>
      </c>
      <c r="I31" s="2">
        <v>501</v>
      </c>
      <c r="J31" s="2">
        <v>340</v>
      </c>
      <c r="K31" s="2">
        <v>268</v>
      </c>
      <c r="L31" s="2">
        <v>42</v>
      </c>
      <c r="M31" s="2">
        <v>379</v>
      </c>
      <c r="N31" s="2">
        <v>109</v>
      </c>
      <c r="P31" s="2">
        <v>147</v>
      </c>
    </row>
    <row r="32" spans="1:18" x14ac:dyDescent="0.2">
      <c r="A32" s="2" t="s">
        <v>1750</v>
      </c>
      <c r="B32" s="7">
        <f>DATE(90,7,21)</f>
        <v>33075</v>
      </c>
      <c r="C32" s="8" t="s">
        <v>1751</v>
      </c>
      <c r="H32" s="2">
        <v>340</v>
      </c>
      <c r="I32" s="2">
        <v>520</v>
      </c>
      <c r="J32" s="2">
        <v>291</v>
      </c>
      <c r="K32" s="2">
        <v>156</v>
      </c>
      <c r="L32" s="2">
        <v>36</v>
      </c>
      <c r="M32" s="2">
        <v>187</v>
      </c>
      <c r="N32" s="2">
        <v>107</v>
      </c>
      <c r="O32" s="2">
        <v>4</v>
      </c>
      <c r="P32" s="2">
        <v>42</v>
      </c>
    </row>
    <row r="33" spans="1:16" x14ac:dyDescent="0.2">
      <c r="A33" s="2" t="s">
        <v>1752</v>
      </c>
      <c r="B33" s="7">
        <f>DATE(90,7,21)</f>
        <v>33075</v>
      </c>
      <c r="C33" s="8" t="s">
        <v>1753</v>
      </c>
      <c r="H33" s="2">
        <v>337</v>
      </c>
      <c r="I33" s="2">
        <v>535</v>
      </c>
      <c r="J33" s="2">
        <v>332</v>
      </c>
      <c r="K33" s="2">
        <v>325</v>
      </c>
      <c r="L33" s="2">
        <v>50</v>
      </c>
      <c r="M33" s="2">
        <v>226</v>
      </c>
      <c r="N33" s="2">
        <v>108</v>
      </c>
      <c r="P33" s="2">
        <v>97</v>
      </c>
    </row>
    <row r="34" spans="1:16" x14ac:dyDescent="0.2">
      <c r="A34" s="2" t="s">
        <v>1754</v>
      </c>
      <c r="B34" s="7">
        <f>DATE(90,7,22)</f>
        <v>33076</v>
      </c>
      <c r="C34" s="8" t="s">
        <v>1755</v>
      </c>
      <c r="H34" s="2">
        <v>336</v>
      </c>
      <c r="I34" s="2">
        <v>522</v>
      </c>
      <c r="J34" s="2">
        <v>289</v>
      </c>
      <c r="K34" s="2">
        <v>57</v>
      </c>
      <c r="L34" s="2">
        <v>20</v>
      </c>
      <c r="M34" s="2">
        <v>2366</v>
      </c>
      <c r="N34" s="2">
        <v>94</v>
      </c>
      <c r="P34" s="2">
        <v>25</v>
      </c>
    </row>
    <row r="35" spans="1:16" x14ac:dyDescent="0.2">
      <c r="A35" s="2" t="s">
        <v>1756</v>
      </c>
      <c r="B35" s="7">
        <f>DATE(90,7,22)</f>
        <v>33076</v>
      </c>
      <c r="C35" s="8" t="s">
        <v>1755</v>
      </c>
      <c r="H35" s="2">
        <v>338</v>
      </c>
      <c r="I35" s="2">
        <v>516</v>
      </c>
      <c r="J35" s="2">
        <v>288</v>
      </c>
      <c r="K35" s="2">
        <v>164</v>
      </c>
      <c r="L35" s="2">
        <v>43</v>
      </c>
      <c r="M35" s="2">
        <v>186</v>
      </c>
      <c r="N35" s="2">
        <v>106</v>
      </c>
      <c r="P35" s="2">
        <v>29</v>
      </c>
    </row>
    <row r="36" spans="1:16" x14ac:dyDescent="0.2">
      <c r="A36" s="2" t="s">
        <v>1757</v>
      </c>
      <c r="B36" s="7">
        <f>DATE(90,7,22)</f>
        <v>33076</v>
      </c>
      <c r="C36" s="8" t="s">
        <v>1751</v>
      </c>
      <c r="H36" s="2">
        <v>340</v>
      </c>
      <c r="I36" s="2">
        <v>517</v>
      </c>
      <c r="J36" s="2">
        <v>286</v>
      </c>
      <c r="K36" s="2">
        <v>184</v>
      </c>
      <c r="L36" s="2">
        <v>37</v>
      </c>
      <c r="M36" s="2">
        <v>187</v>
      </c>
      <c r="N36" s="2">
        <v>107</v>
      </c>
      <c r="P36" s="2">
        <v>36</v>
      </c>
    </row>
    <row r="37" spans="1:16" x14ac:dyDescent="0.2">
      <c r="A37" s="2" t="s">
        <v>1758</v>
      </c>
      <c r="B37" s="7">
        <f>DATE(90,7,22)</f>
        <v>33076</v>
      </c>
      <c r="C37" s="8" t="s">
        <v>1753</v>
      </c>
      <c r="H37" s="2">
        <v>339</v>
      </c>
      <c r="I37" s="2">
        <v>542</v>
      </c>
      <c r="J37" s="2">
        <v>415</v>
      </c>
      <c r="K37" s="2">
        <v>190</v>
      </c>
      <c r="L37" s="2">
        <v>45</v>
      </c>
      <c r="M37" s="2">
        <v>224</v>
      </c>
      <c r="N37" s="2">
        <v>103</v>
      </c>
      <c r="O37" s="2">
        <v>58</v>
      </c>
      <c r="P37" s="2">
        <v>39</v>
      </c>
    </row>
    <row r="38" spans="1:16" x14ac:dyDescent="0.2">
      <c r="A38" s="2" t="s">
        <v>1759</v>
      </c>
      <c r="B38" s="7">
        <f>DATE(90,7,27)</f>
        <v>33081</v>
      </c>
      <c r="C38" s="8" t="s">
        <v>1755</v>
      </c>
      <c r="H38" s="2">
        <v>340</v>
      </c>
      <c r="I38" s="2">
        <v>524</v>
      </c>
      <c r="J38" s="2">
        <v>296</v>
      </c>
      <c r="K38" s="2">
        <v>465</v>
      </c>
      <c r="L38" s="2">
        <v>14</v>
      </c>
      <c r="M38" s="2">
        <v>198</v>
      </c>
      <c r="N38" s="2">
        <v>106</v>
      </c>
      <c r="P38" s="2">
        <v>66</v>
      </c>
    </row>
    <row r="39" spans="1:16" x14ac:dyDescent="0.2">
      <c r="A39" s="2" t="s">
        <v>1760</v>
      </c>
      <c r="B39" s="7">
        <f>DATE(90,7,27)</f>
        <v>33081</v>
      </c>
      <c r="C39" s="8" t="s">
        <v>1751</v>
      </c>
      <c r="H39" s="2">
        <v>338</v>
      </c>
      <c r="I39" s="2">
        <v>494</v>
      </c>
      <c r="J39" s="2">
        <v>290</v>
      </c>
      <c r="K39" s="2">
        <v>196</v>
      </c>
      <c r="L39" s="2">
        <v>18</v>
      </c>
      <c r="M39" s="2">
        <v>189</v>
      </c>
      <c r="N39" s="2">
        <v>110</v>
      </c>
      <c r="P39" s="2">
        <v>25</v>
      </c>
    </row>
    <row r="40" spans="1:16" x14ac:dyDescent="0.2">
      <c r="A40" s="2" t="s">
        <v>1761</v>
      </c>
      <c r="B40" s="7">
        <f>DATE(90,7,27)</f>
        <v>33081</v>
      </c>
      <c r="C40" s="8" t="s">
        <v>1753</v>
      </c>
      <c r="H40" s="2">
        <v>338</v>
      </c>
      <c r="I40" s="2">
        <v>518</v>
      </c>
      <c r="J40" s="2">
        <v>285</v>
      </c>
      <c r="K40" s="2">
        <v>118</v>
      </c>
      <c r="L40" s="2">
        <v>33</v>
      </c>
      <c r="M40" s="2">
        <v>176</v>
      </c>
      <c r="N40" s="2">
        <v>103</v>
      </c>
      <c r="P40" s="2">
        <v>21</v>
      </c>
    </row>
    <row r="41" spans="1:16" x14ac:dyDescent="0.2">
      <c r="A41" s="2" t="s">
        <v>1762</v>
      </c>
      <c r="B41" s="7">
        <f>DATE(90,7,28)</f>
        <v>33082</v>
      </c>
      <c r="C41" s="8" t="s">
        <v>1751</v>
      </c>
      <c r="H41" s="2">
        <v>339</v>
      </c>
      <c r="I41" s="2">
        <v>501</v>
      </c>
      <c r="J41" s="2">
        <v>288</v>
      </c>
      <c r="K41" s="2">
        <v>148</v>
      </c>
      <c r="L41" s="2">
        <v>19</v>
      </c>
      <c r="M41" s="2">
        <v>198</v>
      </c>
      <c r="N41" s="2">
        <v>108</v>
      </c>
    </row>
    <row r="42" spans="1:16" x14ac:dyDescent="0.2">
      <c r="A42" s="2" t="s">
        <v>1763</v>
      </c>
      <c r="B42" s="7">
        <f>DATE(90,7,29)</f>
        <v>33083</v>
      </c>
      <c r="C42" s="8" t="s">
        <v>1755</v>
      </c>
      <c r="H42" s="2">
        <v>339</v>
      </c>
      <c r="I42" s="2">
        <v>523</v>
      </c>
      <c r="J42" s="2">
        <v>289</v>
      </c>
      <c r="K42" s="2">
        <v>137</v>
      </c>
      <c r="L42" s="2">
        <v>22</v>
      </c>
      <c r="M42" s="2">
        <v>194</v>
      </c>
      <c r="N42" s="2">
        <v>110</v>
      </c>
    </row>
    <row r="43" spans="1:16" x14ac:dyDescent="0.2">
      <c r="A43" s="2" t="s">
        <v>1764</v>
      </c>
      <c r="B43" s="7">
        <f>DATE(90,7,29)</f>
        <v>33083</v>
      </c>
      <c r="C43" s="8" t="s">
        <v>1751</v>
      </c>
      <c r="H43" s="2">
        <v>337</v>
      </c>
      <c r="I43" s="2">
        <v>530</v>
      </c>
      <c r="J43" s="2">
        <v>289</v>
      </c>
      <c r="K43" s="2">
        <v>155</v>
      </c>
      <c r="L43" s="2">
        <v>25</v>
      </c>
      <c r="M43" s="2">
        <v>192</v>
      </c>
      <c r="N43" s="2">
        <v>109</v>
      </c>
    </row>
    <row r="44" spans="1:16" x14ac:dyDescent="0.2">
      <c r="A44" s="2" t="s">
        <v>1765</v>
      </c>
      <c r="B44" s="7">
        <f>DATE(90,8,3)</f>
        <v>33088</v>
      </c>
      <c r="C44" s="8" t="s">
        <v>1766</v>
      </c>
      <c r="H44" s="2">
        <v>337</v>
      </c>
      <c r="I44" s="2">
        <v>528</v>
      </c>
      <c r="J44" s="2">
        <v>290</v>
      </c>
      <c r="K44" s="2">
        <v>179</v>
      </c>
      <c r="L44" s="2">
        <v>10</v>
      </c>
      <c r="M44" s="2">
        <v>198</v>
      </c>
      <c r="N44" s="2">
        <v>108</v>
      </c>
      <c r="P44" s="2">
        <v>24</v>
      </c>
    </row>
    <row r="45" spans="1:16" x14ac:dyDescent="0.2">
      <c r="A45" s="2" t="s">
        <v>1767</v>
      </c>
      <c r="B45" s="7">
        <f>DATE(90,8,3)</f>
        <v>33088</v>
      </c>
      <c r="C45" s="8" t="s">
        <v>1768</v>
      </c>
      <c r="H45" s="2">
        <v>340</v>
      </c>
      <c r="I45" s="2">
        <v>523</v>
      </c>
      <c r="J45" s="2">
        <v>289</v>
      </c>
      <c r="K45" s="2">
        <v>234</v>
      </c>
      <c r="L45" s="2">
        <v>15</v>
      </c>
      <c r="M45" s="2">
        <v>188</v>
      </c>
      <c r="N45" s="2">
        <v>108</v>
      </c>
      <c r="P45" s="2">
        <v>32</v>
      </c>
    </row>
    <row r="46" spans="1:16" x14ac:dyDescent="0.2">
      <c r="A46" s="2" t="s">
        <v>1769</v>
      </c>
      <c r="B46" s="7">
        <f>DATE(90,8,3)</f>
        <v>33088</v>
      </c>
      <c r="C46" s="8" t="s">
        <v>1770</v>
      </c>
      <c r="H46" s="2">
        <v>338</v>
      </c>
      <c r="I46" s="2">
        <v>541</v>
      </c>
      <c r="J46" s="2">
        <v>482</v>
      </c>
      <c r="K46" s="2">
        <v>300</v>
      </c>
      <c r="L46" s="2">
        <v>13</v>
      </c>
      <c r="M46" s="2">
        <v>217</v>
      </c>
      <c r="N46" s="2">
        <v>108</v>
      </c>
      <c r="P46" s="2">
        <v>46</v>
      </c>
    </row>
    <row r="47" spans="1:16" x14ac:dyDescent="0.2">
      <c r="A47" s="2" t="s">
        <v>1771</v>
      </c>
      <c r="B47" s="7">
        <f>DATE(90,8,4)</f>
        <v>33089</v>
      </c>
      <c r="C47" s="8" t="s">
        <v>1751</v>
      </c>
      <c r="H47" s="2">
        <v>338</v>
      </c>
      <c r="I47" s="2">
        <v>516</v>
      </c>
      <c r="J47" s="2">
        <v>283</v>
      </c>
      <c r="K47" s="2">
        <v>138</v>
      </c>
      <c r="L47" s="2">
        <v>30</v>
      </c>
      <c r="M47" s="2">
        <v>181</v>
      </c>
      <c r="N47" s="2">
        <v>101</v>
      </c>
      <c r="P47" s="2">
        <v>20</v>
      </c>
    </row>
    <row r="48" spans="1:16" x14ac:dyDescent="0.2">
      <c r="A48" s="2" t="s">
        <v>1772</v>
      </c>
      <c r="B48" s="7">
        <f>DATE(90,8,4)</f>
        <v>33089</v>
      </c>
      <c r="C48" s="8" t="s">
        <v>1755</v>
      </c>
      <c r="H48" s="2">
        <v>337</v>
      </c>
      <c r="I48" s="2">
        <v>497</v>
      </c>
      <c r="J48" s="2">
        <v>291</v>
      </c>
      <c r="K48" s="2">
        <v>142</v>
      </c>
      <c r="L48" s="2">
        <v>5</v>
      </c>
      <c r="M48" s="2">
        <v>192</v>
      </c>
      <c r="N48" s="2">
        <v>108</v>
      </c>
      <c r="P48" s="2">
        <v>25</v>
      </c>
    </row>
    <row r="49" spans="1:16" x14ac:dyDescent="0.2">
      <c r="A49" s="2" t="s">
        <v>1773</v>
      </c>
      <c r="B49" s="7">
        <f>DATE(90,8,4)</f>
        <v>33089</v>
      </c>
      <c r="C49" s="8" t="s">
        <v>1753</v>
      </c>
      <c r="H49" s="2">
        <v>340</v>
      </c>
      <c r="I49" s="2">
        <v>512</v>
      </c>
      <c r="J49" s="2">
        <v>282</v>
      </c>
      <c r="K49" s="2">
        <v>130</v>
      </c>
      <c r="L49" s="2">
        <v>14</v>
      </c>
      <c r="M49" s="2">
        <v>179</v>
      </c>
      <c r="N49" s="2">
        <v>107</v>
      </c>
      <c r="P49" s="2">
        <v>18</v>
      </c>
    </row>
    <row r="50" spans="1:16" x14ac:dyDescent="0.2">
      <c r="A50" s="2" t="s">
        <v>1774</v>
      </c>
      <c r="B50" s="7">
        <f>DATE(90,8,5)</f>
        <v>33090</v>
      </c>
      <c r="C50" s="8" t="s">
        <v>1753</v>
      </c>
      <c r="H50" s="2">
        <v>340</v>
      </c>
      <c r="I50" s="2">
        <v>523</v>
      </c>
      <c r="J50" s="2">
        <v>291</v>
      </c>
      <c r="K50" s="2">
        <v>148</v>
      </c>
      <c r="L50" s="2">
        <v>16</v>
      </c>
      <c r="M50" s="2">
        <v>286</v>
      </c>
      <c r="N50" s="2">
        <v>105</v>
      </c>
      <c r="P50" s="2">
        <v>18</v>
      </c>
    </row>
    <row r="51" spans="1:16" x14ac:dyDescent="0.2">
      <c r="A51" s="2" t="s">
        <v>1775</v>
      </c>
      <c r="B51" s="7">
        <f>DATE(90,8,5)</f>
        <v>33090</v>
      </c>
      <c r="C51" s="8" t="s">
        <v>1755</v>
      </c>
      <c r="H51" s="2">
        <v>339</v>
      </c>
      <c r="I51" s="2">
        <v>521</v>
      </c>
      <c r="J51" s="2">
        <v>294</v>
      </c>
      <c r="K51" s="2">
        <v>119</v>
      </c>
      <c r="L51" s="2">
        <v>11</v>
      </c>
      <c r="M51" s="2">
        <v>183</v>
      </c>
      <c r="N51" s="2">
        <v>106</v>
      </c>
      <c r="P51" s="2">
        <v>16</v>
      </c>
    </row>
    <row r="52" spans="1:16" x14ac:dyDescent="0.2">
      <c r="A52" s="2" t="s">
        <v>1776</v>
      </c>
      <c r="B52" s="7">
        <f>DATE(90,8,6)</f>
        <v>33091</v>
      </c>
      <c r="C52" s="8" t="s">
        <v>1777</v>
      </c>
      <c r="H52" s="2">
        <v>338</v>
      </c>
      <c r="I52" s="2">
        <v>516</v>
      </c>
      <c r="J52" s="2">
        <v>290</v>
      </c>
      <c r="K52" s="2">
        <v>171</v>
      </c>
      <c r="L52" s="2">
        <v>7</v>
      </c>
      <c r="M52" s="2">
        <v>190</v>
      </c>
      <c r="N52" s="2">
        <v>110</v>
      </c>
      <c r="P52" s="2">
        <v>19</v>
      </c>
    </row>
    <row r="53" spans="1:16" x14ac:dyDescent="0.2">
      <c r="A53" s="2" t="s">
        <v>1778</v>
      </c>
      <c r="B53" s="7">
        <f>DATE(90,8,6)</f>
        <v>33091</v>
      </c>
      <c r="C53" s="8" t="s">
        <v>1751</v>
      </c>
      <c r="H53" s="2">
        <v>337</v>
      </c>
      <c r="I53" s="2">
        <v>512</v>
      </c>
      <c r="J53" s="2">
        <v>286</v>
      </c>
      <c r="K53" s="2">
        <v>151</v>
      </c>
      <c r="L53" s="2">
        <v>35</v>
      </c>
      <c r="M53" s="2">
        <v>183</v>
      </c>
      <c r="N53" s="2">
        <v>109</v>
      </c>
      <c r="P53" s="2">
        <v>19</v>
      </c>
    </row>
    <row r="54" spans="1:16" x14ac:dyDescent="0.2">
      <c r="A54" s="2" t="s">
        <v>1779</v>
      </c>
      <c r="B54" s="7">
        <f>DATE(90,8,22)</f>
        <v>33107</v>
      </c>
      <c r="C54" s="8" t="s">
        <v>1751</v>
      </c>
      <c r="H54" s="2">
        <v>339</v>
      </c>
      <c r="I54" s="2">
        <v>512</v>
      </c>
      <c r="J54" s="2">
        <v>288</v>
      </c>
      <c r="K54" s="2">
        <v>138</v>
      </c>
      <c r="L54" s="2">
        <v>30</v>
      </c>
      <c r="M54" s="2">
        <v>191</v>
      </c>
      <c r="N54" s="2">
        <v>109</v>
      </c>
      <c r="P54" s="2">
        <v>14</v>
      </c>
    </row>
    <row r="55" spans="1:16" x14ac:dyDescent="0.2">
      <c r="A55" s="2" t="s">
        <v>1780</v>
      </c>
      <c r="B55" s="7">
        <f>DATE(90,8,22)</f>
        <v>33107</v>
      </c>
      <c r="C55" s="8" t="s">
        <v>1753</v>
      </c>
      <c r="H55" s="2">
        <v>339</v>
      </c>
      <c r="I55" s="2">
        <v>504</v>
      </c>
      <c r="J55" s="2">
        <v>292</v>
      </c>
      <c r="K55" s="2">
        <v>202</v>
      </c>
      <c r="L55" s="2">
        <v>21</v>
      </c>
      <c r="M55" s="2">
        <v>184</v>
      </c>
      <c r="N55" s="2">
        <v>108</v>
      </c>
    </row>
    <row r="56" spans="1:16" x14ac:dyDescent="0.2">
      <c r="A56" s="2" t="s">
        <v>1781</v>
      </c>
      <c r="B56" s="7">
        <f>DATE(90,8,22)</f>
        <v>33107</v>
      </c>
      <c r="C56" s="8" t="s">
        <v>1755</v>
      </c>
      <c r="H56" s="2">
        <v>344</v>
      </c>
      <c r="I56" s="2">
        <v>503</v>
      </c>
      <c r="J56" s="2">
        <v>295</v>
      </c>
      <c r="K56" s="2">
        <v>306</v>
      </c>
      <c r="L56" s="2">
        <v>14</v>
      </c>
      <c r="M56" s="2">
        <v>186</v>
      </c>
      <c r="N56" s="2">
        <v>106</v>
      </c>
    </row>
    <row r="57" spans="1:16" x14ac:dyDescent="0.2">
      <c r="A57" s="2" t="s">
        <v>1782</v>
      </c>
      <c r="B57" s="7">
        <f>DATE(90,8,23)</f>
        <v>33108</v>
      </c>
      <c r="C57" s="8" t="s">
        <v>1753</v>
      </c>
      <c r="H57" s="2">
        <v>340</v>
      </c>
      <c r="I57" s="2">
        <v>2055</v>
      </c>
      <c r="J57" s="2">
        <v>1553</v>
      </c>
      <c r="K57" s="2">
        <v>390</v>
      </c>
      <c r="L57" s="2">
        <v>206</v>
      </c>
      <c r="M57" s="2">
        <v>1499</v>
      </c>
      <c r="N57" s="2">
        <v>88</v>
      </c>
      <c r="O57" s="2">
        <v>781</v>
      </c>
      <c r="P57" s="2">
        <v>280</v>
      </c>
    </row>
    <row r="58" spans="1:16" x14ac:dyDescent="0.2">
      <c r="A58" s="2" t="s">
        <v>1783</v>
      </c>
      <c r="B58" s="7">
        <f>DATE(90,8,23)</f>
        <v>33108</v>
      </c>
      <c r="C58" s="8" t="s">
        <v>1755</v>
      </c>
      <c r="H58" s="2">
        <v>339</v>
      </c>
      <c r="I58" s="2">
        <v>511</v>
      </c>
      <c r="J58" s="2">
        <v>290</v>
      </c>
      <c r="K58" s="2">
        <v>96</v>
      </c>
      <c r="L58" s="2">
        <v>13</v>
      </c>
      <c r="M58" s="2">
        <v>185</v>
      </c>
      <c r="N58" s="2">
        <v>107</v>
      </c>
    </row>
    <row r="59" spans="1:16" x14ac:dyDescent="0.2">
      <c r="A59" s="2" t="s">
        <v>1784</v>
      </c>
      <c r="B59" s="7">
        <f>DATE(90,8,23)</f>
        <v>33108</v>
      </c>
      <c r="C59" s="8" t="s">
        <v>1751</v>
      </c>
      <c r="H59" s="2">
        <v>341</v>
      </c>
      <c r="I59" s="2">
        <v>516</v>
      </c>
      <c r="J59" s="2">
        <v>289</v>
      </c>
      <c r="K59" s="2">
        <v>193</v>
      </c>
      <c r="L59" s="2">
        <v>16</v>
      </c>
      <c r="M59" s="2">
        <v>185</v>
      </c>
      <c r="N59" s="2">
        <v>110</v>
      </c>
      <c r="P59" s="2">
        <v>18</v>
      </c>
    </row>
    <row r="60" spans="1:16" x14ac:dyDescent="0.2">
      <c r="A60" s="2" t="s">
        <v>1785</v>
      </c>
      <c r="B60" s="7">
        <f>DATE(90,8,24)</f>
        <v>33109</v>
      </c>
      <c r="C60" s="8" t="s">
        <v>1753</v>
      </c>
      <c r="H60" s="2">
        <v>337</v>
      </c>
      <c r="I60" s="2">
        <v>518</v>
      </c>
      <c r="J60" s="2">
        <v>292</v>
      </c>
      <c r="K60" s="2">
        <v>218</v>
      </c>
      <c r="L60" s="2">
        <v>26</v>
      </c>
      <c r="M60" s="2">
        <v>183</v>
      </c>
      <c r="N60" s="2">
        <v>108</v>
      </c>
      <c r="P60" s="2">
        <v>18</v>
      </c>
    </row>
    <row r="61" spans="1:16" x14ac:dyDescent="0.2">
      <c r="A61" s="2" t="s">
        <v>1786</v>
      </c>
      <c r="B61" s="7">
        <f>DATE(90,8,24)</f>
        <v>33109</v>
      </c>
      <c r="C61" s="8" t="s">
        <v>1755</v>
      </c>
      <c r="H61" s="2">
        <v>339</v>
      </c>
      <c r="I61" s="2">
        <v>522</v>
      </c>
      <c r="J61" s="2">
        <v>289</v>
      </c>
      <c r="K61" s="2">
        <v>168</v>
      </c>
      <c r="M61" s="2">
        <v>186</v>
      </c>
      <c r="N61" s="2">
        <v>107</v>
      </c>
      <c r="P61" s="2">
        <v>18</v>
      </c>
    </row>
    <row r="62" spans="1:16" x14ac:dyDescent="0.2">
      <c r="A62" s="2" t="s">
        <v>1787</v>
      </c>
      <c r="B62" s="7">
        <f>DATE(90,8,24)</f>
        <v>33109</v>
      </c>
      <c r="C62" s="8" t="s">
        <v>1751</v>
      </c>
      <c r="H62" s="2">
        <v>340</v>
      </c>
      <c r="I62" s="2">
        <v>541</v>
      </c>
      <c r="J62" s="2">
        <v>290</v>
      </c>
      <c r="K62" s="2">
        <v>266</v>
      </c>
      <c r="L62" s="2">
        <v>14</v>
      </c>
      <c r="M62" s="2">
        <v>184</v>
      </c>
      <c r="N62" s="2">
        <v>111</v>
      </c>
      <c r="P62" s="2">
        <v>21</v>
      </c>
    </row>
  </sheetData>
  <pageMargins left="0.5" right="0.5" top="0.75" bottom="0.75" header="0.5" footer="0.5"/>
  <pageSetup orientation="portrait" horizontalDpi="0" verticalDpi="0" copies="0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5"/>
  <sheetViews>
    <sheetView showOutlineSymbols="0" defaultGridColor="0" colorId="9" workbookViewId="0">
      <selection activeCell="D3" sqref="D3"/>
    </sheetView>
  </sheetViews>
  <sheetFormatPr defaultColWidth="8.6640625" defaultRowHeight="15" x14ac:dyDescent="0.2"/>
  <cols>
    <col min="1" max="16384" width="8.6640625" style="2"/>
  </cols>
  <sheetData>
    <row r="1" spans="1:19" ht="18" x14ac:dyDescent="0.25">
      <c r="A1" s="18" t="s">
        <v>1788</v>
      </c>
      <c r="S1" s="2" t="s">
        <v>1</v>
      </c>
    </row>
    <row r="2" spans="1:19" x14ac:dyDescent="0.2">
      <c r="S2" s="2" t="s">
        <v>1</v>
      </c>
    </row>
    <row r="3" spans="1:19" x14ac:dyDescent="0.2">
      <c r="A3" s="15" t="s">
        <v>367</v>
      </c>
      <c r="B3" s="15" t="s">
        <v>253</v>
      </c>
      <c r="C3" s="8" t="s">
        <v>286</v>
      </c>
      <c r="D3" s="8" t="s">
        <v>117</v>
      </c>
      <c r="E3" s="8" t="s">
        <v>118</v>
      </c>
      <c r="F3" s="8" t="s">
        <v>118</v>
      </c>
      <c r="G3" s="8" t="s">
        <v>123</v>
      </c>
      <c r="H3" s="8" t="s">
        <v>134</v>
      </c>
      <c r="I3" s="8" t="s">
        <v>138</v>
      </c>
      <c r="J3" s="8" t="s">
        <v>136</v>
      </c>
      <c r="K3" s="8" t="s">
        <v>130</v>
      </c>
      <c r="L3" s="8" t="s">
        <v>133</v>
      </c>
      <c r="M3" s="8" t="s">
        <v>127</v>
      </c>
      <c r="N3" s="8" t="s">
        <v>121</v>
      </c>
      <c r="O3" s="8" t="s">
        <v>112</v>
      </c>
      <c r="P3" s="8" t="s">
        <v>148</v>
      </c>
      <c r="Q3" s="8" t="s">
        <v>115</v>
      </c>
      <c r="S3" s="2" t="s">
        <v>1</v>
      </c>
    </row>
    <row r="4" spans="1:19" x14ac:dyDescent="0.2">
      <c r="D4" s="8" t="s">
        <v>266</v>
      </c>
      <c r="E4" s="8" t="s">
        <v>266</v>
      </c>
      <c r="F4" s="8" t="s">
        <v>266</v>
      </c>
      <c r="G4" s="8" t="s">
        <v>266</v>
      </c>
      <c r="H4" s="8" t="s">
        <v>371</v>
      </c>
      <c r="I4" s="8" t="s">
        <v>266</v>
      </c>
      <c r="J4" s="8" t="s">
        <v>144</v>
      </c>
      <c r="K4" s="8" t="s">
        <v>144</v>
      </c>
      <c r="L4" s="8" t="s">
        <v>144</v>
      </c>
      <c r="M4" s="8" t="s">
        <v>144</v>
      </c>
      <c r="N4" s="8" t="s">
        <v>144</v>
      </c>
      <c r="O4" s="8" t="s">
        <v>144</v>
      </c>
      <c r="P4" s="8" t="s">
        <v>144</v>
      </c>
      <c r="Q4" s="8" t="s">
        <v>144</v>
      </c>
      <c r="S4" s="2" t="s">
        <v>1</v>
      </c>
    </row>
    <row r="5" spans="1:19" x14ac:dyDescent="0.2">
      <c r="S5" s="2" t="s">
        <v>1</v>
      </c>
    </row>
    <row r="6" spans="1:19" x14ac:dyDescent="0.2">
      <c r="A6" s="2" t="s">
        <v>1789</v>
      </c>
      <c r="B6" s="19">
        <f>DATE(86,7,19)</f>
        <v>31612</v>
      </c>
      <c r="C6" s="2">
        <v>1638</v>
      </c>
      <c r="D6" s="2">
        <v>456</v>
      </c>
      <c r="E6" s="2">
        <v>76</v>
      </c>
      <c r="F6" s="2">
        <v>70</v>
      </c>
      <c r="G6" s="2">
        <v>1718</v>
      </c>
      <c r="H6" s="2">
        <v>342</v>
      </c>
      <c r="I6" s="2">
        <v>346</v>
      </c>
      <c r="J6" s="2">
        <v>429</v>
      </c>
      <c r="K6" s="2">
        <v>246</v>
      </c>
      <c r="L6" s="2">
        <v>35</v>
      </c>
      <c r="N6" s="2">
        <v>202</v>
      </c>
      <c r="O6" s="2">
        <v>163</v>
      </c>
      <c r="Q6" s="2">
        <v>518</v>
      </c>
      <c r="S6" s="2" t="s">
        <v>1</v>
      </c>
    </row>
    <row r="7" spans="1:19" x14ac:dyDescent="0.2">
      <c r="A7" s="2" t="s">
        <v>1790</v>
      </c>
      <c r="B7" s="19">
        <f>DATE(86,7,19)</f>
        <v>31612</v>
      </c>
      <c r="D7" s="2">
        <v>451</v>
      </c>
      <c r="E7" s="2">
        <v>76</v>
      </c>
      <c r="F7" s="2">
        <v>70</v>
      </c>
      <c r="G7" s="2">
        <v>1734</v>
      </c>
      <c r="H7" s="2">
        <v>346</v>
      </c>
      <c r="I7" s="2">
        <v>340</v>
      </c>
      <c r="J7" s="2">
        <v>426</v>
      </c>
      <c r="K7" s="2">
        <v>247</v>
      </c>
      <c r="L7" s="2">
        <v>34</v>
      </c>
      <c r="M7" s="2">
        <v>26</v>
      </c>
      <c r="N7" s="2">
        <v>202</v>
      </c>
      <c r="O7" s="2">
        <v>164</v>
      </c>
      <c r="Q7" s="2">
        <v>497</v>
      </c>
      <c r="S7" s="2" t="s">
        <v>1</v>
      </c>
    </row>
    <row r="8" spans="1:19" x14ac:dyDescent="0.2">
      <c r="A8" s="2" t="s">
        <v>1791</v>
      </c>
      <c r="B8" s="19">
        <f>DATE(86,7,19)</f>
        <v>31612</v>
      </c>
      <c r="C8" s="2">
        <v>1458</v>
      </c>
      <c r="D8" s="2">
        <v>461</v>
      </c>
      <c r="E8" s="2">
        <v>74</v>
      </c>
      <c r="F8" s="2">
        <v>71</v>
      </c>
      <c r="G8" s="2">
        <v>1730</v>
      </c>
      <c r="H8" s="2">
        <v>347</v>
      </c>
      <c r="I8" s="2">
        <v>339</v>
      </c>
      <c r="J8" s="2">
        <v>432</v>
      </c>
      <c r="K8" s="2">
        <v>249</v>
      </c>
      <c r="L8" s="2">
        <v>35</v>
      </c>
      <c r="M8" s="2">
        <v>22</v>
      </c>
      <c r="N8" s="2">
        <v>204</v>
      </c>
      <c r="O8" s="2">
        <v>164</v>
      </c>
      <c r="Q8" s="2">
        <v>526</v>
      </c>
      <c r="S8" s="2" t="s">
        <v>1</v>
      </c>
    </row>
    <row r="9" spans="1:19" x14ac:dyDescent="0.2">
      <c r="A9" s="2" t="s">
        <v>1792</v>
      </c>
      <c r="B9" s="19">
        <f>DATE(86,7,20)</f>
        <v>31613</v>
      </c>
      <c r="C9" s="2">
        <v>1500</v>
      </c>
      <c r="D9" s="2">
        <v>475</v>
      </c>
      <c r="E9" s="2">
        <v>93</v>
      </c>
      <c r="F9" s="2">
        <v>92</v>
      </c>
      <c r="G9" s="2">
        <v>1719</v>
      </c>
      <c r="H9" s="2">
        <v>344</v>
      </c>
      <c r="I9" s="2">
        <v>339</v>
      </c>
      <c r="J9" s="2">
        <v>424</v>
      </c>
      <c r="K9" s="2">
        <v>248</v>
      </c>
      <c r="L9" s="2">
        <v>38</v>
      </c>
      <c r="N9" s="2">
        <v>1231</v>
      </c>
      <c r="O9" s="2">
        <v>155</v>
      </c>
      <c r="Q9" s="2">
        <v>554</v>
      </c>
      <c r="S9" s="2" t="s">
        <v>1</v>
      </c>
    </row>
    <row r="10" spans="1:19" x14ac:dyDescent="0.2">
      <c r="A10" s="2" t="s">
        <v>1793</v>
      </c>
      <c r="B10" s="19">
        <f>DATE(86,7,20)</f>
        <v>31613</v>
      </c>
      <c r="C10" s="2">
        <v>1425</v>
      </c>
      <c r="D10" s="2">
        <v>475</v>
      </c>
      <c r="E10" s="2">
        <v>88</v>
      </c>
      <c r="F10" s="2">
        <v>82</v>
      </c>
      <c r="G10" s="2">
        <v>1723</v>
      </c>
      <c r="H10" s="2">
        <v>344</v>
      </c>
      <c r="I10" s="2">
        <v>339</v>
      </c>
      <c r="J10" s="2">
        <v>426</v>
      </c>
      <c r="K10" s="2">
        <v>246</v>
      </c>
      <c r="L10" s="2">
        <v>35</v>
      </c>
      <c r="N10" s="2">
        <v>200</v>
      </c>
      <c r="O10" s="2">
        <v>161</v>
      </c>
      <c r="Q10" s="2">
        <v>555</v>
      </c>
      <c r="S10" s="2" t="s">
        <v>1</v>
      </c>
    </row>
    <row r="11" spans="1:19" x14ac:dyDescent="0.2">
      <c r="S11" s="2" t="s">
        <v>1</v>
      </c>
    </row>
    <row r="12" spans="1:19" x14ac:dyDescent="0.2">
      <c r="S12" s="2" t="s">
        <v>1</v>
      </c>
    </row>
    <row r="13" spans="1:19" x14ac:dyDescent="0.2">
      <c r="A13" s="2" t="s">
        <v>1794</v>
      </c>
      <c r="B13" s="19">
        <f>DATE(86,7,30)</f>
        <v>31623</v>
      </c>
      <c r="L13" s="2">
        <v>36.5</v>
      </c>
      <c r="P13" s="2">
        <v>74.2</v>
      </c>
      <c r="S13" s="2" t="s">
        <v>1</v>
      </c>
    </row>
    <row r="14" spans="1:19" x14ac:dyDescent="0.2">
      <c r="A14" s="2" t="s">
        <v>1795</v>
      </c>
      <c r="B14" s="19">
        <f>DATE(86,7,30)</f>
        <v>31623</v>
      </c>
      <c r="L14" s="17">
        <v>34.9</v>
      </c>
      <c r="P14" s="17">
        <v>61.7</v>
      </c>
      <c r="S14" s="2" t="s">
        <v>1</v>
      </c>
    </row>
    <row r="15" spans="1:19" x14ac:dyDescent="0.2">
      <c r="A15" s="2" t="s">
        <v>1796</v>
      </c>
      <c r="B15" s="19">
        <f>DATE(86,7,31)</f>
        <v>31624</v>
      </c>
      <c r="L15" s="2">
        <v>38.200000000000003</v>
      </c>
      <c r="P15" s="17">
        <v>73</v>
      </c>
      <c r="S15" s="2" t="s">
        <v>1</v>
      </c>
    </row>
    <row r="16" spans="1:19" x14ac:dyDescent="0.2">
      <c r="A16" s="2" t="s">
        <v>1797</v>
      </c>
      <c r="B16" s="19">
        <f>DATE(86,7,31)</f>
        <v>31624</v>
      </c>
      <c r="L16" s="2">
        <v>34.799999999999997</v>
      </c>
      <c r="P16" s="2">
        <v>71.2</v>
      </c>
      <c r="S16" s="2" t="s">
        <v>1</v>
      </c>
    </row>
    <row r="17" spans="1:19" x14ac:dyDescent="0.2">
      <c r="A17" s="2" t="s">
        <v>1798</v>
      </c>
      <c r="B17" s="19">
        <f>DATE(86,8,1)</f>
        <v>31625</v>
      </c>
      <c r="L17" s="17">
        <v>33.9</v>
      </c>
      <c r="P17" s="17">
        <v>61.7</v>
      </c>
      <c r="S17" s="2" t="s">
        <v>1</v>
      </c>
    </row>
    <row r="18" spans="1:19" x14ac:dyDescent="0.2">
      <c r="A18" s="2" t="s">
        <v>1799</v>
      </c>
      <c r="B18" s="19">
        <f>DATE(86,8,1)</f>
        <v>31625</v>
      </c>
      <c r="L18" s="17"/>
      <c r="P18" s="17"/>
      <c r="S18" s="2" t="s">
        <v>1</v>
      </c>
    </row>
    <row r="19" spans="1:19" x14ac:dyDescent="0.2">
      <c r="A19" s="2" t="s">
        <v>1800</v>
      </c>
      <c r="B19" s="19">
        <f>DATE(86,8,1)</f>
        <v>31625</v>
      </c>
      <c r="L19" s="17">
        <v>40.200000000000003</v>
      </c>
      <c r="P19" s="17">
        <v>68.900000000000006</v>
      </c>
      <c r="S19" s="2" t="s">
        <v>1</v>
      </c>
    </row>
    <row r="20" spans="1:19" x14ac:dyDescent="0.2">
      <c r="A20" s="2" t="s">
        <v>1801</v>
      </c>
      <c r="B20" s="19">
        <f>DATE(86,8,1)</f>
        <v>31625</v>
      </c>
      <c r="L20" s="17"/>
      <c r="P20" s="17"/>
      <c r="S20" s="2" t="s">
        <v>1</v>
      </c>
    </row>
    <row r="21" spans="1:19" x14ac:dyDescent="0.2">
      <c r="A21" s="2" t="s">
        <v>1802</v>
      </c>
      <c r="B21" s="19">
        <f>DATE(86,8,1)</f>
        <v>31625</v>
      </c>
      <c r="L21" s="2">
        <v>43.7</v>
      </c>
      <c r="P21" s="2">
        <v>61.3</v>
      </c>
      <c r="S21" s="2" t="s">
        <v>1</v>
      </c>
    </row>
    <row r="22" spans="1:19" x14ac:dyDescent="0.2">
      <c r="A22" s="2" t="s">
        <v>1803</v>
      </c>
      <c r="B22" s="19">
        <f t="shared" ref="B22:B27" si="0">DATE(86,8,2)</f>
        <v>31626</v>
      </c>
      <c r="L22" s="17">
        <v>36.299999999999997</v>
      </c>
      <c r="P22" s="17">
        <v>60.5</v>
      </c>
      <c r="S22" s="2" t="s">
        <v>1</v>
      </c>
    </row>
    <row r="23" spans="1:19" x14ac:dyDescent="0.2">
      <c r="A23" s="2" t="s">
        <v>1804</v>
      </c>
      <c r="B23" s="19">
        <f t="shared" si="0"/>
        <v>31626</v>
      </c>
      <c r="L23" s="17">
        <v>36.1</v>
      </c>
      <c r="P23" s="17">
        <v>60.1</v>
      </c>
      <c r="S23" s="2" t="s">
        <v>1</v>
      </c>
    </row>
    <row r="24" spans="1:19" x14ac:dyDescent="0.2">
      <c r="A24" s="2" t="s">
        <v>1805</v>
      </c>
      <c r="B24" s="19">
        <f t="shared" si="0"/>
        <v>31626</v>
      </c>
      <c r="L24" s="17">
        <v>42.6</v>
      </c>
      <c r="P24" s="17">
        <v>65.900000000000006</v>
      </c>
      <c r="S24" s="2" t="s">
        <v>1</v>
      </c>
    </row>
    <row r="25" spans="1:19" x14ac:dyDescent="0.2">
      <c r="A25" s="2" t="s">
        <v>1806</v>
      </c>
      <c r="B25" s="19">
        <f t="shared" si="0"/>
        <v>31626</v>
      </c>
      <c r="L25" s="17">
        <v>37</v>
      </c>
      <c r="P25" s="17">
        <v>66.7</v>
      </c>
      <c r="S25" s="2" t="s">
        <v>1</v>
      </c>
    </row>
    <row r="26" spans="1:19" x14ac:dyDescent="0.2">
      <c r="A26" s="2" t="s">
        <v>1807</v>
      </c>
      <c r="B26" s="19">
        <f t="shared" si="0"/>
        <v>31626</v>
      </c>
      <c r="L26" s="17"/>
      <c r="P26" s="17"/>
      <c r="S26" s="2" t="s">
        <v>1</v>
      </c>
    </row>
    <row r="27" spans="1:19" x14ac:dyDescent="0.2">
      <c r="A27" s="2" t="s">
        <v>1808</v>
      </c>
      <c r="B27" s="19">
        <f t="shared" si="0"/>
        <v>31626</v>
      </c>
      <c r="L27" s="17"/>
      <c r="P27" s="17"/>
      <c r="S27" s="2" t="s">
        <v>1</v>
      </c>
    </row>
    <row r="28" spans="1:19" x14ac:dyDescent="0.2">
      <c r="B28" s="19"/>
      <c r="D28" s="8" t="s">
        <v>117</v>
      </c>
      <c r="E28" s="8" t="s">
        <v>118</v>
      </c>
      <c r="F28" s="8" t="s">
        <v>118</v>
      </c>
      <c r="G28" s="8" t="s">
        <v>123</v>
      </c>
      <c r="H28" s="8" t="s">
        <v>134</v>
      </c>
      <c r="I28" s="8" t="s">
        <v>138</v>
      </c>
      <c r="J28" s="8" t="s">
        <v>136</v>
      </c>
      <c r="K28" s="8" t="s">
        <v>130</v>
      </c>
      <c r="L28" s="8" t="s">
        <v>133</v>
      </c>
      <c r="M28" s="8" t="s">
        <v>127</v>
      </c>
      <c r="N28" s="8" t="s">
        <v>121</v>
      </c>
      <c r="O28" s="8" t="s">
        <v>112</v>
      </c>
      <c r="P28" s="8" t="s">
        <v>148</v>
      </c>
      <c r="Q28" s="8" t="s">
        <v>115</v>
      </c>
      <c r="S28" s="2" t="s">
        <v>1</v>
      </c>
    </row>
    <row r="29" spans="1:19" x14ac:dyDescent="0.2">
      <c r="B29" s="19"/>
      <c r="D29" s="8" t="s">
        <v>266</v>
      </c>
      <c r="E29" s="8" t="s">
        <v>266</v>
      </c>
      <c r="F29" s="8" t="s">
        <v>266</v>
      </c>
      <c r="G29" s="8" t="s">
        <v>266</v>
      </c>
      <c r="H29" s="8" t="s">
        <v>371</v>
      </c>
      <c r="I29" s="8" t="s">
        <v>266</v>
      </c>
      <c r="J29" s="8" t="s">
        <v>144</v>
      </c>
      <c r="K29" s="8" t="s">
        <v>144</v>
      </c>
      <c r="L29" s="8" t="s">
        <v>144</v>
      </c>
      <c r="M29" s="8" t="s">
        <v>144</v>
      </c>
      <c r="N29" s="8" t="s">
        <v>144</v>
      </c>
      <c r="O29" s="8" t="s">
        <v>144</v>
      </c>
      <c r="P29" s="8" t="s">
        <v>144</v>
      </c>
      <c r="Q29" s="8" t="s">
        <v>144</v>
      </c>
      <c r="S29" s="2" t="s">
        <v>1</v>
      </c>
    </row>
    <row r="30" spans="1:19" x14ac:dyDescent="0.2">
      <c r="B30" s="19"/>
      <c r="S30" s="2" t="s">
        <v>1</v>
      </c>
    </row>
    <row r="31" spans="1:19" x14ac:dyDescent="0.2">
      <c r="A31" s="2" t="s">
        <v>529</v>
      </c>
      <c r="B31" s="7">
        <f>AVERAGE(B6:B27)</f>
        <v>31621.85</v>
      </c>
      <c r="C31" s="4"/>
      <c r="D31" s="4">
        <f t="shared" ref="D31:Q31" si="1">AVERAGE(D6:D27)</f>
        <v>463.6</v>
      </c>
      <c r="E31" s="4">
        <f t="shared" si="1"/>
        <v>81.400000000000006</v>
      </c>
      <c r="F31" s="4">
        <f t="shared" si="1"/>
        <v>77</v>
      </c>
      <c r="G31" s="4">
        <f t="shared" si="1"/>
        <v>1724.8</v>
      </c>
      <c r="H31" s="4">
        <f t="shared" si="1"/>
        <v>344.6</v>
      </c>
      <c r="I31" s="4">
        <f t="shared" si="1"/>
        <v>340.6</v>
      </c>
      <c r="J31" s="4">
        <f t="shared" si="1"/>
        <v>427.4</v>
      </c>
      <c r="K31" s="4">
        <f t="shared" si="1"/>
        <v>247.2</v>
      </c>
      <c r="L31" s="4">
        <f t="shared" si="1"/>
        <v>36.950000000000003</v>
      </c>
      <c r="M31" s="4">
        <f t="shared" si="1"/>
        <v>24</v>
      </c>
      <c r="N31" s="4">
        <f t="shared" si="1"/>
        <v>407.8</v>
      </c>
      <c r="O31" s="4">
        <f t="shared" si="1"/>
        <v>161.4</v>
      </c>
      <c r="P31" s="4">
        <f t="shared" si="1"/>
        <v>65.927272727272737</v>
      </c>
      <c r="Q31" s="4">
        <f t="shared" si="1"/>
        <v>530</v>
      </c>
      <c r="S31" s="2" t="s">
        <v>1</v>
      </c>
    </row>
    <row r="32" spans="1:19" x14ac:dyDescent="0.2">
      <c r="A32" s="2" t="s">
        <v>1706</v>
      </c>
      <c r="C32" s="4"/>
      <c r="D32" s="4">
        <f t="shared" ref="D32:Q32" si="2">STDEV(D6:D27)</f>
        <v>10.990905331227268</v>
      </c>
      <c r="E32" s="4">
        <f t="shared" si="2"/>
        <v>8.5322916030806173</v>
      </c>
      <c r="F32" s="4">
        <f t="shared" si="2"/>
        <v>9.7979589711327115</v>
      </c>
      <c r="G32" s="4">
        <f t="shared" si="2"/>
        <v>6.9785385289471611</v>
      </c>
      <c r="H32" s="4">
        <f t="shared" si="2"/>
        <v>1.9493588689617927</v>
      </c>
      <c r="I32" s="4">
        <f t="shared" si="2"/>
        <v>3.0495901363953815</v>
      </c>
      <c r="J32" s="4">
        <f t="shared" si="2"/>
        <v>3.1304951684997055</v>
      </c>
      <c r="K32" s="4">
        <f t="shared" si="2"/>
        <v>1.3038404810405297</v>
      </c>
      <c r="L32" s="4">
        <f t="shared" si="2"/>
        <v>2.9473151624260807</v>
      </c>
      <c r="M32" s="4">
        <f t="shared" si="2"/>
        <v>2.8284271247461903</v>
      </c>
      <c r="N32" s="4">
        <f t="shared" si="2"/>
        <v>460.18496281386683</v>
      </c>
      <c r="O32" s="4">
        <f t="shared" si="2"/>
        <v>3.7815340802378072</v>
      </c>
      <c r="P32" s="4">
        <f t="shared" si="2"/>
        <v>5.2560614359215618</v>
      </c>
      <c r="Q32" s="4">
        <f t="shared" si="2"/>
        <v>24.748737341529164</v>
      </c>
      <c r="S32" s="2" t="s">
        <v>1</v>
      </c>
    </row>
    <row r="33" spans="1:19" x14ac:dyDescent="0.2">
      <c r="A33" s="2" t="s">
        <v>365</v>
      </c>
      <c r="C33" s="4"/>
      <c r="D33" s="4">
        <f t="shared" ref="D33:Q33" si="3">COUNTA(D6:D27)</f>
        <v>5</v>
      </c>
      <c r="E33" s="4">
        <f t="shared" si="3"/>
        <v>5</v>
      </c>
      <c r="F33" s="4">
        <f t="shared" si="3"/>
        <v>5</v>
      </c>
      <c r="G33" s="4">
        <f t="shared" si="3"/>
        <v>5</v>
      </c>
      <c r="H33" s="4">
        <f t="shared" si="3"/>
        <v>5</v>
      </c>
      <c r="I33" s="4">
        <f t="shared" si="3"/>
        <v>5</v>
      </c>
      <c r="J33" s="4">
        <f t="shared" si="3"/>
        <v>5</v>
      </c>
      <c r="K33" s="4">
        <f t="shared" si="3"/>
        <v>5</v>
      </c>
      <c r="L33" s="4">
        <f t="shared" si="3"/>
        <v>16</v>
      </c>
      <c r="M33" s="4">
        <f t="shared" si="3"/>
        <v>2</v>
      </c>
      <c r="N33" s="4">
        <f t="shared" si="3"/>
        <v>5</v>
      </c>
      <c r="O33" s="4">
        <f t="shared" si="3"/>
        <v>5</v>
      </c>
      <c r="P33" s="4">
        <f t="shared" si="3"/>
        <v>11</v>
      </c>
      <c r="Q33" s="4">
        <f t="shared" si="3"/>
        <v>5</v>
      </c>
      <c r="S33" s="2" t="s">
        <v>1</v>
      </c>
    </row>
    <row r="34" spans="1:19" x14ac:dyDescent="0.2">
      <c r="S34" s="2" t="s">
        <v>1</v>
      </c>
    </row>
    <row r="35" spans="1:19" x14ac:dyDescent="0.2">
      <c r="S35" s="2" t="s">
        <v>1</v>
      </c>
    </row>
    <row r="36" spans="1:19" x14ac:dyDescent="0.2">
      <c r="S36" s="2" t="s">
        <v>1</v>
      </c>
    </row>
    <row r="37" spans="1:19" x14ac:dyDescent="0.2">
      <c r="S37" s="2" t="s">
        <v>1</v>
      </c>
    </row>
    <row r="38" spans="1:19" x14ac:dyDescent="0.2">
      <c r="S38" s="2" t="s">
        <v>1</v>
      </c>
    </row>
    <row r="39" spans="1:19" x14ac:dyDescent="0.2">
      <c r="S39" s="2" t="s">
        <v>1</v>
      </c>
    </row>
    <row r="40" spans="1:19" x14ac:dyDescent="0.2">
      <c r="S40" s="2" t="s">
        <v>1</v>
      </c>
    </row>
    <row r="41" spans="1:19" x14ac:dyDescent="0.2">
      <c r="S41" s="2" t="s">
        <v>1</v>
      </c>
    </row>
    <row r="42" spans="1:19" x14ac:dyDescent="0.2">
      <c r="S42" s="2" t="s">
        <v>1</v>
      </c>
    </row>
    <row r="43" spans="1:19" x14ac:dyDescent="0.2">
      <c r="S43" s="2" t="s">
        <v>1</v>
      </c>
    </row>
    <row r="44" spans="1:19" x14ac:dyDescent="0.2">
      <c r="S44" s="2" t="s">
        <v>1</v>
      </c>
    </row>
    <row r="45" spans="1:19" x14ac:dyDescent="0.2">
      <c r="S45" s="2" t="s">
        <v>1</v>
      </c>
    </row>
  </sheetData>
  <pageMargins left="0.5" right="0.5" top="0.75" bottom="0.75" header="0.5" footer="0.5"/>
  <pageSetup orientation="portrait" horizontalDpi="0" verticalDpi="0" copies="0"/>
  <headerFooter alignWithMargins="0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7"/>
  <sheetViews>
    <sheetView showOutlineSymbols="0" defaultGridColor="0" colorId="9" workbookViewId="0"/>
  </sheetViews>
  <sheetFormatPr defaultColWidth="8.6640625" defaultRowHeight="15" x14ac:dyDescent="0.2"/>
  <cols>
    <col min="1" max="16384" width="8.6640625" style="2"/>
  </cols>
  <sheetData>
    <row r="1" spans="1:25" ht="18" x14ac:dyDescent="0.25">
      <c r="A1" s="18" t="s">
        <v>1809</v>
      </c>
      <c r="Y1" s="2" t="s">
        <v>1</v>
      </c>
    </row>
    <row r="2" spans="1:25" x14ac:dyDescent="0.2">
      <c r="A2" s="2" t="s">
        <v>1810</v>
      </c>
      <c r="Y2" s="2" t="s">
        <v>1</v>
      </c>
    </row>
    <row r="3" spans="1:25" x14ac:dyDescent="0.2">
      <c r="Y3" s="2" t="s">
        <v>1</v>
      </c>
    </row>
    <row r="4" spans="1:25" x14ac:dyDescent="0.2">
      <c r="Y4" s="2" t="s">
        <v>1</v>
      </c>
    </row>
    <row r="5" spans="1:25" x14ac:dyDescent="0.2">
      <c r="A5" s="2" t="s">
        <v>1811</v>
      </c>
      <c r="Y5" s="2" t="s">
        <v>1</v>
      </c>
    </row>
    <row r="6" spans="1:25" x14ac:dyDescent="0.2">
      <c r="A6" s="2" t="s">
        <v>662</v>
      </c>
      <c r="B6" s="15" t="s">
        <v>285</v>
      </c>
      <c r="C6" s="21" t="s">
        <v>253</v>
      </c>
      <c r="D6" s="8" t="s">
        <v>286</v>
      </c>
      <c r="E6" s="8" t="s">
        <v>117</v>
      </c>
      <c r="F6" s="8" t="s">
        <v>118</v>
      </c>
      <c r="G6" s="8" t="s">
        <v>118</v>
      </c>
      <c r="H6" s="8" t="s">
        <v>123</v>
      </c>
      <c r="I6" s="8" t="s">
        <v>134</v>
      </c>
      <c r="J6" s="8" t="s">
        <v>138</v>
      </c>
      <c r="K6" s="8" t="s">
        <v>136</v>
      </c>
      <c r="L6" s="8" t="s">
        <v>130</v>
      </c>
      <c r="M6" s="8" t="s">
        <v>133</v>
      </c>
      <c r="N6" s="8" t="s">
        <v>127</v>
      </c>
      <c r="O6" s="8" t="s">
        <v>121</v>
      </c>
      <c r="P6" s="8" t="s">
        <v>112</v>
      </c>
      <c r="Q6" s="8" t="s">
        <v>126</v>
      </c>
      <c r="R6" s="8" t="s">
        <v>122</v>
      </c>
      <c r="S6" s="8" t="s">
        <v>113</v>
      </c>
      <c r="T6" s="8" t="s">
        <v>131</v>
      </c>
      <c r="U6" s="8" t="s">
        <v>129</v>
      </c>
      <c r="V6" s="8" t="s">
        <v>149</v>
      </c>
      <c r="W6" s="8" t="s">
        <v>151</v>
      </c>
      <c r="Y6" s="2" t="s">
        <v>1</v>
      </c>
    </row>
    <row r="7" spans="1:25" x14ac:dyDescent="0.2">
      <c r="A7" s="2" t="s">
        <v>289</v>
      </c>
      <c r="B7" s="15" t="s">
        <v>290</v>
      </c>
      <c r="C7" s="19"/>
      <c r="E7" s="8" t="s">
        <v>266</v>
      </c>
      <c r="F7" s="8" t="s">
        <v>266</v>
      </c>
      <c r="G7" s="8" t="s">
        <v>266</v>
      </c>
      <c r="H7" s="8" t="s">
        <v>266</v>
      </c>
      <c r="I7" s="8" t="s">
        <v>371</v>
      </c>
      <c r="J7" s="8" t="s">
        <v>266</v>
      </c>
      <c r="K7" s="8" t="s">
        <v>144</v>
      </c>
      <c r="L7" s="8" t="s">
        <v>144</v>
      </c>
      <c r="M7" s="8" t="s">
        <v>144</v>
      </c>
      <c r="N7" s="8" t="s">
        <v>144</v>
      </c>
      <c r="O7" s="8" t="s">
        <v>144</v>
      </c>
      <c r="P7" s="8" t="s">
        <v>144</v>
      </c>
      <c r="Q7" s="8" t="s">
        <v>144</v>
      </c>
      <c r="R7" s="8" t="s">
        <v>144</v>
      </c>
      <c r="S7" s="8" t="s">
        <v>144</v>
      </c>
      <c r="T7" s="8" t="s">
        <v>144</v>
      </c>
      <c r="U7" s="8" t="s">
        <v>144</v>
      </c>
      <c r="V7" s="8" t="s">
        <v>144</v>
      </c>
      <c r="W7" s="8" t="s">
        <v>144</v>
      </c>
      <c r="Y7" s="2" t="s">
        <v>1</v>
      </c>
    </row>
    <row r="8" spans="1:25" x14ac:dyDescent="0.2">
      <c r="C8" s="19"/>
      <c r="Y8" s="2" t="s">
        <v>1</v>
      </c>
    </row>
    <row r="9" spans="1:25" x14ac:dyDescent="0.2">
      <c r="A9" s="2">
        <v>1</v>
      </c>
      <c r="B9" s="2" t="s">
        <v>617</v>
      </c>
      <c r="C9" s="19">
        <f>DATE(87,6,19)</f>
        <v>31947</v>
      </c>
      <c r="D9" s="8" t="s">
        <v>1812</v>
      </c>
      <c r="E9" s="2">
        <v>524</v>
      </c>
      <c r="F9" s="2">
        <v>126</v>
      </c>
      <c r="G9" s="2">
        <v>133</v>
      </c>
      <c r="H9" s="2">
        <v>1735</v>
      </c>
      <c r="I9" s="2">
        <v>387</v>
      </c>
      <c r="L9" s="2">
        <v>419</v>
      </c>
      <c r="M9" s="2">
        <v>64</v>
      </c>
      <c r="O9" s="2">
        <v>352</v>
      </c>
      <c r="P9" s="2">
        <v>176</v>
      </c>
      <c r="Y9" s="2" t="s">
        <v>1</v>
      </c>
    </row>
    <row r="10" spans="1:25" x14ac:dyDescent="0.2">
      <c r="A10" s="2">
        <v>2</v>
      </c>
      <c r="B10" s="2" t="s">
        <v>1813</v>
      </c>
      <c r="C10" s="19">
        <f>DATE(87,6,19)</f>
        <v>31947</v>
      </c>
      <c r="D10" s="2">
        <v>1200</v>
      </c>
      <c r="E10" s="2">
        <v>520</v>
      </c>
      <c r="F10" s="2">
        <v>133</v>
      </c>
      <c r="G10" s="2">
        <v>148</v>
      </c>
      <c r="H10" s="2">
        <v>1740</v>
      </c>
      <c r="I10" s="2">
        <v>360</v>
      </c>
      <c r="J10" s="2">
        <v>340</v>
      </c>
      <c r="K10" s="2">
        <v>455</v>
      </c>
      <c r="L10" s="2">
        <v>397</v>
      </c>
      <c r="M10" s="2">
        <v>48</v>
      </c>
      <c r="N10" s="2">
        <v>25</v>
      </c>
      <c r="O10" s="2">
        <v>314</v>
      </c>
      <c r="P10" s="2">
        <v>173</v>
      </c>
      <c r="Y10" s="2" t="s">
        <v>1</v>
      </c>
    </row>
    <row r="11" spans="1:25" x14ac:dyDescent="0.2">
      <c r="A11" s="2">
        <v>3</v>
      </c>
      <c r="B11" s="2" t="s">
        <v>1814</v>
      </c>
      <c r="C11" s="19">
        <f>DATE(87,6,19)</f>
        <v>31947</v>
      </c>
      <c r="D11" s="2">
        <v>1600</v>
      </c>
      <c r="E11" s="2">
        <v>533</v>
      </c>
      <c r="F11" s="2">
        <v>127</v>
      </c>
      <c r="G11" s="2">
        <v>140</v>
      </c>
      <c r="H11" s="2">
        <v>1736</v>
      </c>
      <c r="I11" s="2">
        <v>358</v>
      </c>
      <c r="L11" s="2">
        <v>279</v>
      </c>
      <c r="M11" s="2">
        <v>42</v>
      </c>
      <c r="O11" s="2">
        <v>238</v>
      </c>
      <c r="P11" s="2">
        <v>176</v>
      </c>
      <c r="Y11" s="2" t="s">
        <v>1</v>
      </c>
    </row>
    <row r="12" spans="1:25" x14ac:dyDescent="0.2">
      <c r="A12" s="2">
        <v>4</v>
      </c>
      <c r="B12" s="2" t="s">
        <v>1815</v>
      </c>
      <c r="C12" s="19">
        <f>DATE(87,6,24)</f>
        <v>31952</v>
      </c>
      <c r="D12" s="8" t="s">
        <v>1816</v>
      </c>
      <c r="E12" s="2">
        <v>520</v>
      </c>
      <c r="F12" s="2">
        <v>129</v>
      </c>
      <c r="G12" s="2">
        <v>129</v>
      </c>
      <c r="H12" s="2">
        <v>1743</v>
      </c>
      <c r="I12" s="2">
        <v>361</v>
      </c>
      <c r="J12" s="2">
        <v>345</v>
      </c>
      <c r="K12" s="2">
        <v>508</v>
      </c>
      <c r="L12" s="2">
        <v>334</v>
      </c>
      <c r="M12" s="2">
        <v>38</v>
      </c>
      <c r="O12" s="2">
        <v>277</v>
      </c>
      <c r="P12" s="2">
        <v>178</v>
      </c>
      <c r="Q12" s="2">
        <v>1580</v>
      </c>
      <c r="R12" s="2">
        <v>206</v>
      </c>
      <c r="S12" s="2">
        <v>301</v>
      </c>
      <c r="T12" s="2">
        <v>624</v>
      </c>
      <c r="U12" s="2">
        <v>58</v>
      </c>
      <c r="V12" s="2">
        <v>119</v>
      </c>
      <c r="W12" s="2">
        <v>194</v>
      </c>
      <c r="Y12" s="2" t="s">
        <v>1</v>
      </c>
    </row>
    <row r="13" spans="1:25" x14ac:dyDescent="0.2">
      <c r="A13" s="2">
        <v>7</v>
      </c>
      <c r="B13" s="2" t="s">
        <v>1817</v>
      </c>
      <c r="C13" s="19">
        <f>DATE(87,6,24)</f>
        <v>31952</v>
      </c>
      <c r="D13" s="2">
        <v>1600</v>
      </c>
      <c r="E13" s="2">
        <v>544</v>
      </c>
      <c r="F13" s="2">
        <v>149</v>
      </c>
      <c r="G13" s="2">
        <v>162</v>
      </c>
      <c r="H13" s="2">
        <v>1751</v>
      </c>
      <c r="I13" s="2">
        <v>361</v>
      </c>
      <c r="J13" s="2">
        <v>343</v>
      </c>
      <c r="K13" s="2">
        <v>567</v>
      </c>
      <c r="L13" s="2">
        <v>293</v>
      </c>
      <c r="M13" s="2">
        <v>107</v>
      </c>
      <c r="O13" s="2">
        <v>320</v>
      </c>
      <c r="P13" s="2">
        <v>178</v>
      </c>
      <c r="Q13" s="2">
        <v>1500</v>
      </c>
      <c r="R13" s="2">
        <v>106</v>
      </c>
      <c r="S13" s="2">
        <v>319</v>
      </c>
      <c r="T13" s="2">
        <v>612</v>
      </c>
      <c r="U13" s="2">
        <v>44</v>
      </c>
      <c r="V13" s="2">
        <v>105</v>
      </c>
      <c r="W13" s="2">
        <v>149</v>
      </c>
      <c r="Y13" s="2" t="s">
        <v>1</v>
      </c>
    </row>
    <row r="14" spans="1:25" x14ac:dyDescent="0.2">
      <c r="A14" s="2">
        <v>8</v>
      </c>
      <c r="B14" s="2" t="s">
        <v>359</v>
      </c>
      <c r="C14" s="19">
        <f>DATE(87,6,25)</f>
        <v>31953</v>
      </c>
      <c r="D14" s="8" t="s">
        <v>1441</v>
      </c>
      <c r="E14" s="2">
        <v>564</v>
      </c>
      <c r="F14" s="2">
        <v>158</v>
      </c>
      <c r="G14" s="2">
        <v>162</v>
      </c>
      <c r="H14" s="2">
        <v>1746</v>
      </c>
      <c r="I14" s="2">
        <v>361</v>
      </c>
      <c r="J14" s="2">
        <v>345</v>
      </c>
      <c r="K14" s="2">
        <v>503</v>
      </c>
      <c r="L14" s="2">
        <v>292</v>
      </c>
      <c r="M14" s="2">
        <v>49</v>
      </c>
      <c r="O14" s="2">
        <v>352</v>
      </c>
      <c r="P14" s="2">
        <v>178</v>
      </c>
      <c r="Q14" s="2">
        <v>1700</v>
      </c>
      <c r="R14" s="2">
        <v>242</v>
      </c>
      <c r="S14" s="2">
        <v>389</v>
      </c>
      <c r="T14" s="2">
        <v>736</v>
      </c>
      <c r="U14" s="2">
        <v>88</v>
      </c>
      <c r="V14" s="2">
        <v>122</v>
      </c>
      <c r="W14" s="2">
        <v>183</v>
      </c>
      <c r="Y14" s="2" t="s">
        <v>1</v>
      </c>
    </row>
    <row r="15" spans="1:25" x14ac:dyDescent="0.2">
      <c r="A15" s="2">
        <v>9</v>
      </c>
      <c r="B15" s="2" t="s">
        <v>317</v>
      </c>
      <c r="C15" s="19">
        <f>DATE(87,6,25)</f>
        <v>31953</v>
      </c>
      <c r="D15" s="2">
        <v>1200</v>
      </c>
      <c r="E15" s="2">
        <v>541</v>
      </c>
      <c r="F15" s="2">
        <v>149</v>
      </c>
      <c r="G15" s="2">
        <v>156</v>
      </c>
      <c r="H15" s="2">
        <v>1749</v>
      </c>
      <c r="I15" s="2">
        <v>361</v>
      </c>
      <c r="J15" s="2">
        <v>343</v>
      </c>
      <c r="L15" s="2">
        <v>307</v>
      </c>
      <c r="M15" s="2">
        <v>47</v>
      </c>
      <c r="N15" s="2">
        <v>24</v>
      </c>
      <c r="O15" s="2">
        <v>311</v>
      </c>
      <c r="P15" s="2">
        <v>177</v>
      </c>
      <c r="Q15" s="2">
        <v>1630</v>
      </c>
      <c r="R15" s="2">
        <v>523</v>
      </c>
      <c r="T15" s="2">
        <v>563</v>
      </c>
      <c r="U15" s="2">
        <v>148</v>
      </c>
      <c r="V15" s="2">
        <v>76</v>
      </c>
      <c r="W15" s="2">
        <v>114</v>
      </c>
      <c r="Y15" s="2" t="s">
        <v>1</v>
      </c>
    </row>
    <row r="16" spans="1:25" x14ac:dyDescent="0.2">
      <c r="A16" s="2">
        <v>10</v>
      </c>
      <c r="B16" s="2" t="s">
        <v>360</v>
      </c>
      <c r="C16" s="19">
        <f>DATE(87,6,25)</f>
        <v>31953</v>
      </c>
      <c r="D16" s="2">
        <v>1600</v>
      </c>
      <c r="E16" s="2">
        <v>594</v>
      </c>
      <c r="F16" s="2">
        <v>140</v>
      </c>
      <c r="G16" s="2">
        <v>145</v>
      </c>
      <c r="H16" s="2">
        <v>1745</v>
      </c>
      <c r="I16" s="2">
        <v>361</v>
      </c>
      <c r="J16" s="2">
        <v>344</v>
      </c>
      <c r="K16" s="2">
        <v>2731</v>
      </c>
      <c r="L16" s="2">
        <v>289</v>
      </c>
      <c r="M16" s="2">
        <v>46</v>
      </c>
      <c r="N16" s="2">
        <v>23</v>
      </c>
      <c r="O16" s="2">
        <v>299</v>
      </c>
      <c r="P16" s="2">
        <v>178</v>
      </c>
      <c r="Q16" s="2">
        <v>1560</v>
      </c>
      <c r="R16" s="2">
        <v>204</v>
      </c>
      <c r="S16" s="2">
        <v>658</v>
      </c>
      <c r="T16" s="2">
        <v>429</v>
      </c>
      <c r="U16" s="2">
        <v>81</v>
      </c>
      <c r="V16" s="2">
        <v>61</v>
      </c>
      <c r="W16" s="2">
        <v>73</v>
      </c>
      <c r="Y16" s="2" t="s">
        <v>1</v>
      </c>
    </row>
    <row r="17" spans="1:25" x14ac:dyDescent="0.2">
      <c r="A17" s="2">
        <v>11</v>
      </c>
      <c r="B17" s="2" t="s">
        <v>1818</v>
      </c>
      <c r="C17" s="19">
        <f>DATE(87,7,13)</f>
        <v>31971</v>
      </c>
      <c r="D17" s="8" t="s">
        <v>1441</v>
      </c>
      <c r="E17" s="2">
        <v>2449</v>
      </c>
      <c r="F17" s="2">
        <v>92</v>
      </c>
      <c r="G17" s="2">
        <v>91</v>
      </c>
      <c r="H17" s="2">
        <v>1711</v>
      </c>
      <c r="I17" s="2">
        <v>356</v>
      </c>
      <c r="J17" s="2">
        <v>345</v>
      </c>
      <c r="K17" s="2">
        <v>868</v>
      </c>
      <c r="L17" s="2">
        <v>276</v>
      </c>
      <c r="M17" s="2">
        <v>44</v>
      </c>
      <c r="O17" s="2">
        <v>249</v>
      </c>
      <c r="P17" s="2">
        <v>172</v>
      </c>
      <c r="Q17" s="2">
        <v>940</v>
      </c>
      <c r="R17" s="2">
        <v>216</v>
      </c>
      <c r="S17" s="2">
        <v>224</v>
      </c>
      <c r="T17" s="2">
        <v>523</v>
      </c>
      <c r="U17" s="2">
        <v>88</v>
      </c>
      <c r="V17" s="2">
        <v>108</v>
      </c>
      <c r="W17" s="2">
        <v>129</v>
      </c>
      <c r="Y17" s="2" t="s">
        <v>1</v>
      </c>
    </row>
    <row r="18" spans="1:25" x14ac:dyDescent="0.2">
      <c r="A18" s="2">
        <v>12</v>
      </c>
      <c r="B18" s="2" t="s">
        <v>1819</v>
      </c>
      <c r="C18" s="19">
        <f>DATE(87,7,13)</f>
        <v>31971</v>
      </c>
      <c r="D18" s="2">
        <v>1200</v>
      </c>
      <c r="E18" s="2">
        <v>1412</v>
      </c>
      <c r="F18" s="2">
        <v>97</v>
      </c>
      <c r="G18" s="2">
        <v>108</v>
      </c>
      <c r="H18" s="2">
        <v>1716</v>
      </c>
      <c r="I18" s="2">
        <v>356</v>
      </c>
      <c r="J18" s="2">
        <v>345</v>
      </c>
      <c r="K18" s="2">
        <v>945</v>
      </c>
      <c r="L18" s="2">
        <v>433</v>
      </c>
      <c r="M18" s="2">
        <v>54</v>
      </c>
      <c r="N18" s="2">
        <v>19</v>
      </c>
      <c r="O18" s="2">
        <v>258</v>
      </c>
      <c r="P18" s="2">
        <v>178</v>
      </c>
      <c r="Q18" s="2">
        <v>872</v>
      </c>
      <c r="R18" s="2">
        <v>122</v>
      </c>
      <c r="S18" s="2">
        <v>468</v>
      </c>
      <c r="T18" s="2">
        <v>373</v>
      </c>
      <c r="U18" s="2">
        <v>51</v>
      </c>
      <c r="V18" s="2">
        <v>90</v>
      </c>
      <c r="W18" s="2">
        <v>143</v>
      </c>
      <c r="Y18" s="2" t="s">
        <v>1</v>
      </c>
    </row>
    <row r="19" spans="1:25" x14ac:dyDescent="0.2">
      <c r="A19" s="2">
        <v>13</v>
      </c>
      <c r="B19" s="2" t="s">
        <v>1820</v>
      </c>
      <c r="C19" s="19">
        <f>DATE(87,7,13)</f>
        <v>31971</v>
      </c>
      <c r="D19" s="2">
        <v>1600</v>
      </c>
      <c r="E19" s="2">
        <v>1417</v>
      </c>
      <c r="F19" s="2">
        <v>95</v>
      </c>
      <c r="G19" s="2">
        <v>96</v>
      </c>
      <c r="H19" s="2">
        <v>1715</v>
      </c>
      <c r="I19" s="2">
        <v>356</v>
      </c>
      <c r="J19" s="2">
        <v>344</v>
      </c>
      <c r="K19" s="2">
        <v>504</v>
      </c>
      <c r="L19" s="2">
        <v>293</v>
      </c>
      <c r="M19" s="2">
        <v>46</v>
      </c>
      <c r="N19" s="2">
        <v>24</v>
      </c>
      <c r="O19" s="2">
        <v>258</v>
      </c>
      <c r="P19" s="2">
        <v>175</v>
      </c>
      <c r="Q19" s="2">
        <v>807</v>
      </c>
      <c r="R19" s="2">
        <v>171</v>
      </c>
      <c r="S19" s="2">
        <v>198</v>
      </c>
      <c r="T19" s="2">
        <v>252</v>
      </c>
      <c r="U19" s="2">
        <v>72</v>
      </c>
      <c r="V19" s="2">
        <v>66</v>
      </c>
      <c r="W19" s="2">
        <v>87</v>
      </c>
      <c r="Y19" s="2" t="s">
        <v>1</v>
      </c>
    </row>
    <row r="20" spans="1:25" x14ac:dyDescent="0.2">
      <c r="A20" s="2">
        <v>14</v>
      </c>
      <c r="B20" s="2" t="s">
        <v>1821</v>
      </c>
      <c r="C20" s="19">
        <f>DATE(87,7,14)</f>
        <v>31972</v>
      </c>
      <c r="D20" s="8" t="s">
        <v>1441</v>
      </c>
      <c r="E20" s="2">
        <v>948</v>
      </c>
      <c r="G20" s="2">
        <v>104</v>
      </c>
      <c r="H20" s="2">
        <v>1710</v>
      </c>
      <c r="I20" s="2">
        <v>357</v>
      </c>
      <c r="J20" s="2">
        <v>343</v>
      </c>
      <c r="K20" s="2">
        <v>454</v>
      </c>
      <c r="L20" s="2">
        <v>264</v>
      </c>
      <c r="M20" s="2">
        <v>42</v>
      </c>
      <c r="N20" s="2">
        <v>22</v>
      </c>
      <c r="O20" s="2">
        <v>228</v>
      </c>
      <c r="P20" s="2">
        <v>172</v>
      </c>
      <c r="Q20" s="2">
        <v>931</v>
      </c>
      <c r="R20" s="2">
        <v>206</v>
      </c>
      <c r="S20" s="2">
        <v>254</v>
      </c>
      <c r="T20" s="2">
        <v>330</v>
      </c>
      <c r="U20" s="2">
        <v>63</v>
      </c>
      <c r="V20" s="2">
        <v>88</v>
      </c>
      <c r="W20" s="2">
        <v>161</v>
      </c>
      <c r="Y20" s="2" t="s">
        <v>1</v>
      </c>
    </row>
    <row r="21" spans="1:25" x14ac:dyDescent="0.2">
      <c r="A21" s="2">
        <v>15</v>
      </c>
      <c r="B21" s="2" t="s">
        <v>1822</v>
      </c>
      <c r="C21" s="19">
        <f>DATE(87,7,14)</f>
        <v>31972</v>
      </c>
      <c r="D21" s="2">
        <v>1200</v>
      </c>
      <c r="E21" s="2">
        <v>840</v>
      </c>
      <c r="F21" s="2">
        <v>103</v>
      </c>
      <c r="G21" s="2">
        <v>94</v>
      </c>
      <c r="H21" s="2">
        <v>1713</v>
      </c>
      <c r="I21" s="2">
        <v>357</v>
      </c>
      <c r="J21" s="2">
        <v>345</v>
      </c>
      <c r="K21" s="2">
        <v>454</v>
      </c>
      <c r="L21" s="2">
        <v>266</v>
      </c>
      <c r="M21" s="2">
        <v>40</v>
      </c>
      <c r="N21" s="2">
        <v>22</v>
      </c>
      <c r="O21" s="2">
        <v>230</v>
      </c>
      <c r="P21" s="2">
        <v>175</v>
      </c>
      <c r="Q21" s="2">
        <v>845</v>
      </c>
      <c r="R21" s="2">
        <v>293</v>
      </c>
      <c r="S21" s="2">
        <v>155</v>
      </c>
      <c r="T21" s="2">
        <v>253</v>
      </c>
      <c r="U21" s="2">
        <v>75</v>
      </c>
      <c r="V21" s="2">
        <v>65</v>
      </c>
      <c r="W21" s="2">
        <v>111</v>
      </c>
      <c r="Y21" s="2" t="s">
        <v>1</v>
      </c>
    </row>
    <row r="22" spans="1:25" x14ac:dyDescent="0.2">
      <c r="A22" s="2">
        <v>16</v>
      </c>
      <c r="B22" s="2" t="s">
        <v>318</v>
      </c>
      <c r="C22" s="19">
        <f>DATE(87,7,14)</f>
        <v>31972</v>
      </c>
      <c r="D22" s="2">
        <v>1600</v>
      </c>
      <c r="E22" s="2">
        <v>931</v>
      </c>
      <c r="F22" s="2">
        <v>87</v>
      </c>
      <c r="G22" s="2">
        <v>86</v>
      </c>
      <c r="H22" s="2">
        <v>1713</v>
      </c>
      <c r="I22" s="2">
        <v>355</v>
      </c>
      <c r="J22" s="2">
        <v>345</v>
      </c>
      <c r="K22" s="2">
        <v>443</v>
      </c>
      <c r="L22" s="2">
        <v>265</v>
      </c>
      <c r="M22" s="2">
        <v>41</v>
      </c>
      <c r="N22" s="2">
        <v>26</v>
      </c>
      <c r="O22" s="2">
        <v>227</v>
      </c>
      <c r="P22" s="2">
        <v>175</v>
      </c>
      <c r="Q22" s="2">
        <v>779</v>
      </c>
      <c r="R22" s="2">
        <v>150</v>
      </c>
      <c r="S22" s="2">
        <v>166</v>
      </c>
      <c r="T22" s="2">
        <v>125</v>
      </c>
      <c r="U22" s="2">
        <v>79</v>
      </c>
      <c r="V22" s="2">
        <v>28</v>
      </c>
      <c r="W22" s="2">
        <v>52</v>
      </c>
      <c r="Y22" s="2" t="s">
        <v>1</v>
      </c>
    </row>
    <row r="23" spans="1:25" x14ac:dyDescent="0.2">
      <c r="A23" s="2">
        <v>17</v>
      </c>
      <c r="B23" s="2" t="s">
        <v>1823</v>
      </c>
      <c r="C23" s="19">
        <f>DATE(87,7,15)</f>
        <v>31973</v>
      </c>
      <c r="D23" s="8" t="s">
        <v>1441</v>
      </c>
      <c r="E23" s="2">
        <v>840</v>
      </c>
      <c r="F23" s="2">
        <v>105</v>
      </c>
      <c r="G23" s="2">
        <v>102</v>
      </c>
      <c r="H23" s="2">
        <v>1717</v>
      </c>
      <c r="I23" s="2">
        <v>358</v>
      </c>
      <c r="J23" s="2">
        <v>345</v>
      </c>
      <c r="K23" s="2">
        <v>1824</v>
      </c>
      <c r="L23" s="2">
        <v>275</v>
      </c>
      <c r="M23" s="2">
        <v>67</v>
      </c>
      <c r="N23" s="2">
        <v>22</v>
      </c>
      <c r="O23" s="2">
        <v>238</v>
      </c>
      <c r="P23" s="2">
        <v>176</v>
      </c>
      <c r="Q23" s="2">
        <v>966</v>
      </c>
      <c r="R23" s="2">
        <v>232</v>
      </c>
      <c r="S23" s="2">
        <v>460</v>
      </c>
      <c r="T23" s="2">
        <v>383</v>
      </c>
      <c r="U23" s="2">
        <v>76</v>
      </c>
      <c r="V23" s="2">
        <v>146</v>
      </c>
      <c r="W23" s="2">
        <v>346</v>
      </c>
      <c r="Y23" s="2" t="s">
        <v>1</v>
      </c>
    </row>
    <row r="24" spans="1:25" x14ac:dyDescent="0.2">
      <c r="A24" s="2">
        <v>18</v>
      </c>
      <c r="B24" s="2" t="s">
        <v>1824</v>
      </c>
      <c r="C24" s="19">
        <f>DATE(87,7,15)</f>
        <v>31973</v>
      </c>
      <c r="D24" s="2">
        <v>1200</v>
      </c>
      <c r="E24" s="2">
        <v>948</v>
      </c>
      <c r="F24" s="2">
        <v>106</v>
      </c>
      <c r="G24" s="2">
        <v>107</v>
      </c>
      <c r="H24" s="2">
        <v>1729</v>
      </c>
      <c r="I24" s="2">
        <v>358</v>
      </c>
      <c r="J24" s="2">
        <v>345</v>
      </c>
      <c r="K24" s="2">
        <v>506</v>
      </c>
      <c r="L24" s="2">
        <v>277</v>
      </c>
      <c r="M24" s="2">
        <v>43</v>
      </c>
      <c r="O24" s="2">
        <v>248</v>
      </c>
      <c r="P24" s="2">
        <v>176</v>
      </c>
      <c r="Q24" s="2">
        <v>1240</v>
      </c>
      <c r="R24" s="2">
        <v>290</v>
      </c>
      <c r="S24" s="2">
        <v>255</v>
      </c>
      <c r="T24" s="2">
        <v>775</v>
      </c>
      <c r="U24" s="2">
        <v>80</v>
      </c>
      <c r="V24" s="2">
        <v>147</v>
      </c>
      <c r="W24" s="2">
        <v>289</v>
      </c>
      <c r="Y24" s="2" t="s">
        <v>1</v>
      </c>
    </row>
    <row r="25" spans="1:25" x14ac:dyDescent="0.2">
      <c r="A25" s="2">
        <v>19</v>
      </c>
      <c r="B25" s="2" t="s">
        <v>1825</v>
      </c>
      <c r="C25" s="19">
        <f>DATE(87,7,15)</f>
        <v>31973</v>
      </c>
      <c r="D25" s="2">
        <v>1600</v>
      </c>
      <c r="E25" s="2">
        <v>942</v>
      </c>
      <c r="F25" s="2">
        <v>104</v>
      </c>
      <c r="G25" s="2">
        <v>103</v>
      </c>
      <c r="H25" s="2">
        <v>1724</v>
      </c>
      <c r="I25" s="2">
        <v>358</v>
      </c>
      <c r="J25" s="2">
        <v>344</v>
      </c>
      <c r="K25" s="2">
        <v>539</v>
      </c>
      <c r="L25" s="2">
        <v>278</v>
      </c>
      <c r="M25" s="2">
        <v>44</v>
      </c>
      <c r="N25" s="2">
        <v>26</v>
      </c>
      <c r="O25" s="2">
        <v>252</v>
      </c>
      <c r="P25" s="2">
        <v>174</v>
      </c>
      <c r="Q25" s="2">
        <v>1190</v>
      </c>
      <c r="R25" s="2">
        <v>392</v>
      </c>
      <c r="S25" s="2">
        <v>241</v>
      </c>
      <c r="T25" s="2">
        <v>645</v>
      </c>
      <c r="U25" s="2">
        <v>122</v>
      </c>
      <c r="V25" s="2">
        <v>138</v>
      </c>
      <c r="W25" s="2">
        <v>240</v>
      </c>
      <c r="Y25" s="2" t="s">
        <v>1</v>
      </c>
    </row>
    <row r="26" spans="1:25" x14ac:dyDescent="0.2">
      <c r="A26" s="2">
        <v>20</v>
      </c>
      <c r="B26" s="2" t="s">
        <v>1043</v>
      </c>
      <c r="C26" s="19">
        <f>DATE(87,8,27)</f>
        <v>32016</v>
      </c>
      <c r="D26" s="8" t="s">
        <v>1441</v>
      </c>
      <c r="E26" s="2">
        <v>620</v>
      </c>
      <c r="F26" s="2">
        <v>97</v>
      </c>
      <c r="G26" s="2">
        <v>94</v>
      </c>
      <c r="H26" s="2">
        <v>1710</v>
      </c>
      <c r="I26" s="2">
        <v>354</v>
      </c>
      <c r="J26" s="2">
        <v>345</v>
      </c>
      <c r="K26" s="2">
        <v>480</v>
      </c>
      <c r="L26" s="2">
        <v>274</v>
      </c>
      <c r="M26" s="2">
        <v>50</v>
      </c>
      <c r="O26" s="2">
        <v>252</v>
      </c>
      <c r="P26" s="2">
        <v>177</v>
      </c>
      <c r="Q26" s="2">
        <v>716</v>
      </c>
      <c r="R26" s="2">
        <v>236</v>
      </c>
      <c r="S26" s="2">
        <v>221</v>
      </c>
      <c r="T26" s="2">
        <v>292</v>
      </c>
      <c r="U26" s="2">
        <v>102</v>
      </c>
      <c r="V26" s="2">
        <v>57</v>
      </c>
      <c r="W26" s="2">
        <v>90</v>
      </c>
      <c r="Y26" s="2" t="s">
        <v>1</v>
      </c>
    </row>
    <row r="27" spans="1:25" x14ac:dyDescent="0.2">
      <c r="A27" s="2">
        <v>21</v>
      </c>
      <c r="B27" s="2" t="s">
        <v>1826</v>
      </c>
      <c r="C27" s="19">
        <f>DATE(87,8,27)</f>
        <v>32016</v>
      </c>
      <c r="D27" s="2">
        <v>1200</v>
      </c>
      <c r="E27" s="2">
        <v>657</v>
      </c>
      <c r="G27" s="2">
        <v>118</v>
      </c>
      <c r="H27" s="2">
        <v>1719</v>
      </c>
      <c r="I27" s="2">
        <v>354</v>
      </c>
      <c r="L27" s="2">
        <v>277</v>
      </c>
      <c r="M27" s="2">
        <v>44</v>
      </c>
      <c r="N27" s="15" t="s">
        <v>1187</v>
      </c>
      <c r="O27" s="2">
        <v>279</v>
      </c>
      <c r="P27" s="2">
        <v>177</v>
      </c>
      <c r="Q27" s="2">
        <v>1130</v>
      </c>
      <c r="R27" s="2">
        <v>785</v>
      </c>
      <c r="S27" s="2">
        <v>401</v>
      </c>
      <c r="T27" s="2">
        <v>775</v>
      </c>
      <c r="U27" s="2">
        <v>295</v>
      </c>
      <c r="V27" s="2">
        <v>127</v>
      </c>
      <c r="W27" s="2">
        <v>295</v>
      </c>
      <c r="Y27" s="2" t="s">
        <v>1</v>
      </c>
    </row>
    <row r="28" spans="1:25" x14ac:dyDescent="0.2">
      <c r="A28" s="2">
        <v>22</v>
      </c>
      <c r="B28" s="2" t="s">
        <v>1827</v>
      </c>
      <c r="C28" s="19">
        <f>DATE(87,8,27)</f>
        <v>32016</v>
      </c>
      <c r="D28" s="2">
        <v>1600</v>
      </c>
      <c r="E28" s="2">
        <v>710</v>
      </c>
      <c r="F28" s="2">
        <v>98</v>
      </c>
      <c r="G28" s="2">
        <v>99</v>
      </c>
      <c r="H28" s="2">
        <v>1711</v>
      </c>
      <c r="I28" s="2">
        <v>354</v>
      </c>
      <c r="J28" s="2">
        <v>345</v>
      </c>
      <c r="K28" s="2">
        <v>520</v>
      </c>
      <c r="L28" s="2">
        <v>273</v>
      </c>
      <c r="M28" s="2">
        <v>46</v>
      </c>
      <c r="N28" s="2">
        <v>25</v>
      </c>
      <c r="O28" s="2">
        <v>243</v>
      </c>
      <c r="P28" s="2">
        <v>177</v>
      </c>
      <c r="Q28" s="2">
        <v>736</v>
      </c>
      <c r="R28" s="2">
        <v>666</v>
      </c>
      <c r="S28" s="2">
        <v>290</v>
      </c>
      <c r="T28" s="2">
        <v>307</v>
      </c>
      <c r="U28" s="2">
        <v>219</v>
      </c>
      <c r="V28" s="2">
        <v>50</v>
      </c>
      <c r="W28" s="2">
        <v>74</v>
      </c>
      <c r="Y28" s="2" t="s">
        <v>1</v>
      </c>
    </row>
    <row r="29" spans="1:25" x14ac:dyDescent="0.2">
      <c r="A29" s="2">
        <v>23</v>
      </c>
      <c r="B29" s="2" t="s">
        <v>1828</v>
      </c>
      <c r="C29" s="19">
        <f>DATE(87,8,28)</f>
        <v>32017</v>
      </c>
      <c r="D29" s="8" t="s">
        <v>1441</v>
      </c>
      <c r="E29" s="2">
        <v>701</v>
      </c>
      <c r="F29" s="2">
        <v>149</v>
      </c>
      <c r="G29" s="2">
        <v>149</v>
      </c>
      <c r="H29" s="2">
        <v>1710</v>
      </c>
      <c r="I29" s="2">
        <v>354</v>
      </c>
      <c r="J29" s="2">
        <v>351</v>
      </c>
      <c r="K29" s="2">
        <v>2165</v>
      </c>
      <c r="L29" s="2">
        <v>484</v>
      </c>
      <c r="M29" s="2">
        <v>48</v>
      </c>
      <c r="O29" s="2">
        <v>274</v>
      </c>
      <c r="P29" s="2">
        <v>175</v>
      </c>
      <c r="Q29" s="2">
        <v>886</v>
      </c>
      <c r="R29" s="2">
        <v>719</v>
      </c>
      <c r="S29" s="2">
        <v>1890</v>
      </c>
      <c r="T29" s="2">
        <v>604</v>
      </c>
      <c r="U29" s="2">
        <v>161</v>
      </c>
      <c r="V29" s="2">
        <v>170</v>
      </c>
      <c r="W29" s="2">
        <v>478</v>
      </c>
      <c r="Y29" s="2" t="s">
        <v>1</v>
      </c>
    </row>
    <row r="30" spans="1:25" x14ac:dyDescent="0.2">
      <c r="A30" s="2">
        <v>24</v>
      </c>
      <c r="B30" s="2" t="s">
        <v>1829</v>
      </c>
      <c r="C30" s="19">
        <f>DATE(87,8,28)</f>
        <v>32017</v>
      </c>
      <c r="D30" s="2">
        <v>1200</v>
      </c>
      <c r="E30" s="2">
        <v>685</v>
      </c>
      <c r="F30" s="2">
        <v>108</v>
      </c>
      <c r="G30" s="2">
        <v>109</v>
      </c>
      <c r="H30" s="2">
        <v>1716</v>
      </c>
      <c r="I30" s="2">
        <v>356</v>
      </c>
      <c r="J30" s="2">
        <v>345</v>
      </c>
      <c r="K30" s="2">
        <v>622</v>
      </c>
      <c r="L30" s="2">
        <v>273</v>
      </c>
      <c r="M30" s="2">
        <v>58</v>
      </c>
      <c r="N30" s="2">
        <v>28</v>
      </c>
      <c r="O30" s="2">
        <v>256</v>
      </c>
      <c r="P30" s="2">
        <v>176</v>
      </c>
      <c r="Q30" s="2">
        <v>1000</v>
      </c>
      <c r="R30" s="2">
        <v>561</v>
      </c>
      <c r="S30" s="2">
        <v>310</v>
      </c>
      <c r="T30" s="2">
        <v>657</v>
      </c>
      <c r="U30" s="2">
        <v>173</v>
      </c>
      <c r="V30" s="2">
        <v>96</v>
      </c>
      <c r="W30" s="2">
        <v>173</v>
      </c>
      <c r="Y30" s="2" t="s">
        <v>1</v>
      </c>
    </row>
    <row r="31" spans="1:25" x14ac:dyDescent="0.2">
      <c r="A31" s="2">
        <v>25</v>
      </c>
      <c r="B31" s="2" t="s">
        <v>1830</v>
      </c>
      <c r="C31" s="19">
        <f>DATE(87,8,28)</f>
        <v>32017</v>
      </c>
      <c r="D31" s="2">
        <v>1600</v>
      </c>
      <c r="E31" s="2">
        <v>766</v>
      </c>
      <c r="F31" s="2">
        <v>117</v>
      </c>
      <c r="G31" s="2">
        <v>120</v>
      </c>
      <c r="H31" s="2">
        <v>1715</v>
      </c>
      <c r="I31" s="2">
        <v>352</v>
      </c>
      <c r="J31" s="2">
        <v>346</v>
      </c>
      <c r="K31" s="2">
        <v>530</v>
      </c>
      <c r="L31" s="2">
        <v>288</v>
      </c>
      <c r="M31" s="2">
        <v>48</v>
      </c>
      <c r="N31" s="2">
        <v>22</v>
      </c>
      <c r="O31" s="2">
        <v>270</v>
      </c>
      <c r="P31" s="2">
        <v>178</v>
      </c>
      <c r="Q31" s="2">
        <v>1130</v>
      </c>
      <c r="R31" s="2">
        <v>688</v>
      </c>
      <c r="S31" s="2">
        <v>242</v>
      </c>
      <c r="T31" s="2">
        <v>669</v>
      </c>
      <c r="U31" s="2">
        <v>207</v>
      </c>
      <c r="V31" s="2">
        <v>88</v>
      </c>
      <c r="W31" s="2">
        <v>140</v>
      </c>
      <c r="Y31" s="2" t="s">
        <v>1</v>
      </c>
    </row>
    <row r="32" spans="1:25" x14ac:dyDescent="0.2">
      <c r="A32" s="2">
        <v>26</v>
      </c>
      <c r="B32" s="2" t="s">
        <v>1831</v>
      </c>
      <c r="C32" s="19">
        <f>DATE(87,8,29)</f>
        <v>32018</v>
      </c>
      <c r="D32" s="8" t="s">
        <v>1441</v>
      </c>
      <c r="E32" s="2">
        <v>873</v>
      </c>
      <c r="F32" s="2">
        <v>159</v>
      </c>
      <c r="G32" s="2">
        <v>160</v>
      </c>
      <c r="H32" s="2">
        <v>1710</v>
      </c>
      <c r="I32" s="2">
        <v>357</v>
      </c>
      <c r="J32" s="2">
        <v>344</v>
      </c>
      <c r="K32" s="2">
        <v>533</v>
      </c>
      <c r="L32" s="2">
        <v>278</v>
      </c>
      <c r="M32" s="2">
        <v>58</v>
      </c>
      <c r="N32" s="2">
        <v>38</v>
      </c>
      <c r="O32" s="2">
        <v>356</v>
      </c>
      <c r="P32" s="2">
        <v>170</v>
      </c>
      <c r="Y32" s="2" t="s">
        <v>1</v>
      </c>
    </row>
    <row r="33" spans="1:25" x14ac:dyDescent="0.2">
      <c r="A33" s="2">
        <v>27</v>
      </c>
      <c r="B33" s="2" t="s">
        <v>1832</v>
      </c>
      <c r="C33" s="19">
        <f>DATE(87,8,29)</f>
        <v>32018</v>
      </c>
      <c r="D33" s="2">
        <v>1200</v>
      </c>
      <c r="E33" s="2">
        <v>863</v>
      </c>
      <c r="F33" s="2">
        <v>119</v>
      </c>
      <c r="G33" s="2">
        <v>120</v>
      </c>
      <c r="H33" s="2">
        <v>1704</v>
      </c>
      <c r="I33" s="2">
        <v>356</v>
      </c>
      <c r="L33" s="2">
        <v>280</v>
      </c>
      <c r="M33" s="2">
        <v>54</v>
      </c>
      <c r="N33" s="2">
        <v>28</v>
      </c>
      <c r="O33" s="2">
        <v>328</v>
      </c>
      <c r="P33" s="2">
        <v>175</v>
      </c>
      <c r="Q33" s="2">
        <v>1050</v>
      </c>
      <c r="R33" s="2">
        <v>944</v>
      </c>
      <c r="S33" s="2">
        <v>285</v>
      </c>
      <c r="T33" s="2">
        <v>617</v>
      </c>
      <c r="U33" s="2">
        <v>278</v>
      </c>
      <c r="V33" s="2">
        <v>96</v>
      </c>
      <c r="W33" s="2">
        <v>156</v>
      </c>
      <c r="Y33" s="2" t="s">
        <v>1</v>
      </c>
    </row>
    <row r="34" spans="1:25" x14ac:dyDescent="0.2">
      <c r="A34" s="2">
        <v>28</v>
      </c>
      <c r="B34" s="2" t="s">
        <v>1833</v>
      </c>
      <c r="C34" s="19">
        <f>DATE(87,8,29)</f>
        <v>32018</v>
      </c>
      <c r="D34" s="2">
        <v>1600</v>
      </c>
      <c r="E34" s="2">
        <v>874</v>
      </c>
      <c r="F34" s="2">
        <v>101</v>
      </c>
      <c r="G34" s="2">
        <v>101</v>
      </c>
      <c r="H34" s="2">
        <v>1701</v>
      </c>
      <c r="I34" s="2">
        <v>355</v>
      </c>
      <c r="J34" s="2">
        <v>345</v>
      </c>
      <c r="K34" s="2">
        <v>480</v>
      </c>
      <c r="L34" s="2">
        <v>314</v>
      </c>
      <c r="M34" s="2">
        <v>46</v>
      </c>
      <c r="N34" s="2">
        <v>18</v>
      </c>
      <c r="O34" s="2">
        <v>277</v>
      </c>
      <c r="P34" s="2">
        <v>175</v>
      </c>
      <c r="Q34" s="2">
        <v>700</v>
      </c>
      <c r="R34" s="2">
        <v>610</v>
      </c>
      <c r="S34" s="2">
        <v>270</v>
      </c>
      <c r="T34" s="2">
        <v>286</v>
      </c>
      <c r="U34" s="2">
        <v>193</v>
      </c>
      <c r="V34" s="2">
        <v>47</v>
      </c>
      <c r="W34" s="2">
        <v>63</v>
      </c>
      <c r="Y34" s="2" t="s">
        <v>1</v>
      </c>
    </row>
    <row r="35" spans="1:25" x14ac:dyDescent="0.2">
      <c r="A35" s="2">
        <v>29</v>
      </c>
      <c r="B35" s="2" t="s">
        <v>1834</v>
      </c>
      <c r="C35" s="19">
        <f>DATE(87,9,2)</f>
        <v>32022</v>
      </c>
      <c r="D35" s="8" t="s">
        <v>1441</v>
      </c>
      <c r="E35" s="2">
        <v>636</v>
      </c>
      <c r="F35" s="2">
        <v>96</v>
      </c>
      <c r="G35" s="2">
        <v>97</v>
      </c>
      <c r="H35" s="2">
        <v>1712</v>
      </c>
      <c r="I35" s="2">
        <v>353</v>
      </c>
      <c r="J35" s="2">
        <v>345</v>
      </c>
      <c r="K35" s="2">
        <v>1069</v>
      </c>
      <c r="L35" s="2">
        <v>252</v>
      </c>
      <c r="M35" s="2">
        <v>60</v>
      </c>
      <c r="O35" s="2">
        <v>362</v>
      </c>
      <c r="P35" s="2">
        <v>175</v>
      </c>
      <c r="Q35" s="2">
        <v>653</v>
      </c>
      <c r="R35" s="2">
        <v>397</v>
      </c>
      <c r="S35" s="2">
        <v>256</v>
      </c>
      <c r="T35" s="2">
        <v>332</v>
      </c>
      <c r="U35" s="2">
        <v>161</v>
      </c>
      <c r="V35" s="2">
        <v>93</v>
      </c>
      <c r="W35" s="2">
        <v>166</v>
      </c>
      <c r="Y35" s="2" t="s">
        <v>1</v>
      </c>
    </row>
    <row r="36" spans="1:25" x14ac:dyDescent="0.2">
      <c r="A36" s="2">
        <v>30</v>
      </c>
      <c r="B36" s="2" t="s">
        <v>1835</v>
      </c>
      <c r="C36" s="19">
        <f>DATE(87,9,2)</f>
        <v>32022</v>
      </c>
      <c r="D36" s="2">
        <v>1200</v>
      </c>
      <c r="E36" s="2">
        <v>808</v>
      </c>
      <c r="F36" s="2">
        <v>96</v>
      </c>
      <c r="G36" s="2">
        <v>98</v>
      </c>
      <c r="H36" s="2">
        <v>1710</v>
      </c>
      <c r="I36" s="2">
        <v>355</v>
      </c>
      <c r="J36" s="2">
        <v>344</v>
      </c>
      <c r="K36" s="2">
        <v>1938</v>
      </c>
      <c r="L36" s="2">
        <v>262</v>
      </c>
      <c r="M36" s="2">
        <v>67</v>
      </c>
      <c r="N36" s="2">
        <v>14</v>
      </c>
      <c r="O36" s="2">
        <v>241</v>
      </c>
      <c r="P36" s="2">
        <v>178</v>
      </c>
      <c r="Q36" s="2">
        <v>611</v>
      </c>
      <c r="R36" s="2">
        <v>391</v>
      </c>
      <c r="S36" s="2">
        <v>324</v>
      </c>
      <c r="T36" s="2">
        <v>282</v>
      </c>
      <c r="U36" s="2">
        <v>166</v>
      </c>
      <c r="V36" s="2">
        <v>70</v>
      </c>
      <c r="W36" s="2">
        <v>126</v>
      </c>
      <c r="Y36" s="2" t="s">
        <v>1</v>
      </c>
    </row>
    <row r="37" spans="1:25" x14ac:dyDescent="0.2">
      <c r="A37" s="2">
        <v>31</v>
      </c>
      <c r="B37" s="2" t="s">
        <v>1836</v>
      </c>
      <c r="C37" s="19">
        <f>DATE(87,9,2)</f>
        <v>32022</v>
      </c>
      <c r="D37" s="2">
        <v>1600</v>
      </c>
      <c r="E37" s="2">
        <v>897</v>
      </c>
      <c r="F37" s="2">
        <v>105</v>
      </c>
      <c r="G37" s="2">
        <v>113</v>
      </c>
      <c r="H37" s="2">
        <v>1716</v>
      </c>
      <c r="I37" s="2">
        <v>355</v>
      </c>
      <c r="J37" s="2">
        <v>345</v>
      </c>
      <c r="K37" s="2">
        <v>469</v>
      </c>
      <c r="L37" s="2">
        <v>356</v>
      </c>
      <c r="M37" s="2">
        <v>46</v>
      </c>
      <c r="N37" s="2">
        <v>9</v>
      </c>
      <c r="O37" s="2">
        <v>250</v>
      </c>
      <c r="P37" s="2">
        <v>176</v>
      </c>
      <c r="Q37" s="2">
        <v>650</v>
      </c>
      <c r="R37" s="2">
        <v>343</v>
      </c>
      <c r="S37" s="2">
        <v>251</v>
      </c>
      <c r="T37" s="2">
        <v>210</v>
      </c>
      <c r="U37" s="2">
        <v>137</v>
      </c>
      <c r="V37" s="2">
        <v>41</v>
      </c>
      <c r="W37" s="2">
        <v>59</v>
      </c>
      <c r="Y37" s="2" t="s">
        <v>1</v>
      </c>
    </row>
    <row r="38" spans="1:25" x14ac:dyDescent="0.2">
      <c r="A38" s="2">
        <v>32</v>
      </c>
      <c r="B38" s="2" t="s">
        <v>1837</v>
      </c>
      <c r="C38" s="19">
        <f>DATE(87,9,3)</f>
        <v>32023</v>
      </c>
      <c r="D38" s="8" t="s">
        <v>1441</v>
      </c>
      <c r="E38" s="2">
        <v>850</v>
      </c>
      <c r="F38" s="2">
        <v>145</v>
      </c>
      <c r="G38" s="2">
        <v>152</v>
      </c>
      <c r="H38" s="2">
        <v>1732</v>
      </c>
      <c r="I38" s="2">
        <v>360</v>
      </c>
      <c r="J38" s="2">
        <v>345</v>
      </c>
      <c r="K38" s="2">
        <v>10332</v>
      </c>
      <c r="L38" s="2">
        <v>292</v>
      </c>
      <c r="M38" s="2">
        <v>64</v>
      </c>
      <c r="N38" s="2">
        <v>35</v>
      </c>
      <c r="O38" s="2">
        <v>307</v>
      </c>
      <c r="P38" s="2">
        <v>176</v>
      </c>
      <c r="Q38" s="2">
        <v>1230</v>
      </c>
      <c r="R38" s="2">
        <v>605</v>
      </c>
      <c r="T38" s="2">
        <v>980</v>
      </c>
      <c r="U38" s="2">
        <v>140</v>
      </c>
      <c r="V38" s="2">
        <v>205</v>
      </c>
      <c r="W38" s="2">
        <v>400</v>
      </c>
      <c r="Y38" s="2" t="s">
        <v>1</v>
      </c>
    </row>
    <row r="39" spans="1:25" x14ac:dyDescent="0.2">
      <c r="A39" s="2">
        <v>33</v>
      </c>
      <c r="B39" s="2" t="s">
        <v>1838</v>
      </c>
      <c r="C39" s="19">
        <f>DATE(87,9,3)</f>
        <v>32023</v>
      </c>
      <c r="D39" s="2">
        <v>1200</v>
      </c>
      <c r="E39" s="2">
        <v>817</v>
      </c>
      <c r="F39" s="2">
        <v>131</v>
      </c>
      <c r="G39" s="2">
        <v>136</v>
      </c>
      <c r="H39" s="2">
        <v>1723</v>
      </c>
      <c r="I39" s="2">
        <v>358</v>
      </c>
      <c r="J39" s="2">
        <v>346</v>
      </c>
      <c r="K39" s="2">
        <v>830</v>
      </c>
      <c r="L39" s="2">
        <v>272</v>
      </c>
      <c r="M39" s="2">
        <v>50</v>
      </c>
      <c r="N39" s="2">
        <v>30</v>
      </c>
      <c r="O39" s="2">
        <v>277</v>
      </c>
      <c r="P39" s="2">
        <v>173</v>
      </c>
      <c r="Q39" s="2">
        <v>997</v>
      </c>
      <c r="R39" s="2">
        <v>258</v>
      </c>
      <c r="S39" s="2">
        <v>334</v>
      </c>
      <c r="T39" s="2">
        <v>705</v>
      </c>
      <c r="U39" s="2">
        <v>109</v>
      </c>
      <c r="V39" s="2">
        <v>147</v>
      </c>
      <c r="W39" s="2">
        <v>264</v>
      </c>
      <c r="Y39" s="2" t="s">
        <v>1</v>
      </c>
    </row>
    <row r="40" spans="1:25" x14ac:dyDescent="0.2">
      <c r="A40" s="2">
        <v>34</v>
      </c>
      <c r="B40" s="2" t="s">
        <v>1839</v>
      </c>
      <c r="C40" s="19">
        <f>DATE(87,9,3)</f>
        <v>32023</v>
      </c>
      <c r="D40" s="2">
        <v>1600</v>
      </c>
      <c r="E40" s="2">
        <v>850</v>
      </c>
      <c r="F40" s="2">
        <v>109</v>
      </c>
      <c r="G40" s="2">
        <v>112</v>
      </c>
      <c r="H40" s="2">
        <v>1721</v>
      </c>
      <c r="I40" s="2">
        <v>358</v>
      </c>
      <c r="J40" s="2">
        <v>344</v>
      </c>
      <c r="K40" s="2">
        <v>6550</v>
      </c>
      <c r="L40" s="2">
        <v>1190</v>
      </c>
      <c r="M40" s="2">
        <v>54</v>
      </c>
      <c r="N40" s="2">
        <v>25</v>
      </c>
      <c r="O40" s="2">
        <v>359</v>
      </c>
      <c r="P40" s="2">
        <v>175</v>
      </c>
      <c r="Q40" s="2">
        <v>1040</v>
      </c>
      <c r="R40" s="2">
        <v>529</v>
      </c>
      <c r="S40" s="2">
        <v>1030</v>
      </c>
      <c r="T40" s="2">
        <v>974</v>
      </c>
      <c r="U40" s="2">
        <v>226</v>
      </c>
      <c r="V40" s="2">
        <v>188</v>
      </c>
      <c r="W40" s="2">
        <v>304</v>
      </c>
      <c r="Y40" s="2" t="s">
        <v>1</v>
      </c>
    </row>
    <row r="41" spans="1:25" x14ac:dyDescent="0.2">
      <c r="Y41" s="2" t="s">
        <v>1</v>
      </c>
    </row>
    <row r="42" spans="1:25" x14ac:dyDescent="0.2">
      <c r="E42" s="8" t="s">
        <v>117</v>
      </c>
      <c r="F42" s="8" t="s">
        <v>118</v>
      </c>
      <c r="G42" s="8" t="s">
        <v>118</v>
      </c>
      <c r="H42" s="8" t="s">
        <v>123</v>
      </c>
      <c r="I42" s="8" t="s">
        <v>134</v>
      </c>
      <c r="J42" s="8" t="s">
        <v>138</v>
      </c>
      <c r="K42" s="8" t="s">
        <v>136</v>
      </c>
      <c r="L42" s="8" t="s">
        <v>130</v>
      </c>
      <c r="M42" s="8" t="s">
        <v>133</v>
      </c>
      <c r="N42" s="8" t="s">
        <v>127</v>
      </c>
      <c r="O42" s="8" t="s">
        <v>121</v>
      </c>
      <c r="P42" s="8" t="s">
        <v>112</v>
      </c>
      <c r="Q42" s="8" t="s">
        <v>126</v>
      </c>
      <c r="R42" s="8" t="s">
        <v>122</v>
      </c>
      <c r="S42" s="8" t="s">
        <v>113</v>
      </c>
      <c r="T42" s="8" t="s">
        <v>131</v>
      </c>
      <c r="U42" s="8" t="s">
        <v>129</v>
      </c>
      <c r="V42" s="8" t="s">
        <v>149</v>
      </c>
      <c r="W42" s="8" t="s">
        <v>151</v>
      </c>
      <c r="Y42" s="2" t="s">
        <v>1</v>
      </c>
    </row>
    <row r="43" spans="1:25" x14ac:dyDescent="0.2">
      <c r="E43" s="8" t="s">
        <v>266</v>
      </c>
      <c r="F43" s="8" t="s">
        <v>266</v>
      </c>
      <c r="G43" s="8" t="s">
        <v>266</v>
      </c>
      <c r="H43" s="8" t="s">
        <v>266</v>
      </c>
      <c r="I43" s="8" t="s">
        <v>371</v>
      </c>
      <c r="J43" s="8" t="s">
        <v>266</v>
      </c>
      <c r="K43" s="8" t="s">
        <v>144</v>
      </c>
      <c r="L43" s="8" t="s">
        <v>144</v>
      </c>
      <c r="M43" s="8" t="s">
        <v>144</v>
      </c>
      <c r="N43" s="8" t="s">
        <v>144</v>
      </c>
      <c r="O43" s="8" t="s">
        <v>144</v>
      </c>
      <c r="P43" s="8" t="s">
        <v>144</v>
      </c>
      <c r="Q43" s="8" t="s">
        <v>144</v>
      </c>
      <c r="R43" s="8" t="s">
        <v>144</v>
      </c>
      <c r="S43" s="8" t="s">
        <v>144</v>
      </c>
      <c r="T43" s="8" t="s">
        <v>144</v>
      </c>
      <c r="U43" s="8" t="s">
        <v>144</v>
      </c>
      <c r="V43" s="8" t="s">
        <v>144</v>
      </c>
      <c r="W43" s="8" t="s">
        <v>144</v>
      </c>
      <c r="Y43" s="2" t="s">
        <v>1</v>
      </c>
    </row>
    <row r="45" spans="1:25" x14ac:dyDescent="0.2">
      <c r="B45" s="2" t="s">
        <v>529</v>
      </c>
      <c r="C45" s="7">
        <f>AVERAGE(C9:C40)</f>
        <v>31988.75</v>
      </c>
      <c r="E45" s="4">
        <f t="shared" ref="E45:W45" si="0">AVERAGE(E9:E40)</f>
        <v>833.5625</v>
      </c>
      <c r="F45" s="4">
        <f t="shared" si="0"/>
        <v>117.66666666666667</v>
      </c>
      <c r="G45" s="4">
        <f t="shared" si="0"/>
        <v>120.125</v>
      </c>
      <c r="H45" s="4">
        <f t="shared" si="0"/>
        <v>1721.96875</v>
      </c>
      <c r="I45" s="4">
        <f t="shared" si="0"/>
        <v>357.875</v>
      </c>
      <c r="J45" s="4">
        <f t="shared" si="0"/>
        <v>344.67857142857144</v>
      </c>
      <c r="K45" s="4">
        <f t="shared" si="0"/>
        <v>1400.7037037037037</v>
      </c>
      <c r="L45" s="4">
        <f t="shared" si="0"/>
        <v>331.3125</v>
      </c>
      <c r="M45" s="4">
        <f t="shared" si="0"/>
        <v>51.71875</v>
      </c>
      <c r="N45" s="4">
        <f t="shared" si="0"/>
        <v>24.047619047619047</v>
      </c>
      <c r="O45" s="4">
        <f t="shared" si="0"/>
        <v>280.6875</v>
      </c>
      <c r="P45" s="4">
        <f t="shared" si="0"/>
        <v>175.625</v>
      </c>
      <c r="Q45" s="4">
        <f t="shared" si="0"/>
        <v>1038.1785714285713</v>
      </c>
      <c r="R45" s="4">
        <f t="shared" si="0"/>
        <v>395.89285714285717</v>
      </c>
      <c r="S45" s="4">
        <f t="shared" si="0"/>
        <v>392</v>
      </c>
      <c r="T45" s="4">
        <f t="shared" si="0"/>
        <v>511.17857142857144</v>
      </c>
      <c r="U45" s="4">
        <f t="shared" si="0"/>
        <v>131.85714285714286</v>
      </c>
      <c r="V45" s="4">
        <f t="shared" si="0"/>
        <v>101.21428571428571</v>
      </c>
      <c r="W45" s="4">
        <f t="shared" si="0"/>
        <v>180.67857142857142</v>
      </c>
      <c r="Y45" s="2" t="s">
        <v>1</v>
      </c>
    </row>
    <row r="46" spans="1:25" x14ac:dyDescent="0.2">
      <c r="B46" s="2" t="s">
        <v>255</v>
      </c>
      <c r="E46" s="4">
        <f t="shared" ref="E46:W46" si="1">STDEV(E9:E40)</f>
        <v>368.05056958819335</v>
      </c>
      <c r="F46" s="4">
        <f t="shared" si="1"/>
        <v>21.833750105700158</v>
      </c>
      <c r="G46" s="4">
        <f t="shared" si="1"/>
        <v>23.937755304795353</v>
      </c>
      <c r="H46" s="4">
        <f t="shared" si="1"/>
        <v>14.129548939219768</v>
      </c>
      <c r="I46" s="4">
        <f t="shared" si="1"/>
        <v>5.8955970449250543</v>
      </c>
      <c r="J46" s="4">
        <f t="shared" si="1"/>
        <v>1.7008401285415229</v>
      </c>
      <c r="K46" s="4">
        <f t="shared" si="1"/>
        <v>2181.5458671250462</v>
      </c>
      <c r="L46" s="4">
        <f t="shared" si="1"/>
        <v>166.10129779454542</v>
      </c>
      <c r="M46" s="4">
        <f t="shared" si="1"/>
        <v>12.842053837848272</v>
      </c>
      <c r="N46" s="4">
        <f t="shared" si="1"/>
        <v>6.3204128858500281</v>
      </c>
      <c r="O46" s="4">
        <f t="shared" si="1"/>
        <v>42.803706125340547</v>
      </c>
      <c r="P46" s="4">
        <f t="shared" si="1"/>
        <v>2.0120604108162841</v>
      </c>
      <c r="Q46" s="4">
        <f t="shared" si="1"/>
        <v>317.0576596201542</v>
      </c>
      <c r="R46" s="4">
        <f t="shared" si="1"/>
        <v>227.41467089808108</v>
      </c>
      <c r="S46" s="4">
        <f t="shared" si="1"/>
        <v>353.33779871392193</v>
      </c>
      <c r="T46" s="4">
        <f t="shared" si="1"/>
        <v>231.32149402483896</v>
      </c>
      <c r="U46" s="4">
        <f t="shared" si="1"/>
        <v>68.459620045100877</v>
      </c>
      <c r="V46" s="4">
        <f t="shared" si="1"/>
        <v>45.108393850448664</v>
      </c>
      <c r="W46" s="4">
        <f t="shared" si="1"/>
        <v>108.86350732689641</v>
      </c>
      <c r="Y46" s="2" t="s">
        <v>1</v>
      </c>
    </row>
    <row r="47" spans="1:25" x14ac:dyDescent="0.2">
      <c r="B47" s="2" t="s">
        <v>365</v>
      </c>
      <c r="E47" s="4">
        <f t="shared" ref="E47:W47" si="2">COUNTA(E9:E40)</f>
        <v>32</v>
      </c>
      <c r="F47" s="4">
        <f t="shared" si="2"/>
        <v>30</v>
      </c>
      <c r="G47" s="4">
        <f t="shared" si="2"/>
        <v>32</v>
      </c>
      <c r="H47" s="4">
        <f t="shared" si="2"/>
        <v>32</v>
      </c>
      <c r="I47" s="4">
        <f t="shared" si="2"/>
        <v>32</v>
      </c>
      <c r="J47" s="4">
        <f t="shared" si="2"/>
        <v>28</v>
      </c>
      <c r="K47" s="4">
        <f t="shared" si="2"/>
        <v>27</v>
      </c>
      <c r="L47" s="4">
        <f t="shared" si="2"/>
        <v>32</v>
      </c>
      <c r="M47" s="4">
        <f t="shared" si="2"/>
        <v>32</v>
      </c>
      <c r="N47" s="4">
        <f t="shared" si="2"/>
        <v>22</v>
      </c>
      <c r="O47" s="4">
        <f t="shared" si="2"/>
        <v>32</v>
      </c>
      <c r="P47" s="4">
        <f t="shared" si="2"/>
        <v>32</v>
      </c>
      <c r="Q47" s="4">
        <f t="shared" si="2"/>
        <v>28</v>
      </c>
      <c r="R47" s="4">
        <f t="shared" si="2"/>
        <v>28</v>
      </c>
      <c r="S47" s="4">
        <f t="shared" si="2"/>
        <v>26</v>
      </c>
      <c r="T47" s="4">
        <f t="shared" si="2"/>
        <v>28</v>
      </c>
      <c r="U47" s="4">
        <f t="shared" si="2"/>
        <v>28</v>
      </c>
      <c r="V47" s="4">
        <f t="shared" si="2"/>
        <v>28</v>
      </c>
      <c r="W47" s="4">
        <f t="shared" si="2"/>
        <v>28</v>
      </c>
    </row>
  </sheetData>
  <pageMargins left="0.5" right="0.5" top="0.75" bottom="0.75" header="0.5" footer="0.5"/>
  <pageSetup orientation="portrait" horizontalDpi="0" verticalDpi="0" copies="0"/>
  <headerFooter alignWithMargins="0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7"/>
  <sheetViews>
    <sheetView showOutlineSymbols="0" defaultGridColor="0" topLeftCell="A43" colorId="9" workbookViewId="0">
      <selection activeCell="C55" sqref="C55"/>
    </sheetView>
  </sheetViews>
  <sheetFormatPr defaultColWidth="8.6640625" defaultRowHeight="15" x14ac:dyDescent="0.2"/>
  <cols>
    <col min="1" max="16384" width="8.6640625" style="2"/>
  </cols>
  <sheetData>
    <row r="1" spans="1:19" ht="18" x14ac:dyDescent="0.25">
      <c r="A1" s="18" t="s">
        <v>1840</v>
      </c>
      <c r="P1" s="2" t="s">
        <v>1</v>
      </c>
      <c r="S1" s="2" t="s">
        <v>444</v>
      </c>
    </row>
    <row r="2" spans="1:19" x14ac:dyDescent="0.2">
      <c r="A2" s="2" t="s">
        <v>1841</v>
      </c>
      <c r="P2" s="2" t="s">
        <v>1</v>
      </c>
    </row>
    <row r="3" spans="1:19" x14ac:dyDescent="0.2">
      <c r="A3" s="15" t="s">
        <v>253</v>
      </c>
      <c r="B3" s="8" t="s">
        <v>146</v>
      </c>
      <c r="C3" s="8" t="s">
        <v>118</v>
      </c>
      <c r="D3" s="8" t="s">
        <v>123</v>
      </c>
      <c r="E3" s="8" t="s">
        <v>134</v>
      </c>
      <c r="F3" s="8" t="s">
        <v>138</v>
      </c>
      <c r="G3" s="8" t="s">
        <v>136</v>
      </c>
      <c r="H3" s="8" t="s">
        <v>130</v>
      </c>
      <c r="I3" s="8" t="s">
        <v>133</v>
      </c>
      <c r="J3" s="8" t="s">
        <v>127</v>
      </c>
      <c r="K3" s="8" t="s">
        <v>121</v>
      </c>
      <c r="L3" s="8" t="s">
        <v>112</v>
      </c>
      <c r="M3" s="8" t="s">
        <v>124</v>
      </c>
      <c r="N3" s="8" t="s">
        <v>114</v>
      </c>
      <c r="P3" s="2" t="s">
        <v>1</v>
      </c>
    </row>
    <row r="4" spans="1:19" x14ac:dyDescent="0.2">
      <c r="P4" s="2" t="s">
        <v>1</v>
      </c>
    </row>
    <row r="5" spans="1:19" x14ac:dyDescent="0.2">
      <c r="P5" s="2" t="s">
        <v>1</v>
      </c>
    </row>
    <row r="6" spans="1:19" x14ac:dyDescent="0.2">
      <c r="P6" s="2" t="s">
        <v>1</v>
      </c>
    </row>
    <row r="7" spans="1:19" x14ac:dyDescent="0.2">
      <c r="A7" s="7">
        <f>DATE(91,8,2)</f>
        <v>33452</v>
      </c>
      <c r="F7" s="2">
        <v>326</v>
      </c>
      <c r="G7" s="2">
        <v>563</v>
      </c>
      <c r="H7" s="2">
        <v>323</v>
      </c>
      <c r="I7" s="2">
        <v>264</v>
      </c>
      <c r="J7" s="2">
        <v>398</v>
      </c>
      <c r="K7" s="2">
        <v>184</v>
      </c>
      <c r="L7" s="2">
        <v>140</v>
      </c>
      <c r="N7" s="2">
        <v>30</v>
      </c>
      <c r="P7" s="2" t="s">
        <v>1</v>
      </c>
    </row>
    <row r="8" spans="1:19" x14ac:dyDescent="0.2">
      <c r="A8" s="7">
        <f>DATE(91,8,3)</f>
        <v>33453</v>
      </c>
      <c r="F8" s="2">
        <v>336</v>
      </c>
      <c r="G8" s="2">
        <v>555</v>
      </c>
      <c r="H8" s="2">
        <v>283</v>
      </c>
      <c r="I8" s="2">
        <v>152</v>
      </c>
      <c r="J8" s="2">
        <v>85</v>
      </c>
      <c r="K8" s="2">
        <v>182</v>
      </c>
      <c r="L8" s="2">
        <v>102</v>
      </c>
      <c r="N8" s="2">
        <v>10</v>
      </c>
      <c r="P8" s="2" t="s">
        <v>1</v>
      </c>
    </row>
    <row r="9" spans="1:19" x14ac:dyDescent="0.2">
      <c r="A9" s="7">
        <f>DATE(91,8,4)</f>
        <v>33454</v>
      </c>
      <c r="P9" s="2" t="s">
        <v>1</v>
      </c>
    </row>
    <row r="10" spans="1:19" x14ac:dyDescent="0.2">
      <c r="A10" s="7">
        <f>DATE(91,8,5)</f>
        <v>33455</v>
      </c>
      <c r="C10" s="2">
        <v>119</v>
      </c>
      <c r="D10" s="2">
        <v>1832</v>
      </c>
      <c r="E10" s="2">
        <v>342</v>
      </c>
      <c r="F10" s="2">
        <v>341</v>
      </c>
      <c r="G10" s="2">
        <v>530</v>
      </c>
      <c r="H10" s="2">
        <v>294</v>
      </c>
      <c r="I10" s="2">
        <v>125</v>
      </c>
      <c r="J10" s="2">
        <v>38</v>
      </c>
      <c r="K10" s="2">
        <v>188</v>
      </c>
      <c r="L10" s="2">
        <v>109</v>
      </c>
      <c r="M10" s="2">
        <v>11</v>
      </c>
      <c r="N10" s="2">
        <v>8</v>
      </c>
      <c r="P10" s="2" t="s">
        <v>1</v>
      </c>
    </row>
    <row r="11" spans="1:19" x14ac:dyDescent="0.2">
      <c r="A11" s="7">
        <f>DATE(91,8,6)</f>
        <v>33456</v>
      </c>
      <c r="C11" s="2">
        <v>146</v>
      </c>
      <c r="D11" s="2">
        <v>1836</v>
      </c>
      <c r="E11" s="2">
        <v>557</v>
      </c>
      <c r="F11" s="2">
        <v>340</v>
      </c>
      <c r="G11" s="2">
        <v>549</v>
      </c>
      <c r="H11" s="2">
        <v>299</v>
      </c>
      <c r="I11" s="2">
        <v>340</v>
      </c>
      <c r="J11" s="2">
        <v>32</v>
      </c>
      <c r="K11" s="2">
        <v>210</v>
      </c>
      <c r="L11" s="2">
        <v>106</v>
      </c>
      <c r="P11" s="2" t="s">
        <v>1</v>
      </c>
    </row>
    <row r="12" spans="1:19" x14ac:dyDescent="0.2">
      <c r="A12" s="7">
        <f>DATE(91,8,7)</f>
        <v>33457</v>
      </c>
      <c r="C12" s="2">
        <v>149</v>
      </c>
      <c r="D12" s="2">
        <v>1846</v>
      </c>
      <c r="E12" s="2">
        <v>340</v>
      </c>
      <c r="F12" s="2">
        <v>339</v>
      </c>
      <c r="G12" s="2">
        <v>537</v>
      </c>
      <c r="H12" s="2">
        <v>282</v>
      </c>
      <c r="I12" s="2">
        <v>148</v>
      </c>
      <c r="J12" s="2">
        <v>34</v>
      </c>
      <c r="K12" s="2">
        <v>196</v>
      </c>
      <c r="L12" s="2">
        <v>100</v>
      </c>
      <c r="N12" s="2">
        <v>17</v>
      </c>
      <c r="P12" s="2" t="s">
        <v>1</v>
      </c>
    </row>
    <row r="13" spans="1:19" x14ac:dyDescent="0.2">
      <c r="A13" s="7">
        <f>DATE(91,8,8)</f>
        <v>33458</v>
      </c>
      <c r="C13" s="2">
        <v>159</v>
      </c>
      <c r="D13" s="2">
        <v>1841</v>
      </c>
      <c r="E13" s="2">
        <v>370</v>
      </c>
      <c r="F13" s="2">
        <v>335</v>
      </c>
      <c r="G13" s="2">
        <v>538</v>
      </c>
      <c r="H13" s="2">
        <v>287</v>
      </c>
      <c r="I13" s="2">
        <v>182</v>
      </c>
      <c r="J13" s="2">
        <v>55</v>
      </c>
      <c r="K13" s="2">
        <v>210</v>
      </c>
      <c r="L13" s="2">
        <v>101</v>
      </c>
      <c r="N13" s="2">
        <v>15</v>
      </c>
      <c r="P13" s="2" t="s">
        <v>1</v>
      </c>
    </row>
    <row r="14" spans="1:19" x14ac:dyDescent="0.2">
      <c r="A14" s="7">
        <f>DATE(91,8,9)</f>
        <v>33459</v>
      </c>
      <c r="F14" s="2">
        <v>339</v>
      </c>
      <c r="G14" s="2">
        <v>535</v>
      </c>
      <c r="H14" s="2">
        <v>288</v>
      </c>
      <c r="I14" s="2">
        <v>84</v>
      </c>
      <c r="J14" s="2">
        <v>32</v>
      </c>
      <c r="K14" s="2">
        <v>208</v>
      </c>
      <c r="L14" s="2">
        <v>106</v>
      </c>
      <c r="N14" s="2">
        <v>7</v>
      </c>
      <c r="P14" s="2" t="s">
        <v>1</v>
      </c>
    </row>
    <row r="15" spans="1:19" x14ac:dyDescent="0.2">
      <c r="A15" s="7">
        <f>DATE(91,8,10)</f>
        <v>33460</v>
      </c>
      <c r="F15" s="2">
        <v>336</v>
      </c>
      <c r="G15" s="2">
        <v>544</v>
      </c>
      <c r="H15" s="2">
        <v>342</v>
      </c>
      <c r="I15" s="2">
        <v>189</v>
      </c>
      <c r="J15" s="2">
        <v>51</v>
      </c>
      <c r="K15" s="2">
        <v>320</v>
      </c>
      <c r="L15" s="2">
        <v>104</v>
      </c>
      <c r="M15" s="2">
        <v>12</v>
      </c>
      <c r="N15" s="2">
        <v>9</v>
      </c>
      <c r="P15" s="2" t="s">
        <v>1</v>
      </c>
    </row>
    <row r="16" spans="1:19" x14ac:dyDescent="0.2">
      <c r="A16" s="7">
        <f>DATE(91,8,11)</f>
        <v>33461</v>
      </c>
      <c r="C16" s="2">
        <v>117</v>
      </c>
      <c r="D16" s="2">
        <v>1806</v>
      </c>
      <c r="E16" s="2">
        <v>339</v>
      </c>
      <c r="F16" s="2">
        <v>338</v>
      </c>
      <c r="G16" s="2">
        <v>530</v>
      </c>
      <c r="H16" s="2">
        <v>288</v>
      </c>
      <c r="I16" s="2">
        <v>88</v>
      </c>
      <c r="J16" s="2">
        <v>28</v>
      </c>
      <c r="K16" s="2">
        <v>176</v>
      </c>
      <c r="L16" s="2">
        <v>107</v>
      </c>
      <c r="N16" s="2">
        <v>4</v>
      </c>
      <c r="P16" s="2" t="s">
        <v>1</v>
      </c>
    </row>
    <row r="17" spans="1:16" x14ac:dyDescent="0.2">
      <c r="A17" s="7">
        <f>DATE(91,8,12)</f>
        <v>33462</v>
      </c>
      <c r="C17" s="2">
        <v>118</v>
      </c>
      <c r="D17" s="2">
        <v>1819</v>
      </c>
      <c r="E17" s="2">
        <v>344</v>
      </c>
      <c r="F17" s="2">
        <v>338</v>
      </c>
      <c r="G17" s="2">
        <v>554</v>
      </c>
      <c r="H17" s="2">
        <v>289</v>
      </c>
      <c r="I17" s="2">
        <v>86</v>
      </c>
      <c r="J17" s="2">
        <v>26</v>
      </c>
      <c r="K17" s="2">
        <v>223</v>
      </c>
      <c r="L17" s="2">
        <v>106</v>
      </c>
      <c r="N17" s="2">
        <v>8</v>
      </c>
      <c r="P17" s="2" t="s">
        <v>1</v>
      </c>
    </row>
    <row r="18" spans="1:16" x14ac:dyDescent="0.2">
      <c r="A18" s="7">
        <f>DATE(91,8,13)</f>
        <v>33463</v>
      </c>
      <c r="C18" s="2">
        <v>112</v>
      </c>
      <c r="D18" s="2">
        <v>1804</v>
      </c>
      <c r="E18" s="2">
        <v>330</v>
      </c>
      <c r="F18" s="2">
        <v>335</v>
      </c>
      <c r="G18" s="2">
        <v>512</v>
      </c>
      <c r="H18" s="2">
        <v>282</v>
      </c>
      <c r="I18" s="2">
        <v>99</v>
      </c>
      <c r="J18" s="2">
        <v>28</v>
      </c>
      <c r="K18" s="2">
        <v>171</v>
      </c>
      <c r="L18" s="2">
        <v>102</v>
      </c>
      <c r="N18" s="2">
        <v>3</v>
      </c>
      <c r="P18" s="2" t="s">
        <v>1</v>
      </c>
    </row>
    <row r="19" spans="1:16" x14ac:dyDescent="0.2">
      <c r="A19" s="7">
        <f>DATE(91,8,14)</f>
        <v>33464</v>
      </c>
      <c r="C19" s="2">
        <v>170</v>
      </c>
      <c r="D19" s="2">
        <v>1831</v>
      </c>
      <c r="E19" s="2">
        <v>339</v>
      </c>
      <c r="F19" s="2">
        <v>337</v>
      </c>
      <c r="G19" s="2">
        <v>535</v>
      </c>
      <c r="H19" s="2">
        <v>300</v>
      </c>
      <c r="I19" s="2">
        <v>78</v>
      </c>
      <c r="J19" s="2">
        <v>34</v>
      </c>
      <c r="K19" s="2">
        <v>226</v>
      </c>
      <c r="L19" s="2">
        <v>103</v>
      </c>
      <c r="N19" s="2">
        <v>29</v>
      </c>
      <c r="P19" s="2" t="s">
        <v>1</v>
      </c>
    </row>
    <row r="20" spans="1:16" x14ac:dyDescent="0.2">
      <c r="A20" s="7">
        <f>DATE(91,8,15)</f>
        <v>33465</v>
      </c>
      <c r="C20" s="2">
        <v>148</v>
      </c>
      <c r="D20" s="2">
        <v>1877</v>
      </c>
      <c r="E20" s="2">
        <v>338</v>
      </c>
      <c r="F20" s="2">
        <v>319</v>
      </c>
      <c r="G20" s="2">
        <v>551</v>
      </c>
      <c r="H20" s="2">
        <v>294</v>
      </c>
      <c r="I20" s="2">
        <v>106</v>
      </c>
      <c r="J20" s="2">
        <v>37</v>
      </c>
      <c r="K20" s="2">
        <v>197</v>
      </c>
      <c r="L20" s="2">
        <v>108</v>
      </c>
      <c r="N20" s="2">
        <v>12</v>
      </c>
      <c r="P20" s="2" t="s">
        <v>1</v>
      </c>
    </row>
    <row r="21" spans="1:16" x14ac:dyDescent="0.2">
      <c r="A21" s="7">
        <f>DATE(91,8,16)</f>
        <v>33466</v>
      </c>
      <c r="C21" s="2">
        <v>184</v>
      </c>
      <c r="D21" s="2">
        <v>1855</v>
      </c>
      <c r="E21" s="2">
        <v>336</v>
      </c>
      <c r="F21" s="2">
        <v>336</v>
      </c>
      <c r="G21" s="2">
        <v>565</v>
      </c>
      <c r="H21" s="2">
        <v>305</v>
      </c>
      <c r="I21" s="2">
        <v>111</v>
      </c>
      <c r="J21" s="2">
        <v>27</v>
      </c>
      <c r="K21" s="2">
        <v>256</v>
      </c>
      <c r="L21" s="2">
        <v>104</v>
      </c>
      <c r="N21" s="2">
        <v>31</v>
      </c>
      <c r="P21" s="2" t="s">
        <v>1</v>
      </c>
    </row>
    <row r="22" spans="1:16" x14ac:dyDescent="0.2">
      <c r="A22" s="7">
        <f>DATE(91,8,17)</f>
        <v>33467</v>
      </c>
      <c r="C22" s="2">
        <v>169</v>
      </c>
      <c r="D22" s="2">
        <v>1831</v>
      </c>
      <c r="E22" s="2">
        <v>337</v>
      </c>
      <c r="F22" s="2">
        <v>331</v>
      </c>
      <c r="G22" s="2">
        <v>555</v>
      </c>
      <c r="H22" s="2">
        <v>288</v>
      </c>
      <c r="I22" s="2">
        <v>101</v>
      </c>
      <c r="J22" s="2">
        <v>20</v>
      </c>
      <c r="K22" s="2">
        <v>214</v>
      </c>
      <c r="L22" s="2">
        <v>104</v>
      </c>
      <c r="N22" s="2">
        <v>6</v>
      </c>
      <c r="P22" s="2" t="s">
        <v>1</v>
      </c>
    </row>
    <row r="23" spans="1:16" x14ac:dyDescent="0.2">
      <c r="A23" s="7">
        <f>DATE(91,8,18)</f>
        <v>33468</v>
      </c>
      <c r="C23" s="2">
        <v>163</v>
      </c>
      <c r="D23" s="2">
        <v>1823</v>
      </c>
      <c r="E23" s="2">
        <v>337</v>
      </c>
      <c r="F23" s="2">
        <v>332</v>
      </c>
      <c r="G23" s="2">
        <v>549</v>
      </c>
      <c r="H23" s="2">
        <v>289</v>
      </c>
      <c r="I23" s="2">
        <v>111</v>
      </c>
      <c r="J23" s="2">
        <v>51</v>
      </c>
      <c r="K23" s="2">
        <v>194</v>
      </c>
      <c r="L23" s="2">
        <v>106</v>
      </c>
      <c r="N23" s="2">
        <v>9</v>
      </c>
      <c r="P23" s="2" t="s">
        <v>1</v>
      </c>
    </row>
    <row r="24" spans="1:16" x14ac:dyDescent="0.2">
      <c r="A24" s="7">
        <f>DATE(91,8,19)</f>
        <v>33469</v>
      </c>
      <c r="C24" s="2">
        <v>124</v>
      </c>
      <c r="D24" s="2">
        <v>1827</v>
      </c>
      <c r="E24" s="2">
        <v>347</v>
      </c>
      <c r="F24" s="2">
        <v>338</v>
      </c>
      <c r="G24" s="2">
        <v>536</v>
      </c>
      <c r="H24" s="2">
        <v>305</v>
      </c>
      <c r="I24" s="2">
        <v>122</v>
      </c>
      <c r="J24" s="2">
        <v>27</v>
      </c>
      <c r="K24" s="2">
        <v>276</v>
      </c>
      <c r="L24" s="2">
        <v>107</v>
      </c>
      <c r="N24" s="2">
        <v>4</v>
      </c>
      <c r="P24" s="2" t="s">
        <v>1</v>
      </c>
    </row>
    <row r="25" spans="1:16" x14ac:dyDescent="0.2">
      <c r="A25" s="7">
        <f>DATE(91,8,20)</f>
        <v>33470</v>
      </c>
      <c r="C25" s="2">
        <v>130</v>
      </c>
      <c r="D25" s="2">
        <v>1830</v>
      </c>
      <c r="E25" s="2">
        <v>348</v>
      </c>
      <c r="F25" s="2">
        <v>340</v>
      </c>
      <c r="G25" s="2">
        <v>536</v>
      </c>
      <c r="H25" s="2">
        <v>293</v>
      </c>
      <c r="I25" s="2">
        <v>110</v>
      </c>
      <c r="J25" s="2">
        <v>32</v>
      </c>
      <c r="K25" s="2">
        <v>193</v>
      </c>
      <c r="L25" s="2">
        <v>108</v>
      </c>
      <c r="N25" s="2">
        <v>7</v>
      </c>
      <c r="P25" s="2" t="s">
        <v>1</v>
      </c>
    </row>
    <row r="26" spans="1:16" x14ac:dyDescent="0.2">
      <c r="A26" s="7">
        <f>DATE(91,8,21)</f>
        <v>33471</v>
      </c>
      <c r="C26" s="2">
        <v>141</v>
      </c>
      <c r="D26" s="2">
        <v>1855</v>
      </c>
      <c r="E26" s="2">
        <v>348</v>
      </c>
      <c r="F26" s="2">
        <v>333</v>
      </c>
      <c r="G26" s="2">
        <v>547</v>
      </c>
      <c r="H26" s="2">
        <v>288</v>
      </c>
      <c r="I26" s="2">
        <v>90</v>
      </c>
      <c r="J26" s="2">
        <v>29</v>
      </c>
      <c r="K26" s="2">
        <v>217</v>
      </c>
      <c r="L26" s="2">
        <v>105</v>
      </c>
      <c r="N26" s="2">
        <v>6</v>
      </c>
      <c r="P26" s="2" t="s">
        <v>1</v>
      </c>
    </row>
    <row r="27" spans="1:16" x14ac:dyDescent="0.2">
      <c r="A27" s="7">
        <f>DATE(91,8,22)</f>
        <v>33472</v>
      </c>
      <c r="C27" s="2">
        <v>138</v>
      </c>
      <c r="D27" s="2">
        <v>1851</v>
      </c>
      <c r="E27" s="2">
        <v>343</v>
      </c>
      <c r="F27" s="2">
        <v>339</v>
      </c>
      <c r="G27" s="2">
        <v>533</v>
      </c>
      <c r="H27" s="2">
        <v>286</v>
      </c>
      <c r="I27" s="2">
        <v>97</v>
      </c>
      <c r="J27" s="2">
        <v>28</v>
      </c>
      <c r="K27" s="2">
        <v>196</v>
      </c>
      <c r="L27" s="2">
        <v>103</v>
      </c>
      <c r="N27" s="2">
        <v>6</v>
      </c>
      <c r="P27" s="2" t="s">
        <v>1</v>
      </c>
    </row>
    <row r="28" spans="1:16" x14ac:dyDescent="0.2">
      <c r="A28" s="7">
        <f>DATE(91,8,23)</f>
        <v>33473</v>
      </c>
      <c r="B28" s="2">
        <v>31</v>
      </c>
      <c r="C28" s="2">
        <v>143</v>
      </c>
      <c r="D28" s="2">
        <v>1832</v>
      </c>
      <c r="E28" s="2">
        <v>332</v>
      </c>
      <c r="F28" s="2">
        <v>336.6</v>
      </c>
      <c r="G28" s="2">
        <v>535</v>
      </c>
      <c r="H28" s="2">
        <v>296</v>
      </c>
      <c r="I28" s="2">
        <v>107</v>
      </c>
      <c r="J28" s="2">
        <v>28</v>
      </c>
      <c r="K28" s="2">
        <v>205</v>
      </c>
      <c r="L28" s="2">
        <v>102</v>
      </c>
      <c r="N28" s="2">
        <v>6</v>
      </c>
      <c r="P28" s="2" t="s">
        <v>1</v>
      </c>
    </row>
    <row r="29" spans="1:16" x14ac:dyDescent="0.2">
      <c r="A29" s="7">
        <f>DATE(91,8,24)</f>
        <v>33474</v>
      </c>
      <c r="B29" s="2">
        <v>33</v>
      </c>
      <c r="C29" s="2">
        <v>173</v>
      </c>
      <c r="D29" s="2">
        <v>1842</v>
      </c>
      <c r="E29" s="2">
        <v>341</v>
      </c>
      <c r="F29" s="2">
        <v>339.9</v>
      </c>
      <c r="G29" s="2">
        <v>540</v>
      </c>
      <c r="H29" s="2">
        <v>294</v>
      </c>
      <c r="I29" s="2">
        <v>97</v>
      </c>
      <c r="J29" s="2">
        <v>31</v>
      </c>
      <c r="K29" s="2">
        <v>217</v>
      </c>
      <c r="L29" s="2">
        <v>105</v>
      </c>
      <c r="N29" s="2">
        <v>36</v>
      </c>
      <c r="P29" s="2" t="s">
        <v>1</v>
      </c>
    </row>
    <row r="30" spans="1:16" x14ac:dyDescent="0.2">
      <c r="A30" s="7">
        <f>DATE(91,8,26)</f>
        <v>33476</v>
      </c>
      <c r="B30" s="2">
        <v>18</v>
      </c>
      <c r="C30" s="2">
        <v>128</v>
      </c>
      <c r="D30" s="2">
        <v>1832</v>
      </c>
      <c r="E30" s="2">
        <v>337</v>
      </c>
      <c r="F30" s="2">
        <v>338.4</v>
      </c>
      <c r="G30" s="2">
        <v>534</v>
      </c>
      <c r="H30" s="2">
        <v>284</v>
      </c>
      <c r="I30" s="2">
        <v>100</v>
      </c>
      <c r="J30" s="2">
        <v>47</v>
      </c>
      <c r="K30" s="2">
        <v>207</v>
      </c>
      <c r="L30" s="2">
        <v>100</v>
      </c>
      <c r="N30" s="2">
        <v>10</v>
      </c>
      <c r="P30" s="2" t="s">
        <v>1</v>
      </c>
    </row>
    <row r="31" spans="1:16" x14ac:dyDescent="0.2">
      <c r="A31" s="7">
        <f>DATE(91,8,27)</f>
        <v>33477</v>
      </c>
      <c r="B31" s="2">
        <v>21</v>
      </c>
      <c r="C31" s="2">
        <v>83</v>
      </c>
      <c r="D31" s="2">
        <v>1776</v>
      </c>
      <c r="E31" s="2">
        <v>346</v>
      </c>
      <c r="F31" s="2">
        <v>336.6</v>
      </c>
      <c r="G31" s="2">
        <v>522</v>
      </c>
      <c r="H31" s="2">
        <v>288</v>
      </c>
      <c r="I31" s="2">
        <v>100</v>
      </c>
      <c r="J31" s="2">
        <v>22</v>
      </c>
      <c r="K31" s="2">
        <v>177</v>
      </c>
      <c r="L31" s="2">
        <v>95</v>
      </c>
      <c r="N31" s="2">
        <v>8</v>
      </c>
      <c r="P31" s="2" t="s">
        <v>1</v>
      </c>
    </row>
    <row r="32" spans="1:16" x14ac:dyDescent="0.2">
      <c r="A32" s="7">
        <f>DATE(91,8,28)</f>
        <v>33478</v>
      </c>
      <c r="B32" s="2">
        <v>28</v>
      </c>
      <c r="C32" s="2">
        <v>89</v>
      </c>
      <c r="D32" s="2">
        <v>1774</v>
      </c>
      <c r="E32" s="2">
        <v>344</v>
      </c>
      <c r="F32" s="17">
        <v>341</v>
      </c>
      <c r="G32" s="2">
        <v>523</v>
      </c>
      <c r="H32" s="2">
        <v>273</v>
      </c>
      <c r="I32" s="2">
        <v>98</v>
      </c>
      <c r="J32" s="2">
        <v>27</v>
      </c>
      <c r="K32" s="2">
        <v>173</v>
      </c>
      <c r="L32" s="2">
        <v>105</v>
      </c>
      <c r="N32" s="2">
        <v>6</v>
      </c>
      <c r="P32" s="2" t="s">
        <v>1</v>
      </c>
    </row>
    <row r="33" spans="1:16" x14ac:dyDescent="0.2">
      <c r="A33" s="7">
        <f>DATE(91,8,29)</f>
        <v>33479</v>
      </c>
      <c r="B33" s="2">
        <v>15</v>
      </c>
      <c r="C33" s="2">
        <v>103</v>
      </c>
      <c r="D33" s="2">
        <v>1790</v>
      </c>
      <c r="E33" s="2">
        <v>346</v>
      </c>
      <c r="F33" s="17">
        <v>337.1</v>
      </c>
      <c r="G33" s="2">
        <v>517</v>
      </c>
      <c r="H33" s="2">
        <v>281</v>
      </c>
      <c r="I33" s="2">
        <v>111</v>
      </c>
      <c r="J33" s="2">
        <v>18</v>
      </c>
      <c r="K33" s="2">
        <v>166</v>
      </c>
      <c r="L33" s="2">
        <v>97</v>
      </c>
      <c r="N33" s="2">
        <v>6</v>
      </c>
      <c r="P33" s="2" t="s">
        <v>1</v>
      </c>
    </row>
    <row r="34" spans="1:16" x14ac:dyDescent="0.2">
      <c r="A34" s="7">
        <f>DATE(91,8,30)</f>
        <v>33480</v>
      </c>
      <c r="B34" s="2">
        <v>36</v>
      </c>
      <c r="C34" s="2">
        <v>131</v>
      </c>
      <c r="D34" s="2">
        <v>1791</v>
      </c>
      <c r="E34" s="2">
        <v>345</v>
      </c>
      <c r="F34" s="17">
        <v>336.6</v>
      </c>
      <c r="G34" s="2">
        <v>525</v>
      </c>
      <c r="H34" s="2">
        <v>281</v>
      </c>
      <c r="I34" s="2">
        <v>111</v>
      </c>
      <c r="J34" s="2">
        <v>19</v>
      </c>
      <c r="K34" s="2">
        <v>183</v>
      </c>
      <c r="L34" s="2">
        <v>93</v>
      </c>
      <c r="N34" s="2">
        <v>11</v>
      </c>
      <c r="P34" s="2" t="s">
        <v>1</v>
      </c>
    </row>
    <row r="35" spans="1:16" x14ac:dyDescent="0.2">
      <c r="A35" s="7">
        <f>DATE(91,8,31)</f>
        <v>33481</v>
      </c>
      <c r="B35" s="2">
        <v>48</v>
      </c>
      <c r="C35" s="2">
        <v>130</v>
      </c>
      <c r="D35" s="2">
        <v>1796</v>
      </c>
      <c r="E35" s="2">
        <v>352</v>
      </c>
      <c r="F35" s="4">
        <v>332</v>
      </c>
      <c r="G35" s="2">
        <v>527</v>
      </c>
      <c r="H35" s="2">
        <v>295</v>
      </c>
      <c r="I35" s="2">
        <v>90</v>
      </c>
      <c r="J35" s="2">
        <v>36</v>
      </c>
      <c r="K35" s="2">
        <v>186</v>
      </c>
      <c r="L35" s="2">
        <v>108</v>
      </c>
      <c r="N35" s="2">
        <v>5</v>
      </c>
      <c r="P35" s="2" t="s">
        <v>1</v>
      </c>
    </row>
    <row r="36" spans="1:16" x14ac:dyDescent="0.2">
      <c r="A36" s="7">
        <f>DATE(91,9,1)</f>
        <v>33482</v>
      </c>
      <c r="B36" s="2">
        <v>23</v>
      </c>
      <c r="C36" s="2">
        <v>110</v>
      </c>
      <c r="D36" s="2">
        <v>1835</v>
      </c>
      <c r="E36" s="2">
        <v>341</v>
      </c>
      <c r="F36" s="4">
        <v>332</v>
      </c>
      <c r="G36" s="2">
        <v>530</v>
      </c>
      <c r="H36" s="2">
        <v>284</v>
      </c>
      <c r="I36" s="2">
        <v>80</v>
      </c>
      <c r="J36" s="2">
        <v>23</v>
      </c>
      <c r="K36" s="2">
        <v>170</v>
      </c>
      <c r="L36" s="2">
        <v>104</v>
      </c>
      <c r="N36" s="2">
        <v>4</v>
      </c>
      <c r="P36" s="2" t="s">
        <v>1</v>
      </c>
    </row>
    <row r="37" spans="1:16" x14ac:dyDescent="0.2">
      <c r="A37" s="7">
        <f>DATE(91,9,2)</f>
        <v>33483</v>
      </c>
      <c r="B37" s="2">
        <v>45</v>
      </c>
      <c r="C37" s="2">
        <v>118</v>
      </c>
      <c r="D37" s="2">
        <v>1830</v>
      </c>
      <c r="E37" s="2">
        <v>342</v>
      </c>
      <c r="F37" s="4">
        <v>330</v>
      </c>
      <c r="G37" s="2">
        <v>510</v>
      </c>
      <c r="H37" s="2">
        <v>279</v>
      </c>
      <c r="I37" s="2">
        <v>72</v>
      </c>
      <c r="J37" s="2">
        <v>12</v>
      </c>
      <c r="K37" s="2">
        <v>170</v>
      </c>
      <c r="L37" s="2">
        <v>106</v>
      </c>
      <c r="N37" s="2">
        <v>5</v>
      </c>
      <c r="P37" s="2" t="s">
        <v>1</v>
      </c>
    </row>
    <row r="38" spans="1:16" x14ac:dyDescent="0.2">
      <c r="A38" s="7">
        <f>DATE(91,9,3)</f>
        <v>33484</v>
      </c>
      <c r="B38" s="2">
        <v>29</v>
      </c>
      <c r="C38" s="2">
        <v>118</v>
      </c>
      <c r="D38" s="2">
        <v>1840</v>
      </c>
      <c r="E38" s="2">
        <v>341</v>
      </c>
      <c r="F38" s="2">
        <v>328</v>
      </c>
      <c r="G38" s="2">
        <v>517</v>
      </c>
      <c r="H38" s="2">
        <v>280</v>
      </c>
      <c r="I38" s="2">
        <v>68</v>
      </c>
      <c r="J38" s="2">
        <v>24</v>
      </c>
      <c r="K38" s="2">
        <v>167</v>
      </c>
      <c r="L38" s="2">
        <v>106</v>
      </c>
      <c r="N38" s="2">
        <v>5</v>
      </c>
      <c r="P38" s="2" t="s">
        <v>1</v>
      </c>
    </row>
    <row r="39" spans="1:16" x14ac:dyDescent="0.2">
      <c r="A39" s="7">
        <f>DATE(91,9,4)</f>
        <v>33485</v>
      </c>
      <c r="B39" s="2">
        <v>23</v>
      </c>
      <c r="C39" s="2">
        <v>149</v>
      </c>
      <c r="D39" s="2">
        <v>1823</v>
      </c>
      <c r="E39" s="2">
        <v>342</v>
      </c>
      <c r="F39" s="2">
        <v>328</v>
      </c>
      <c r="G39" s="2">
        <v>532</v>
      </c>
      <c r="H39" s="2">
        <v>281</v>
      </c>
      <c r="I39" s="2">
        <v>95</v>
      </c>
      <c r="J39" s="2">
        <v>38</v>
      </c>
      <c r="K39" s="2">
        <v>196</v>
      </c>
      <c r="L39" s="2">
        <v>99</v>
      </c>
      <c r="P39" s="2" t="s">
        <v>1</v>
      </c>
    </row>
    <row r="40" spans="1:16" x14ac:dyDescent="0.2">
      <c r="A40" s="7">
        <f>DATE(91,9,5)</f>
        <v>33486</v>
      </c>
      <c r="B40" s="2">
        <v>23</v>
      </c>
      <c r="C40" s="2">
        <v>150</v>
      </c>
      <c r="D40" s="2">
        <v>1858</v>
      </c>
      <c r="E40" s="2">
        <v>350</v>
      </c>
      <c r="F40" s="2">
        <v>332</v>
      </c>
      <c r="G40" s="2">
        <v>533</v>
      </c>
      <c r="H40" s="2">
        <v>289</v>
      </c>
      <c r="I40" s="2">
        <v>90</v>
      </c>
      <c r="J40" s="2">
        <v>40</v>
      </c>
      <c r="K40" s="2">
        <v>165</v>
      </c>
      <c r="L40" s="2">
        <v>90</v>
      </c>
      <c r="P40" s="2" t="s">
        <v>1</v>
      </c>
    </row>
    <row r="41" spans="1:16" x14ac:dyDescent="0.2">
      <c r="A41" s="7">
        <f>DATE(91,9,6)</f>
        <v>33487</v>
      </c>
      <c r="B41" s="2">
        <v>21</v>
      </c>
      <c r="C41" s="2">
        <v>162</v>
      </c>
      <c r="D41" s="2">
        <v>1842</v>
      </c>
      <c r="E41" s="2">
        <v>349</v>
      </c>
      <c r="F41" s="2">
        <v>327</v>
      </c>
      <c r="G41" s="2">
        <v>532</v>
      </c>
      <c r="H41" s="2">
        <v>297</v>
      </c>
      <c r="I41" s="2">
        <v>105</v>
      </c>
      <c r="J41" s="2">
        <v>32</v>
      </c>
      <c r="K41" s="2">
        <v>212</v>
      </c>
      <c r="L41" s="2">
        <v>109</v>
      </c>
      <c r="N41" s="2">
        <v>24</v>
      </c>
      <c r="P41" s="2" t="s">
        <v>1</v>
      </c>
    </row>
    <row r="42" spans="1:16" x14ac:dyDescent="0.2">
      <c r="A42" s="7">
        <f>DATE(91,9,7)</f>
        <v>33488</v>
      </c>
      <c r="B42" s="2">
        <v>26</v>
      </c>
      <c r="C42" s="2">
        <v>144</v>
      </c>
      <c r="D42" s="2">
        <v>1836</v>
      </c>
      <c r="E42" s="2">
        <v>345</v>
      </c>
      <c r="F42" s="2">
        <v>329</v>
      </c>
      <c r="G42" s="2">
        <v>540</v>
      </c>
      <c r="H42" s="2">
        <v>300</v>
      </c>
      <c r="I42" s="2">
        <v>95</v>
      </c>
      <c r="K42" s="2">
        <v>214</v>
      </c>
      <c r="L42" s="2">
        <v>104</v>
      </c>
      <c r="N42" s="2">
        <v>8</v>
      </c>
      <c r="P42" s="2" t="s">
        <v>1</v>
      </c>
    </row>
    <row r="43" spans="1:16" x14ac:dyDescent="0.2">
      <c r="A43" s="7">
        <f>DATE(91,9,8)</f>
        <v>33489</v>
      </c>
      <c r="B43" s="2">
        <v>24</v>
      </c>
      <c r="C43" s="2">
        <v>173</v>
      </c>
      <c r="D43" s="2">
        <v>1872</v>
      </c>
      <c r="E43" s="2">
        <v>342</v>
      </c>
      <c r="F43" s="2">
        <v>338</v>
      </c>
      <c r="G43" s="2">
        <v>536</v>
      </c>
      <c r="H43" s="2">
        <v>296</v>
      </c>
      <c r="I43" s="2">
        <v>97</v>
      </c>
      <c r="J43" s="2">
        <v>31</v>
      </c>
      <c r="K43" s="2">
        <v>228</v>
      </c>
      <c r="L43" s="2">
        <v>105</v>
      </c>
      <c r="N43" s="2">
        <v>10</v>
      </c>
      <c r="P43" s="2" t="s">
        <v>1</v>
      </c>
    </row>
    <row r="44" spans="1:16" x14ac:dyDescent="0.2">
      <c r="A44" s="7">
        <f>DATE(91,9,9)</f>
        <v>33490</v>
      </c>
      <c r="B44" s="2">
        <v>24</v>
      </c>
      <c r="C44" s="2">
        <v>169</v>
      </c>
      <c r="D44" s="2">
        <v>1853</v>
      </c>
      <c r="E44" s="2">
        <v>343</v>
      </c>
      <c r="F44" s="2">
        <v>328</v>
      </c>
      <c r="G44" s="2">
        <v>539</v>
      </c>
      <c r="H44" s="2">
        <v>291</v>
      </c>
      <c r="I44" s="2">
        <v>103</v>
      </c>
      <c r="J44" s="2">
        <v>33</v>
      </c>
      <c r="K44" s="2">
        <v>228</v>
      </c>
      <c r="L44" s="2">
        <v>112</v>
      </c>
      <c r="N44" s="2">
        <v>24</v>
      </c>
      <c r="P44" s="2" t="s">
        <v>1</v>
      </c>
    </row>
    <row r="45" spans="1:16" x14ac:dyDescent="0.2">
      <c r="A45" s="7">
        <f>DATE(91,9,10)</f>
        <v>33491</v>
      </c>
      <c r="B45" s="2">
        <v>26</v>
      </c>
      <c r="C45" s="2">
        <v>139</v>
      </c>
      <c r="D45" s="2">
        <v>1831</v>
      </c>
      <c r="E45" s="2">
        <v>345</v>
      </c>
      <c r="F45" s="2">
        <v>338</v>
      </c>
      <c r="G45" s="2">
        <v>542</v>
      </c>
      <c r="H45" s="2">
        <v>287</v>
      </c>
      <c r="I45" s="2">
        <v>98</v>
      </c>
      <c r="J45" s="2">
        <v>38</v>
      </c>
      <c r="K45" s="2">
        <v>197</v>
      </c>
      <c r="L45" s="2">
        <v>105</v>
      </c>
      <c r="N45" s="2">
        <v>6</v>
      </c>
      <c r="P45" s="2" t="s">
        <v>1</v>
      </c>
    </row>
    <row r="46" spans="1:16" x14ac:dyDescent="0.2">
      <c r="A46" s="7">
        <f>DATE(91,9,11)</f>
        <v>33492</v>
      </c>
      <c r="B46" s="2">
        <v>27</v>
      </c>
      <c r="C46" s="2">
        <v>133</v>
      </c>
      <c r="D46" s="2">
        <v>1829</v>
      </c>
      <c r="E46" s="2">
        <v>355</v>
      </c>
      <c r="F46" s="2">
        <v>332</v>
      </c>
      <c r="G46" s="2">
        <v>532</v>
      </c>
      <c r="H46" s="2">
        <v>284</v>
      </c>
      <c r="I46" s="2">
        <v>101</v>
      </c>
      <c r="J46" s="2">
        <v>22</v>
      </c>
      <c r="K46" s="2">
        <v>202</v>
      </c>
      <c r="L46" s="2">
        <v>105</v>
      </c>
      <c r="N46" s="2">
        <v>6</v>
      </c>
    </row>
    <row r="47" spans="1:16" x14ac:dyDescent="0.2">
      <c r="A47" s="7">
        <f>DATE(91,9,12)</f>
        <v>33493</v>
      </c>
      <c r="B47" s="2">
        <v>23</v>
      </c>
      <c r="C47" s="2">
        <v>142</v>
      </c>
      <c r="D47" s="2">
        <v>1864</v>
      </c>
      <c r="E47" s="2">
        <v>350</v>
      </c>
      <c r="F47" s="2">
        <v>337</v>
      </c>
      <c r="G47" s="2">
        <v>533</v>
      </c>
      <c r="H47" s="2">
        <v>293</v>
      </c>
      <c r="I47" s="2">
        <v>104</v>
      </c>
      <c r="J47" s="2">
        <v>20</v>
      </c>
      <c r="K47" s="2">
        <v>212</v>
      </c>
      <c r="L47" s="2">
        <v>107</v>
      </c>
      <c r="N47" s="2">
        <v>28</v>
      </c>
    </row>
    <row r="48" spans="1:16" x14ac:dyDescent="0.2">
      <c r="A48" s="7">
        <f>DATE(91,9,13)</f>
        <v>33494</v>
      </c>
      <c r="B48" s="2">
        <v>28</v>
      </c>
      <c r="C48" s="2">
        <v>184</v>
      </c>
      <c r="D48" s="2">
        <v>1892</v>
      </c>
      <c r="E48" s="2">
        <v>343</v>
      </c>
      <c r="F48" s="2">
        <v>325</v>
      </c>
      <c r="G48" s="2">
        <v>531</v>
      </c>
      <c r="H48" s="2">
        <v>303</v>
      </c>
      <c r="I48" s="2">
        <v>108</v>
      </c>
      <c r="J48" s="2">
        <v>37</v>
      </c>
      <c r="K48" s="2">
        <v>238</v>
      </c>
      <c r="L48" s="2">
        <v>105</v>
      </c>
      <c r="N48" s="2">
        <v>45</v>
      </c>
    </row>
    <row r="49" spans="1:14" x14ac:dyDescent="0.2">
      <c r="A49" s="7">
        <f>DATE(91,9,14)</f>
        <v>33495</v>
      </c>
      <c r="B49" s="2">
        <v>61</v>
      </c>
      <c r="C49" s="2">
        <v>144</v>
      </c>
      <c r="D49" s="2">
        <v>1829</v>
      </c>
      <c r="E49" s="2">
        <v>370</v>
      </c>
      <c r="F49" s="2">
        <v>333</v>
      </c>
      <c r="G49" s="2">
        <v>544</v>
      </c>
      <c r="H49" s="2">
        <v>290</v>
      </c>
      <c r="I49" s="2">
        <v>103</v>
      </c>
      <c r="J49" s="2">
        <v>26</v>
      </c>
      <c r="K49" s="2">
        <v>215</v>
      </c>
      <c r="L49" s="2">
        <v>102</v>
      </c>
      <c r="N49" s="2">
        <v>7</v>
      </c>
    </row>
    <row r="53" spans="1:14" x14ac:dyDescent="0.2">
      <c r="A53" s="7">
        <f>AVERAGE(A7:A49)</f>
        <v>33473.465116279069</v>
      </c>
      <c r="B53" s="8" t="s">
        <v>146</v>
      </c>
      <c r="C53" s="8" t="s">
        <v>118</v>
      </c>
      <c r="D53" s="8" t="s">
        <v>123</v>
      </c>
      <c r="E53" s="8" t="s">
        <v>134</v>
      </c>
      <c r="F53" s="8" t="s">
        <v>138</v>
      </c>
      <c r="G53" s="8" t="s">
        <v>136</v>
      </c>
      <c r="H53" s="8" t="s">
        <v>130</v>
      </c>
      <c r="I53" s="8" t="s">
        <v>133</v>
      </c>
      <c r="J53" s="8" t="s">
        <v>127</v>
      </c>
      <c r="K53" s="8" t="s">
        <v>121</v>
      </c>
      <c r="L53" s="8" t="s">
        <v>112</v>
      </c>
      <c r="M53" s="8" t="s">
        <v>124</v>
      </c>
      <c r="N53" s="8" t="s">
        <v>114</v>
      </c>
    </row>
    <row r="55" spans="1:14" x14ac:dyDescent="0.2">
      <c r="A55" s="19" t="s">
        <v>529</v>
      </c>
      <c r="B55" s="4">
        <f t="shared" ref="B55:N55" si="0">AVERAGE(B7:B49)</f>
        <v>28.772727272727273</v>
      </c>
      <c r="C55" s="4">
        <f t="shared" si="0"/>
        <v>139.52631578947367</v>
      </c>
      <c r="D55" s="4">
        <f t="shared" si="0"/>
        <v>1832.3947368421052</v>
      </c>
      <c r="E55" s="4">
        <f t="shared" si="0"/>
        <v>349.89473684210526</v>
      </c>
      <c r="F55" s="4">
        <f t="shared" si="0"/>
        <v>334.36190476190478</v>
      </c>
      <c r="G55" s="4">
        <f t="shared" si="0"/>
        <v>536.38095238095241</v>
      </c>
      <c r="H55" s="4">
        <f t="shared" si="0"/>
        <v>291.6904761904762</v>
      </c>
      <c r="I55" s="4">
        <f t="shared" si="0"/>
        <v>114.66666666666667</v>
      </c>
      <c r="J55" s="4">
        <f t="shared" si="0"/>
        <v>41.365853658536587</v>
      </c>
      <c r="K55" s="4">
        <f t="shared" si="0"/>
        <v>203.92857142857142</v>
      </c>
      <c r="L55" s="4">
        <f t="shared" si="0"/>
        <v>104.64285714285714</v>
      </c>
      <c r="M55" s="4">
        <f t="shared" si="0"/>
        <v>11.5</v>
      </c>
      <c r="N55" s="4">
        <f t="shared" si="0"/>
        <v>12.333333333333334</v>
      </c>
    </row>
    <row r="56" spans="1:14" x14ac:dyDescent="0.2">
      <c r="A56" s="19" t="s">
        <v>1706</v>
      </c>
      <c r="B56" s="4">
        <f t="shared" ref="B56:N56" si="1">STDEV(B7:B49)</f>
        <v>10.627600267505709</v>
      </c>
      <c r="C56" s="4">
        <f t="shared" si="1"/>
        <v>24.640920527409751</v>
      </c>
      <c r="D56" s="4">
        <f t="shared" si="1"/>
        <v>25.704705083746628</v>
      </c>
      <c r="E56" s="4">
        <f t="shared" si="1"/>
        <v>35.425437092181653</v>
      </c>
      <c r="F56" s="4">
        <f t="shared" si="1"/>
        <v>5.0232606445319581</v>
      </c>
      <c r="G56" s="4">
        <f t="shared" si="1"/>
        <v>12.356399311648062</v>
      </c>
      <c r="H56" s="4">
        <f t="shared" si="1"/>
        <v>11.976578963550105</v>
      </c>
      <c r="I56" s="4">
        <f t="shared" si="1"/>
        <v>49.556898398323817</v>
      </c>
      <c r="J56" s="4">
        <f t="shared" si="1"/>
        <v>58.419070558149492</v>
      </c>
      <c r="K56" s="4">
        <f t="shared" si="1"/>
        <v>30.448190988871122</v>
      </c>
      <c r="L56" s="4">
        <f t="shared" si="1"/>
        <v>7.035871255257411</v>
      </c>
      <c r="M56" s="4">
        <f t="shared" si="1"/>
        <v>0.70710678118654757</v>
      </c>
      <c r="N56" s="4">
        <f t="shared" si="1"/>
        <v>10.37540952478588</v>
      </c>
    </row>
    <row r="57" spans="1:14" x14ac:dyDescent="0.2">
      <c r="A57" s="19" t="s">
        <v>365</v>
      </c>
      <c r="B57" s="4">
        <f t="shared" ref="B57:N57" si="2">COUNTA(B7:B49)</f>
        <v>22</v>
      </c>
      <c r="C57" s="4">
        <f t="shared" si="2"/>
        <v>38</v>
      </c>
      <c r="D57" s="4">
        <f t="shared" si="2"/>
        <v>38</v>
      </c>
      <c r="E57" s="4">
        <f t="shared" si="2"/>
        <v>38</v>
      </c>
      <c r="F57" s="4">
        <f t="shared" si="2"/>
        <v>42</v>
      </c>
      <c r="G57" s="4">
        <f t="shared" si="2"/>
        <v>42</v>
      </c>
      <c r="H57" s="4">
        <f t="shared" si="2"/>
        <v>42</v>
      </c>
      <c r="I57" s="4">
        <f t="shared" si="2"/>
        <v>42</v>
      </c>
      <c r="J57" s="4">
        <f t="shared" si="2"/>
        <v>41</v>
      </c>
      <c r="K57" s="4">
        <f t="shared" si="2"/>
        <v>42</v>
      </c>
      <c r="L57" s="4">
        <f t="shared" si="2"/>
        <v>42</v>
      </c>
      <c r="M57" s="4">
        <f t="shared" si="2"/>
        <v>2</v>
      </c>
      <c r="N57" s="4">
        <f t="shared" si="2"/>
        <v>39</v>
      </c>
    </row>
  </sheetData>
  <pageMargins left="0.5" right="0.5" top="0.75" bottom="0.75" header="0.5" footer="0.5"/>
  <pageSetup orientation="portrait" horizontalDpi="0" verticalDpi="0" copies="0"/>
  <headerFooter alignWithMargins="0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9"/>
  <sheetViews>
    <sheetView showOutlineSymbols="0" defaultGridColor="0" topLeftCell="A86" colorId="9" workbookViewId="0">
      <selection activeCell="C97" sqref="C97"/>
    </sheetView>
  </sheetViews>
  <sheetFormatPr defaultColWidth="8.6640625" defaultRowHeight="15" x14ac:dyDescent="0.2"/>
  <cols>
    <col min="1" max="16384" width="8.6640625" style="2"/>
  </cols>
  <sheetData>
    <row r="1" spans="1:23" ht="18" x14ac:dyDescent="0.25">
      <c r="A1" s="18" t="s">
        <v>46</v>
      </c>
      <c r="D1" s="2">
        <v>1987</v>
      </c>
      <c r="W1" s="2" t="s">
        <v>1</v>
      </c>
    </row>
    <row r="2" spans="1:23" x14ac:dyDescent="0.2">
      <c r="A2" s="2" t="s">
        <v>1275</v>
      </c>
      <c r="W2" s="2" t="s">
        <v>1</v>
      </c>
    </row>
    <row r="3" spans="1:23" x14ac:dyDescent="0.2">
      <c r="W3" s="2" t="s">
        <v>1</v>
      </c>
    </row>
    <row r="4" spans="1:23" x14ac:dyDescent="0.2">
      <c r="A4" s="2" t="s">
        <v>284</v>
      </c>
      <c r="B4" s="15" t="s">
        <v>285</v>
      </c>
      <c r="C4" s="15" t="s">
        <v>253</v>
      </c>
      <c r="D4" s="8" t="s">
        <v>286</v>
      </c>
      <c r="E4" s="8" t="s">
        <v>117</v>
      </c>
      <c r="F4" s="8" t="s">
        <v>118</v>
      </c>
      <c r="G4" s="8" t="s">
        <v>123</v>
      </c>
      <c r="H4" s="8" t="s">
        <v>134</v>
      </c>
      <c r="I4" s="8" t="s">
        <v>138</v>
      </c>
      <c r="J4" s="8" t="s">
        <v>136</v>
      </c>
      <c r="K4" s="8" t="s">
        <v>130</v>
      </c>
      <c r="L4" s="8" t="s">
        <v>121</v>
      </c>
      <c r="M4" s="8" t="s">
        <v>112</v>
      </c>
      <c r="N4" s="8" t="s">
        <v>140</v>
      </c>
      <c r="O4" s="8" t="s">
        <v>126</v>
      </c>
      <c r="P4" s="8" t="s">
        <v>122</v>
      </c>
      <c r="Q4" s="8" t="s">
        <v>113</v>
      </c>
      <c r="R4" s="8" t="s">
        <v>131</v>
      </c>
      <c r="S4" s="8" t="s">
        <v>129</v>
      </c>
      <c r="T4" s="8" t="s">
        <v>149</v>
      </c>
      <c r="U4" s="8" t="s">
        <v>151</v>
      </c>
      <c r="W4" s="2" t="s">
        <v>1</v>
      </c>
    </row>
    <row r="5" spans="1:23" x14ac:dyDescent="0.2">
      <c r="A5" s="2" t="s">
        <v>289</v>
      </c>
      <c r="B5" s="15" t="s">
        <v>290</v>
      </c>
      <c r="E5" s="8" t="s">
        <v>266</v>
      </c>
      <c r="F5" s="8" t="s">
        <v>266</v>
      </c>
      <c r="G5" s="8" t="s">
        <v>266</v>
      </c>
      <c r="H5" s="8" t="s">
        <v>371</v>
      </c>
      <c r="I5" s="8" t="s">
        <v>266</v>
      </c>
      <c r="J5" s="8" t="s">
        <v>144</v>
      </c>
      <c r="K5" s="8" t="s">
        <v>144</v>
      </c>
      <c r="L5" s="8" t="s">
        <v>144</v>
      </c>
      <c r="M5" s="8" t="s">
        <v>144</v>
      </c>
      <c r="N5" s="8" t="s">
        <v>144</v>
      </c>
      <c r="O5" s="8" t="s">
        <v>144</v>
      </c>
      <c r="P5" s="8" t="s">
        <v>144</v>
      </c>
      <c r="Q5" s="8" t="s">
        <v>144</v>
      </c>
      <c r="R5" s="8" t="s">
        <v>144</v>
      </c>
      <c r="S5" s="8" t="s">
        <v>144</v>
      </c>
      <c r="T5" s="8" t="s">
        <v>144</v>
      </c>
      <c r="U5" s="8" t="s">
        <v>144</v>
      </c>
      <c r="W5" s="2" t="s">
        <v>1</v>
      </c>
    </row>
    <row r="6" spans="1:23" x14ac:dyDescent="0.2">
      <c r="W6" s="2" t="s">
        <v>1</v>
      </c>
    </row>
    <row r="7" spans="1:23" x14ac:dyDescent="0.2">
      <c r="A7" s="2">
        <v>1</v>
      </c>
      <c r="B7" s="2" t="s">
        <v>1842</v>
      </c>
      <c r="C7" s="19">
        <f>DATE(87,6,24)</f>
        <v>31952</v>
      </c>
      <c r="D7" s="2">
        <v>1900</v>
      </c>
      <c r="E7" s="2">
        <v>564</v>
      </c>
      <c r="F7" s="2">
        <v>104</v>
      </c>
      <c r="G7" s="2">
        <v>1689</v>
      </c>
      <c r="H7" s="2">
        <v>374</v>
      </c>
      <c r="I7" s="2">
        <v>355</v>
      </c>
      <c r="J7" s="2">
        <v>556</v>
      </c>
      <c r="K7" s="2">
        <v>377</v>
      </c>
      <c r="L7" s="2">
        <v>255</v>
      </c>
      <c r="M7" s="2">
        <v>110</v>
      </c>
      <c r="N7" s="2">
        <v>293</v>
      </c>
      <c r="O7" s="2">
        <v>1120</v>
      </c>
      <c r="P7" s="2">
        <v>310000</v>
      </c>
      <c r="Q7" s="2">
        <v>252</v>
      </c>
      <c r="R7" s="2">
        <v>327</v>
      </c>
      <c r="S7" s="2">
        <v>414</v>
      </c>
      <c r="T7" s="2">
        <v>56</v>
      </c>
      <c r="U7" s="2">
        <v>107</v>
      </c>
      <c r="W7" s="2" t="s">
        <v>1</v>
      </c>
    </row>
    <row r="8" spans="1:23" x14ac:dyDescent="0.2">
      <c r="A8" s="2">
        <v>2</v>
      </c>
      <c r="B8" s="2" t="s">
        <v>1843</v>
      </c>
      <c r="C8" s="19">
        <f>DATE(87,6,25)</f>
        <v>31953</v>
      </c>
      <c r="D8" s="8" t="s">
        <v>1039</v>
      </c>
      <c r="E8" s="2">
        <v>585</v>
      </c>
      <c r="F8" s="2">
        <v>99</v>
      </c>
      <c r="G8" s="2">
        <v>1694</v>
      </c>
      <c r="H8" s="2">
        <v>373</v>
      </c>
      <c r="I8" s="2">
        <v>345</v>
      </c>
      <c r="J8" s="2">
        <v>495</v>
      </c>
      <c r="K8" s="2">
        <v>350</v>
      </c>
      <c r="L8" s="2">
        <v>260</v>
      </c>
      <c r="M8" s="2">
        <v>107</v>
      </c>
      <c r="N8" s="2">
        <v>250</v>
      </c>
      <c r="O8" s="2">
        <v>1100</v>
      </c>
      <c r="P8" s="2">
        <v>327000</v>
      </c>
      <c r="Q8" s="2">
        <v>353</v>
      </c>
      <c r="R8" s="2">
        <v>1450</v>
      </c>
      <c r="S8" s="2">
        <v>275</v>
      </c>
      <c r="T8" s="2">
        <v>66</v>
      </c>
      <c r="U8" s="2">
        <v>253</v>
      </c>
      <c r="W8" s="2" t="s">
        <v>1</v>
      </c>
    </row>
    <row r="9" spans="1:23" x14ac:dyDescent="0.2">
      <c r="A9" s="2">
        <v>3</v>
      </c>
      <c r="B9" s="2" t="s">
        <v>1844</v>
      </c>
      <c r="C9" s="19">
        <f>DATE(87,6,25)</f>
        <v>31953</v>
      </c>
      <c r="D9" s="2">
        <v>1100</v>
      </c>
      <c r="E9" s="2">
        <v>540</v>
      </c>
      <c r="F9" s="2">
        <v>109</v>
      </c>
      <c r="G9" s="2">
        <v>1685</v>
      </c>
      <c r="H9" s="2">
        <v>373</v>
      </c>
      <c r="I9" s="2">
        <v>346</v>
      </c>
      <c r="J9" s="2">
        <v>480</v>
      </c>
      <c r="K9" s="2">
        <v>320</v>
      </c>
      <c r="L9" s="2">
        <v>250</v>
      </c>
      <c r="M9" s="2">
        <v>108</v>
      </c>
      <c r="N9" s="2">
        <v>110</v>
      </c>
      <c r="O9" s="2">
        <v>1200</v>
      </c>
      <c r="P9" s="2">
        <v>234000</v>
      </c>
      <c r="Q9" s="2">
        <v>353</v>
      </c>
      <c r="R9" s="2">
        <v>2120</v>
      </c>
      <c r="S9" s="2">
        <v>352</v>
      </c>
      <c r="T9" s="2">
        <v>95</v>
      </c>
      <c r="U9" s="2">
        <v>378</v>
      </c>
      <c r="W9" s="2" t="s">
        <v>1</v>
      </c>
    </row>
    <row r="10" spans="1:23" x14ac:dyDescent="0.2">
      <c r="A10" s="2">
        <v>4</v>
      </c>
      <c r="B10" s="2" t="s">
        <v>294</v>
      </c>
      <c r="C10" s="19">
        <f>DATE(87,6,25)</f>
        <v>31953</v>
      </c>
      <c r="D10" s="2">
        <v>1900</v>
      </c>
      <c r="E10" s="2">
        <v>591</v>
      </c>
      <c r="F10" s="2">
        <v>108</v>
      </c>
      <c r="G10" s="2">
        <v>1682</v>
      </c>
      <c r="H10" s="2">
        <v>362</v>
      </c>
      <c r="I10" s="2">
        <v>344</v>
      </c>
      <c r="J10" s="2">
        <v>469</v>
      </c>
      <c r="K10" s="2">
        <v>325</v>
      </c>
      <c r="L10" s="2">
        <v>240</v>
      </c>
      <c r="M10" s="2">
        <v>109</v>
      </c>
      <c r="N10" s="2">
        <v>82</v>
      </c>
      <c r="O10" s="2">
        <v>918</v>
      </c>
      <c r="P10" s="2">
        <v>199000</v>
      </c>
      <c r="Q10" s="2">
        <v>158</v>
      </c>
      <c r="R10" s="2">
        <v>1300</v>
      </c>
      <c r="S10" s="2">
        <v>159</v>
      </c>
      <c r="T10" s="2">
        <v>45</v>
      </c>
      <c r="U10" s="2">
        <v>81</v>
      </c>
      <c r="W10" s="2" t="s">
        <v>1</v>
      </c>
    </row>
    <row r="11" spans="1:23" x14ac:dyDescent="0.2">
      <c r="A11" s="2">
        <v>5</v>
      </c>
      <c r="B11" s="2" t="s">
        <v>1845</v>
      </c>
      <c r="C11" s="19">
        <f>DATE(87,6,26)</f>
        <v>31954</v>
      </c>
      <c r="D11" s="8" t="s">
        <v>1039</v>
      </c>
      <c r="E11" s="2">
        <v>593</v>
      </c>
      <c r="F11" s="2">
        <v>104</v>
      </c>
      <c r="G11" s="2">
        <v>1685</v>
      </c>
      <c r="H11" s="2">
        <v>362</v>
      </c>
      <c r="I11" s="2">
        <v>345</v>
      </c>
      <c r="J11" s="2">
        <v>462</v>
      </c>
      <c r="K11" s="2">
        <v>305</v>
      </c>
      <c r="L11" s="2">
        <v>220</v>
      </c>
      <c r="M11" s="2">
        <v>110</v>
      </c>
      <c r="N11" s="2">
        <v>60</v>
      </c>
      <c r="O11" s="2">
        <v>1000</v>
      </c>
      <c r="P11" s="2">
        <v>255000</v>
      </c>
      <c r="Q11" s="2">
        <v>167</v>
      </c>
      <c r="R11" s="2">
        <v>978</v>
      </c>
      <c r="S11" s="2">
        <v>193</v>
      </c>
      <c r="T11" s="2">
        <v>53</v>
      </c>
      <c r="U11" s="2">
        <v>90</v>
      </c>
      <c r="W11" s="2" t="s">
        <v>1</v>
      </c>
    </row>
    <row r="12" spans="1:23" x14ac:dyDescent="0.2">
      <c r="A12" s="2">
        <v>6</v>
      </c>
      <c r="B12" s="2" t="s">
        <v>1846</v>
      </c>
      <c r="C12" s="19">
        <f>DATE(87,6,26)</f>
        <v>31954</v>
      </c>
      <c r="D12" s="2">
        <v>1100</v>
      </c>
      <c r="E12" s="2">
        <v>587</v>
      </c>
      <c r="F12" s="2">
        <v>97</v>
      </c>
      <c r="G12" s="2">
        <v>1683</v>
      </c>
      <c r="H12" s="2">
        <v>365</v>
      </c>
      <c r="I12" s="2">
        <v>346</v>
      </c>
      <c r="J12" s="2">
        <v>465</v>
      </c>
      <c r="K12" s="2">
        <v>300</v>
      </c>
      <c r="L12" s="2">
        <v>173</v>
      </c>
      <c r="M12" s="2">
        <v>107</v>
      </c>
      <c r="N12" s="2">
        <v>17</v>
      </c>
      <c r="O12" s="2">
        <v>1040</v>
      </c>
      <c r="P12" s="2">
        <v>205000</v>
      </c>
      <c r="Q12" s="2">
        <v>183</v>
      </c>
      <c r="R12" s="2">
        <v>748</v>
      </c>
      <c r="S12" s="2">
        <v>305</v>
      </c>
      <c r="T12" s="2">
        <v>46</v>
      </c>
      <c r="U12" s="2">
        <v>92</v>
      </c>
      <c r="W12" s="2" t="s">
        <v>1</v>
      </c>
    </row>
    <row r="13" spans="1:23" x14ac:dyDescent="0.2">
      <c r="A13" s="2">
        <v>7</v>
      </c>
      <c r="B13" s="2" t="s">
        <v>1847</v>
      </c>
      <c r="C13" s="19">
        <f>DATE(87,6,26)</f>
        <v>31954</v>
      </c>
      <c r="D13" s="2">
        <v>1900</v>
      </c>
      <c r="E13" s="2">
        <v>554</v>
      </c>
      <c r="F13" s="2">
        <v>125</v>
      </c>
      <c r="G13" s="2">
        <v>1717</v>
      </c>
      <c r="H13" s="2">
        <v>369</v>
      </c>
      <c r="I13" s="2">
        <v>347</v>
      </c>
      <c r="J13" s="2">
        <v>494</v>
      </c>
      <c r="K13" s="2">
        <v>325</v>
      </c>
      <c r="L13" s="2">
        <v>253</v>
      </c>
      <c r="M13" s="2">
        <v>111</v>
      </c>
      <c r="N13" s="2">
        <v>44</v>
      </c>
      <c r="O13" s="2">
        <v>1210</v>
      </c>
      <c r="P13" s="2">
        <v>193000</v>
      </c>
      <c r="Q13" s="2">
        <v>245</v>
      </c>
      <c r="R13" s="2">
        <v>643</v>
      </c>
      <c r="S13" s="2">
        <v>134</v>
      </c>
      <c r="T13" s="2">
        <v>110</v>
      </c>
      <c r="U13" s="2">
        <v>178</v>
      </c>
      <c r="W13" s="2" t="s">
        <v>1</v>
      </c>
    </row>
    <row r="14" spans="1:23" x14ac:dyDescent="0.2">
      <c r="A14" s="2">
        <v>8</v>
      </c>
      <c r="B14" s="2" t="s">
        <v>1828</v>
      </c>
      <c r="C14" s="19">
        <f>DATE(87,6,27)</f>
        <v>31955</v>
      </c>
      <c r="D14" s="8" t="s">
        <v>1039</v>
      </c>
      <c r="E14" s="2">
        <v>599</v>
      </c>
      <c r="F14" s="2">
        <v>161</v>
      </c>
      <c r="G14" s="2">
        <v>1716</v>
      </c>
      <c r="H14" s="2">
        <v>367</v>
      </c>
      <c r="I14" s="2">
        <v>344</v>
      </c>
      <c r="J14" s="2">
        <v>490</v>
      </c>
      <c r="K14" s="2">
        <v>320</v>
      </c>
      <c r="L14" s="2">
        <v>240</v>
      </c>
      <c r="M14" s="2">
        <v>109</v>
      </c>
      <c r="N14" s="2">
        <v>40</v>
      </c>
      <c r="O14" s="2">
        <v>1620</v>
      </c>
      <c r="P14" s="2">
        <v>279000</v>
      </c>
      <c r="Q14" s="2">
        <v>411</v>
      </c>
      <c r="R14" s="2">
        <v>1130</v>
      </c>
      <c r="S14" s="2">
        <v>225</v>
      </c>
      <c r="T14" s="2">
        <v>229</v>
      </c>
      <c r="U14" s="2">
        <v>371</v>
      </c>
      <c r="W14" s="2" t="s">
        <v>1</v>
      </c>
    </row>
    <row r="15" spans="1:23" x14ac:dyDescent="0.2">
      <c r="A15" s="2">
        <v>9</v>
      </c>
      <c r="B15" s="2" t="s">
        <v>1848</v>
      </c>
      <c r="C15" s="19">
        <f>DATE(87,6,27)</f>
        <v>31955</v>
      </c>
      <c r="D15" s="2">
        <v>1100</v>
      </c>
      <c r="E15" s="2">
        <v>583</v>
      </c>
      <c r="F15" s="2">
        <v>122</v>
      </c>
      <c r="G15" s="2">
        <v>1691</v>
      </c>
      <c r="H15" s="2">
        <v>365</v>
      </c>
      <c r="I15" s="2">
        <v>345</v>
      </c>
      <c r="J15" s="2">
        <v>487</v>
      </c>
      <c r="K15" s="2">
        <v>312</v>
      </c>
      <c r="L15" s="2">
        <v>221</v>
      </c>
      <c r="M15" s="2">
        <v>104</v>
      </c>
      <c r="N15" s="2">
        <v>33</v>
      </c>
      <c r="O15" s="2">
        <v>1250</v>
      </c>
      <c r="P15" s="2">
        <v>164000</v>
      </c>
      <c r="Q15" s="2">
        <v>262</v>
      </c>
      <c r="R15" s="2">
        <v>1640</v>
      </c>
      <c r="S15" s="2">
        <v>419</v>
      </c>
      <c r="T15" s="2">
        <v>103</v>
      </c>
      <c r="U15" s="2">
        <v>230</v>
      </c>
      <c r="W15" s="2" t="s">
        <v>1</v>
      </c>
    </row>
    <row r="16" spans="1:23" x14ac:dyDescent="0.2">
      <c r="A16" s="2">
        <v>10</v>
      </c>
      <c r="B16" s="2" t="s">
        <v>1849</v>
      </c>
      <c r="C16" s="19">
        <f>DATE(87,6,27)</f>
        <v>31955</v>
      </c>
      <c r="D16" s="2">
        <v>1900</v>
      </c>
      <c r="E16" s="2">
        <v>580</v>
      </c>
      <c r="F16" s="2">
        <v>158</v>
      </c>
      <c r="G16" s="2">
        <v>1708</v>
      </c>
      <c r="H16" s="2">
        <v>363</v>
      </c>
      <c r="I16" s="2">
        <v>349</v>
      </c>
      <c r="J16" s="2">
        <v>526</v>
      </c>
      <c r="K16" s="2">
        <v>371</v>
      </c>
      <c r="L16" s="2">
        <v>250</v>
      </c>
      <c r="M16" s="2">
        <v>101</v>
      </c>
      <c r="N16" s="2">
        <v>79</v>
      </c>
      <c r="O16" s="2">
        <v>1530</v>
      </c>
      <c r="P16" s="2">
        <v>289000</v>
      </c>
      <c r="Q16" s="2">
        <v>484</v>
      </c>
      <c r="R16" s="2">
        <v>851</v>
      </c>
      <c r="S16" s="2">
        <v>136</v>
      </c>
      <c r="T16" s="2">
        <v>172</v>
      </c>
      <c r="U16" s="2">
        <v>311</v>
      </c>
      <c r="W16" s="2" t="s">
        <v>1</v>
      </c>
    </row>
    <row r="17" spans="1:23" x14ac:dyDescent="0.2">
      <c r="A17" s="2">
        <v>11</v>
      </c>
      <c r="B17" s="2" t="s">
        <v>1850</v>
      </c>
      <c r="C17" s="19">
        <f>DATE(87,6,28)</f>
        <v>31956</v>
      </c>
      <c r="D17" s="8" t="s">
        <v>1039</v>
      </c>
      <c r="E17" s="2">
        <v>556</v>
      </c>
      <c r="F17" s="2">
        <v>191</v>
      </c>
      <c r="G17" s="2">
        <v>1719</v>
      </c>
      <c r="H17" s="2">
        <v>365</v>
      </c>
      <c r="I17" s="2">
        <v>344</v>
      </c>
      <c r="J17" s="2">
        <v>490</v>
      </c>
      <c r="K17" s="2">
        <v>282</v>
      </c>
      <c r="L17" s="2">
        <v>252</v>
      </c>
      <c r="M17" s="2">
        <v>106</v>
      </c>
      <c r="N17" s="2">
        <v>65</v>
      </c>
      <c r="O17" s="2">
        <v>1820</v>
      </c>
      <c r="P17" s="2">
        <v>208000</v>
      </c>
      <c r="Q17" s="2">
        <v>626</v>
      </c>
      <c r="R17" s="2">
        <v>3280</v>
      </c>
      <c r="S17" s="2">
        <v>190</v>
      </c>
      <c r="T17" s="2">
        <v>280</v>
      </c>
      <c r="U17" s="2">
        <v>496</v>
      </c>
      <c r="W17" s="2" t="s">
        <v>1</v>
      </c>
    </row>
    <row r="18" spans="1:23" x14ac:dyDescent="0.2">
      <c r="A18" s="2">
        <v>12</v>
      </c>
      <c r="B18" s="2" t="s">
        <v>1851</v>
      </c>
      <c r="C18" s="19">
        <f>DATE(87,6,28)</f>
        <v>31956</v>
      </c>
      <c r="D18" s="2">
        <v>1100</v>
      </c>
      <c r="E18" s="2">
        <v>593</v>
      </c>
      <c r="F18" s="2">
        <v>145</v>
      </c>
      <c r="G18" s="2">
        <v>1703</v>
      </c>
      <c r="H18" s="2">
        <v>365</v>
      </c>
      <c r="I18" s="2">
        <v>345</v>
      </c>
      <c r="J18" s="2">
        <v>493</v>
      </c>
      <c r="K18" s="2">
        <v>287</v>
      </c>
      <c r="L18" s="2">
        <v>247</v>
      </c>
      <c r="M18" s="2">
        <v>104</v>
      </c>
      <c r="N18" s="2">
        <v>53</v>
      </c>
      <c r="O18" s="2">
        <v>1490</v>
      </c>
      <c r="P18" s="2">
        <v>151000</v>
      </c>
      <c r="Q18" s="2">
        <v>358</v>
      </c>
      <c r="R18" s="2">
        <v>2050</v>
      </c>
      <c r="S18" s="2">
        <v>248</v>
      </c>
      <c r="T18" s="2">
        <v>154</v>
      </c>
      <c r="U18" s="2">
        <v>265</v>
      </c>
      <c r="W18" s="2" t="s">
        <v>1</v>
      </c>
    </row>
    <row r="19" spans="1:23" x14ac:dyDescent="0.2">
      <c r="A19" s="2">
        <v>13</v>
      </c>
      <c r="B19" s="2" t="s">
        <v>1852</v>
      </c>
      <c r="C19" s="19">
        <f>DATE(87,6,28)</f>
        <v>31956</v>
      </c>
      <c r="D19" s="8" t="s">
        <v>1441</v>
      </c>
      <c r="E19" s="2">
        <v>555</v>
      </c>
      <c r="F19" s="2">
        <v>126</v>
      </c>
      <c r="G19" s="2">
        <v>1734</v>
      </c>
      <c r="H19" s="2">
        <v>368</v>
      </c>
      <c r="I19" s="2">
        <v>344</v>
      </c>
      <c r="J19" s="2">
        <v>481</v>
      </c>
      <c r="K19" s="2">
        <v>345</v>
      </c>
      <c r="L19" s="2">
        <v>230</v>
      </c>
      <c r="M19" s="2">
        <v>103</v>
      </c>
      <c r="N19" s="2">
        <v>65</v>
      </c>
      <c r="O19" s="2">
        <v>1920</v>
      </c>
      <c r="P19" s="2">
        <v>111000</v>
      </c>
      <c r="Q19" s="2">
        <v>1310</v>
      </c>
      <c r="R19" s="2">
        <v>1800</v>
      </c>
      <c r="S19" s="2">
        <v>562</v>
      </c>
      <c r="T19" s="2">
        <v>1580</v>
      </c>
      <c r="U19" s="2">
        <v>2600</v>
      </c>
      <c r="W19" s="2" t="s">
        <v>1</v>
      </c>
    </row>
    <row r="20" spans="1:23" x14ac:dyDescent="0.2">
      <c r="A20" s="2">
        <v>14</v>
      </c>
      <c r="B20" s="2" t="s">
        <v>1853</v>
      </c>
      <c r="C20" s="19">
        <f>DATE(87,6,28)</f>
        <v>31956</v>
      </c>
      <c r="D20" s="2">
        <v>300</v>
      </c>
      <c r="E20" s="2">
        <v>576</v>
      </c>
      <c r="F20" s="2">
        <v>99</v>
      </c>
      <c r="G20" s="2">
        <v>1682</v>
      </c>
      <c r="H20" s="2">
        <v>362</v>
      </c>
      <c r="I20" s="2">
        <v>343</v>
      </c>
      <c r="J20" s="2">
        <v>464</v>
      </c>
      <c r="K20" s="2">
        <v>336</v>
      </c>
      <c r="L20" s="2">
        <v>207</v>
      </c>
      <c r="M20" s="2">
        <v>171</v>
      </c>
      <c r="O20" s="2">
        <v>846</v>
      </c>
      <c r="P20" s="2">
        <v>698000</v>
      </c>
      <c r="Q20" s="2">
        <v>136</v>
      </c>
      <c r="R20" s="2">
        <v>4330</v>
      </c>
      <c r="S20" s="2">
        <v>235</v>
      </c>
      <c r="T20" s="2">
        <v>95</v>
      </c>
      <c r="U20" s="2">
        <v>107</v>
      </c>
      <c r="W20" s="2" t="s">
        <v>1</v>
      </c>
    </row>
    <row r="21" spans="1:23" x14ac:dyDescent="0.2">
      <c r="A21" s="2">
        <v>15</v>
      </c>
      <c r="B21" s="2" t="s">
        <v>1826</v>
      </c>
      <c r="C21" s="19">
        <f>DATE(87,6,29)</f>
        <v>31957</v>
      </c>
      <c r="D21" s="2">
        <v>1100</v>
      </c>
      <c r="E21" s="2">
        <v>560</v>
      </c>
      <c r="F21" s="2">
        <v>123</v>
      </c>
      <c r="G21" s="2">
        <v>1688</v>
      </c>
      <c r="H21" s="2">
        <v>361</v>
      </c>
      <c r="I21" s="2">
        <v>343</v>
      </c>
      <c r="J21" s="2">
        <v>479</v>
      </c>
      <c r="K21" s="2">
        <v>294</v>
      </c>
      <c r="L21" s="2">
        <v>203</v>
      </c>
      <c r="M21" s="2">
        <v>108</v>
      </c>
      <c r="N21" s="2">
        <v>23</v>
      </c>
      <c r="O21" s="2">
        <v>1360</v>
      </c>
      <c r="P21" s="2">
        <v>154000</v>
      </c>
      <c r="Q21" s="2">
        <v>263</v>
      </c>
      <c r="R21" s="2">
        <v>2770</v>
      </c>
      <c r="S21" s="2">
        <v>548</v>
      </c>
      <c r="T21" s="2">
        <v>198</v>
      </c>
      <c r="U21" s="2">
        <v>514</v>
      </c>
      <c r="W21" s="2" t="s">
        <v>1</v>
      </c>
    </row>
    <row r="22" spans="1:23" x14ac:dyDescent="0.2">
      <c r="A22" s="2">
        <v>16</v>
      </c>
      <c r="B22" s="2" t="s">
        <v>1827</v>
      </c>
      <c r="C22" s="19">
        <f>DATE(87,6,29)</f>
        <v>31957</v>
      </c>
      <c r="D22" s="2">
        <v>1900</v>
      </c>
      <c r="E22" s="2">
        <v>583</v>
      </c>
      <c r="F22" s="2">
        <v>116</v>
      </c>
      <c r="G22" s="2">
        <v>1693</v>
      </c>
      <c r="H22" s="2">
        <v>361</v>
      </c>
      <c r="I22" s="2">
        <v>343</v>
      </c>
      <c r="J22" s="2">
        <v>461</v>
      </c>
      <c r="K22" s="2">
        <v>322</v>
      </c>
      <c r="L22" s="2">
        <v>200</v>
      </c>
      <c r="M22" s="2">
        <v>106</v>
      </c>
      <c r="O22" s="2">
        <v>1290</v>
      </c>
      <c r="P22" s="2">
        <v>202000</v>
      </c>
      <c r="Q22" s="2">
        <v>231</v>
      </c>
      <c r="R22" s="2">
        <v>1020</v>
      </c>
      <c r="S22" s="2">
        <v>194</v>
      </c>
      <c r="T22" s="2">
        <v>112</v>
      </c>
      <c r="U22" s="2">
        <v>184</v>
      </c>
      <c r="W22" s="2" t="s">
        <v>1</v>
      </c>
    </row>
    <row r="23" spans="1:23" x14ac:dyDescent="0.2">
      <c r="A23" s="2">
        <v>17</v>
      </c>
      <c r="B23" s="2" t="s">
        <v>1854</v>
      </c>
      <c r="C23" s="19">
        <f>DATE(87,6,30)</f>
        <v>31958</v>
      </c>
      <c r="D23" s="2">
        <v>300</v>
      </c>
      <c r="E23" s="2">
        <v>618</v>
      </c>
      <c r="F23" s="2">
        <v>119</v>
      </c>
      <c r="G23" s="2">
        <v>1689</v>
      </c>
      <c r="H23" s="2">
        <v>362</v>
      </c>
      <c r="I23" s="2">
        <v>345</v>
      </c>
      <c r="J23" s="2">
        <v>456</v>
      </c>
      <c r="K23" s="2">
        <v>306</v>
      </c>
      <c r="L23" s="2">
        <v>190</v>
      </c>
      <c r="M23" s="2">
        <v>105</v>
      </c>
      <c r="O23" s="2">
        <v>884</v>
      </c>
      <c r="P23" s="2">
        <v>130000</v>
      </c>
      <c r="Q23" s="2">
        <v>308</v>
      </c>
      <c r="R23" s="2">
        <v>2740</v>
      </c>
      <c r="S23" s="2">
        <v>632</v>
      </c>
      <c r="T23" s="2">
        <v>115</v>
      </c>
      <c r="U23" s="2">
        <v>164</v>
      </c>
      <c r="W23" s="2" t="s">
        <v>1</v>
      </c>
    </row>
    <row r="24" spans="1:23" x14ac:dyDescent="0.2">
      <c r="A24" s="2">
        <v>18</v>
      </c>
      <c r="B24" s="2" t="s">
        <v>297</v>
      </c>
      <c r="C24" s="19">
        <f>DATE(87,6,30)</f>
        <v>31958</v>
      </c>
      <c r="D24" s="2">
        <v>1100</v>
      </c>
      <c r="E24" s="2">
        <v>609</v>
      </c>
      <c r="F24" s="2">
        <v>88</v>
      </c>
      <c r="G24" s="2">
        <v>1675</v>
      </c>
      <c r="H24" s="2">
        <v>364</v>
      </c>
      <c r="I24" s="2">
        <v>345</v>
      </c>
      <c r="J24" s="2">
        <v>441</v>
      </c>
      <c r="K24" s="2">
        <v>277</v>
      </c>
      <c r="L24" s="2">
        <v>180</v>
      </c>
      <c r="M24" s="2">
        <v>101</v>
      </c>
      <c r="O24" s="2">
        <v>822</v>
      </c>
      <c r="P24" s="2">
        <v>93100</v>
      </c>
      <c r="Q24" s="2">
        <v>127</v>
      </c>
      <c r="R24" s="2">
        <v>2140</v>
      </c>
      <c r="S24" s="2">
        <v>569</v>
      </c>
      <c r="T24" s="2">
        <v>59</v>
      </c>
      <c r="U24" s="2">
        <v>76</v>
      </c>
      <c r="W24" s="2" t="s">
        <v>1</v>
      </c>
    </row>
    <row r="25" spans="1:23" x14ac:dyDescent="0.2">
      <c r="A25" s="2">
        <v>19</v>
      </c>
      <c r="B25" s="2" t="s">
        <v>342</v>
      </c>
      <c r="C25" s="19">
        <f>DATE(87,6,30)</f>
        <v>31958</v>
      </c>
      <c r="D25" s="2">
        <v>1900</v>
      </c>
      <c r="E25" s="2">
        <v>575</v>
      </c>
      <c r="F25" s="2">
        <v>80</v>
      </c>
      <c r="G25" s="2">
        <v>1683</v>
      </c>
      <c r="H25" s="2">
        <v>362</v>
      </c>
      <c r="I25" s="2">
        <v>345</v>
      </c>
      <c r="J25" s="2">
        <v>449</v>
      </c>
      <c r="K25" s="2">
        <v>333</v>
      </c>
      <c r="L25" s="2">
        <v>197</v>
      </c>
      <c r="M25" s="2">
        <v>103</v>
      </c>
      <c r="O25" s="2">
        <v>811</v>
      </c>
      <c r="P25" s="2">
        <v>182000</v>
      </c>
      <c r="Q25" s="2">
        <v>140</v>
      </c>
      <c r="R25" s="2">
        <v>340</v>
      </c>
      <c r="S25" s="2">
        <v>164</v>
      </c>
      <c r="T25" s="2">
        <v>47</v>
      </c>
      <c r="U25" s="2">
        <v>69</v>
      </c>
      <c r="W25" s="2" t="s">
        <v>1</v>
      </c>
    </row>
    <row r="26" spans="1:23" x14ac:dyDescent="0.2">
      <c r="A26" s="2">
        <v>20</v>
      </c>
      <c r="B26" s="2" t="s">
        <v>333</v>
      </c>
      <c r="C26" s="19">
        <f>DATE(87,7,1)</f>
        <v>31959</v>
      </c>
      <c r="D26" s="2">
        <v>300</v>
      </c>
      <c r="E26" s="2">
        <v>549</v>
      </c>
      <c r="F26" s="2">
        <v>108</v>
      </c>
      <c r="G26" s="2">
        <v>1692</v>
      </c>
      <c r="H26" s="2">
        <v>362</v>
      </c>
      <c r="I26" s="2">
        <v>345</v>
      </c>
      <c r="J26" s="2">
        <v>476</v>
      </c>
      <c r="K26" s="2">
        <v>310</v>
      </c>
      <c r="L26" s="2">
        <v>241</v>
      </c>
      <c r="M26" s="2">
        <v>105</v>
      </c>
      <c r="N26" s="2">
        <v>27</v>
      </c>
      <c r="O26" s="2">
        <v>951</v>
      </c>
      <c r="P26" s="2">
        <v>193000</v>
      </c>
      <c r="Q26" s="2">
        <v>266</v>
      </c>
      <c r="R26" s="2">
        <v>2440</v>
      </c>
      <c r="S26" s="2">
        <v>273</v>
      </c>
      <c r="T26" s="2">
        <v>104</v>
      </c>
      <c r="U26" s="2">
        <v>137</v>
      </c>
      <c r="W26" s="2" t="s">
        <v>1</v>
      </c>
    </row>
    <row r="27" spans="1:23" x14ac:dyDescent="0.2">
      <c r="A27" s="2">
        <v>21</v>
      </c>
      <c r="B27" s="2" t="s">
        <v>1855</v>
      </c>
      <c r="C27" s="19">
        <f>DATE(87,7,2)</f>
        <v>31960</v>
      </c>
      <c r="D27" s="2">
        <v>1900</v>
      </c>
      <c r="E27" s="2">
        <v>566</v>
      </c>
      <c r="F27" s="2">
        <v>182</v>
      </c>
      <c r="G27" s="2">
        <v>1700</v>
      </c>
      <c r="H27" s="2">
        <v>359</v>
      </c>
      <c r="I27" s="2">
        <v>344</v>
      </c>
      <c r="J27" s="2">
        <v>482</v>
      </c>
      <c r="K27" s="2">
        <v>328</v>
      </c>
      <c r="L27" s="2">
        <v>256</v>
      </c>
      <c r="M27" s="2">
        <v>104</v>
      </c>
      <c r="W27" s="2" t="s">
        <v>1</v>
      </c>
    </row>
    <row r="28" spans="1:23" x14ac:dyDescent="0.2">
      <c r="A28" s="2">
        <v>22</v>
      </c>
      <c r="B28" s="2" t="s">
        <v>1856</v>
      </c>
      <c r="C28" s="19">
        <f>DATE(87,7,2)</f>
        <v>31960</v>
      </c>
      <c r="D28" s="2">
        <v>1900</v>
      </c>
      <c r="E28" s="2">
        <v>553</v>
      </c>
      <c r="F28" s="2">
        <v>178</v>
      </c>
      <c r="G28" s="2">
        <v>1706</v>
      </c>
      <c r="H28" s="2">
        <v>357</v>
      </c>
      <c r="I28" s="2">
        <v>344</v>
      </c>
      <c r="J28" s="2">
        <v>478</v>
      </c>
      <c r="K28" s="2">
        <v>306</v>
      </c>
      <c r="L28" s="2">
        <v>286</v>
      </c>
      <c r="M28" s="2">
        <v>107</v>
      </c>
      <c r="N28" s="2">
        <v>31</v>
      </c>
      <c r="O28" s="2">
        <v>1240</v>
      </c>
      <c r="P28" s="2">
        <v>11200</v>
      </c>
      <c r="Q28" s="2">
        <v>301</v>
      </c>
      <c r="R28" s="2">
        <v>1830</v>
      </c>
      <c r="S28" s="2">
        <v>152</v>
      </c>
      <c r="T28" s="2">
        <v>115</v>
      </c>
      <c r="U28" s="2">
        <v>188</v>
      </c>
      <c r="W28" s="2" t="s">
        <v>1</v>
      </c>
    </row>
    <row r="29" spans="1:23" x14ac:dyDescent="0.2">
      <c r="A29" s="2">
        <v>23</v>
      </c>
      <c r="B29" s="2" t="s">
        <v>1857</v>
      </c>
      <c r="C29" s="19">
        <f>DATE(87,7,2)</f>
        <v>31960</v>
      </c>
      <c r="D29" s="2">
        <v>1900</v>
      </c>
      <c r="E29" s="2">
        <v>593</v>
      </c>
      <c r="F29" s="2">
        <v>185</v>
      </c>
      <c r="G29" s="2">
        <v>1710</v>
      </c>
      <c r="H29" s="2">
        <v>361</v>
      </c>
      <c r="I29" s="2">
        <v>345</v>
      </c>
      <c r="J29" s="2">
        <v>498</v>
      </c>
      <c r="K29" s="2">
        <v>326</v>
      </c>
      <c r="L29" s="2">
        <v>282</v>
      </c>
      <c r="M29" s="2">
        <v>106</v>
      </c>
      <c r="W29" s="2" t="s">
        <v>1</v>
      </c>
    </row>
    <row r="30" spans="1:23" x14ac:dyDescent="0.2">
      <c r="A30" s="2">
        <v>25</v>
      </c>
      <c r="B30" s="2" t="s">
        <v>1858</v>
      </c>
      <c r="C30" s="19">
        <f>DATE(87,7,13)</f>
        <v>31971</v>
      </c>
      <c r="D30" s="8" t="s">
        <v>1859</v>
      </c>
      <c r="E30" s="2">
        <v>550</v>
      </c>
      <c r="F30" s="2">
        <v>103</v>
      </c>
      <c r="G30" s="2">
        <v>1700</v>
      </c>
      <c r="H30" s="2">
        <v>378</v>
      </c>
      <c r="I30" s="2">
        <v>343</v>
      </c>
      <c r="J30" s="2">
        <v>472</v>
      </c>
      <c r="K30" s="2">
        <v>371</v>
      </c>
      <c r="L30" s="2">
        <v>185</v>
      </c>
      <c r="M30" s="2">
        <v>108</v>
      </c>
      <c r="N30" s="2">
        <v>17</v>
      </c>
      <c r="O30" s="2">
        <v>842</v>
      </c>
      <c r="P30" s="2">
        <v>1170</v>
      </c>
      <c r="Q30" s="2">
        <v>226</v>
      </c>
      <c r="R30" s="2">
        <v>310</v>
      </c>
      <c r="S30" s="2">
        <v>213</v>
      </c>
      <c r="T30" s="2">
        <v>68</v>
      </c>
      <c r="U30" s="2">
        <v>116</v>
      </c>
      <c r="W30" s="2" t="s">
        <v>1</v>
      </c>
    </row>
    <row r="31" spans="1:23" x14ac:dyDescent="0.2">
      <c r="A31" s="2">
        <v>26</v>
      </c>
      <c r="B31" s="2" t="s">
        <v>1860</v>
      </c>
      <c r="C31" s="19">
        <f>DATE(87,7,18)</f>
        <v>31976</v>
      </c>
      <c r="D31" s="8" t="s">
        <v>1039</v>
      </c>
      <c r="E31" s="2">
        <v>543</v>
      </c>
      <c r="F31" s="2">
        <v>160</v>
      </c>
      <c r="G31" s="2">
        <v>1743</v>
      </c>
      <c r="H31" s="2">
        <v>392</v>
      </c>
      <c r="I31" s="2">
        <v>345</v>
      </c>
      <c r="J31" s="2">
        <v>488</v>
      </c>
      <c r="K31" s="2">
        <v>332</v>
      </c>
      <c r="L31" s="2">
        <v>257</v>
      </c>
      <c r="M31" s="2">
        <v>110</v>
      </c>
      <c r="W31" s="2" t="s">
        <v>1</v>
      </c>
    </row>
    <row r="32" spans="1:23" x14ac:dyDescent="0.2">
      <c r="A32" s="2">
        <v>27</v>
      </c>
      <c r="B32" s="2" t="s">
        <v>1861</v>
      </c>
      <c r="C32" s="19">
        <f>DATE(87,7,18)</f>
        <v>31976</v>
      </c>
      <c r="D32" s="2">
        <v>1100</v>
      </c>
      <c r="E32" s="2">
        <v>573</v>
      </c>
      <c r="F32" s="2">
        <v>129</v>
      </c>
      <c r="G32" s="2">
        <v>1738</v>
      </c>
      <c r="H32" s="2">
        <v>629</v>
      </c>
      <c r="I32" s="2">
        <v>344</v>
      </c>
      <c r="J32" s="2">
        <v>526</v>
      </c>
      <c r="K32" s="2">
        <v>386</v>
      </c>
      <c r="L32" s="2">
        <v>265</v>
      </c>
      <c r="M32" s="2">
        <v>109</v>
      </c>
      <c r="N32" s="2">
        <v>174</v>
      </c>
      <c r="O32" s="2">
        <v>2330</v>
      </c>
      <c r="P32" s="2">
        <v>985000</v>
      </c>
      <c r="Q32" s="2">
        <v>330</v>
      </c>
      <c r="R32" s="2">
        <v>1110</v>
      </c>
      <c r="S32" s="2">
        <v>363</v>
      </c>
      <c r="T32" s="2">
        <v>236</v>
      </c>
      <c r="U32" s="2">
        <v>342</v>
      </c>
      <c r="W32" s="2" t="s">
        <v>1</v>
      </c>
    </row>
    <row r="33" spans="1:23" x14ac:dyDescent="0.2">
      <c r="A33" s="2">
        <v>28</v>
      </c>
      <c r="B33" s="2" t="s">
        <v>1862</v>
      </c>
      <c r="C33" s="19">
        <f>DATE(87,7,18)</f>
        <v>31976</v>
      </c>
      <c r="D33" s="2">
        <v>1900</v>
      </c>
      <c r="E33" s="2">
        <v>563</v>
      </c>
      <c r="F33" s="2">
        <v>117</v>
      </c>
      <c r="G33" s="2">
        <v>1726</v>
      </c>
      <c r="H33" s="2">
        <v>356</v>
      </c>
      <c r="I33" s="2">
        <v>343</v>
      </c>
      <c r="J33" s="2">
        <v>473</v>
      </c>
      <c r="K33" s="2">
        <v>329</v>
      </c>
      <c r="L33" s="2">
        <v>271</v>
      </c>
      <c r="M33" s="2">
        <v>109</v>
      </c>
      <c r="O33" s="2">
        <v>1120</v>
      </c>
      <c r="P33" s="2">
        <v>26900</v>
      </c>
      <c r="Q33" s="2">
        <v>237</v>
      </c>
      <c r="R33" s="2">
        <v>552</v>
      </c>
      <c r="S33" s="2">
        <v>207</v>
      </c>
      <c r="T33" s="2">
        <v>79</v>
      </c>
      <c r="U33" s="2">
        <v>149</v>
      </c>
      <c r="W33" s="2" t="s">
        <v>1</v>
      </c>
    </row>
    <row r="34" spans="1:23" x14ac:dyDescent="0.2">
      <c r="A34" s="2">
        <v>29</v>
      </c>
      <c r="B34" s="2" t="s">
        <v>1863</v>
      </c>
      <c r="C34" s="19">
        <f>DATE(87,7,19)</f>
        <v>31977</v>
      </c>
      <c r="D34" s="8" t="s">
        <v>1039</v>
      </c>
      <c r="E34" s="2">
        <v>546</v>
      </c>
      <c r="F34" s="2">
        <v>118</v>
      </c>
      <c r="G34" s="2">
        <v>1724</v>
      </c>
      <c r="H34" s="2">
        <v>355</v>
      </c>
      <c r="I34" s="2">
        <v>343</v>
      </c>
      <c r="J34" s="2">
        <v>483</v>
      </c>
      <c r="K34" s="2">
        <v>294</v>
      </c>
      <c r="L34" s="2">
        <v>247</v>
      </c>
      <c r="M34" s="2">
        <v>107</v>
      </c>
      <c r="N34" s="2">
        <v>17</v>
      </c>
      <c r="O34" s="2">
        <v>1010</v>
      </c>
      <c r="P34" s="2">
        <v>20300</v>
      </c>
      <c r="Q34" s="2">
        <v>268</v>
      </c>
      <c r="R34" s="2">
        <v>810</v>
      </c>
      <c r="S34" s="2">
        <v>135</v>
      </c>
      <c r="T34" s="2">
        <v>91</v>
      </c>
      <c r="U34" s="2">
        <v>146</v>
      </c>
      <c r="W34" s="2" t="s">
        <v>1</v>
      </c>
    </row>
    <row r="35" spans="1:23" x14ac:dyDescent="0.2">
      <c r="A35" s="2">
        <v>30</v>
      </c>
      <c r="B35" s="2" t="s">
        <v>1864</v>
      </c>
      <c r="C35" s="19">
        <f>DATE(87,7,19)</f>
        <v>31977</v>
      </c>
      <c r="D35" s="8" t="s">
        <v>1039</v>
      </c>
      <c r="E35" s="2">
        <v>518</v>
      </c>
      <c r="F35" s="2">
        <v>80</v>
      </c>
      <c r="G35" s="2">
        <v>1680</v>
      </c>
      <c r="H35" s="2">
        <v>359</v>
      </c>
      <c r="I35" s="2">
        <v>343</v>
      </c>
      <c r="J35" s="2">
        <v>474</v>
      </c>
      <c r="K35" s="2">
        <v>287</v>
      </c>
      <c r="L35" s="2">
        <v>186</v>
      </c>
      <c r="M35" s="2">
        <v>109</v>
      </c>
      <c r="O35" s="2">
        <v>827</v>
      </c>
      <c r="P35" s="2">
        <v>17800</v>
      </c>
      <c r="Q35" s="2">
        <v>1580</v>
      </c>
      <c r="R35" s="2">
        <v>890</v>
      </c>
      <c r="S35" s="2">
        <v>287</v>
      </c>
      <c r="T35" s="2">
        <v>188</v>
      </c>
      <c r="U35" s="2">
        <v>477</v>
      </c>
      <c r="W35" s="2" t="s">
        <v>1</v>
      </c>
    </row>
    <row r="36" spans="1:23" x14ac:dyDescent="0.2">
      <c r="A36" s="2">
        <v>31</v>
      </c>
      <c r="B36" s="2" t="s">
        <v>1050</v>
      </c>
      <c r="C36" s="19">
        <f>DATE(87,7,19)</f>
        <v>31977</v>
      </c>
      <c r="D36" s="2">
        <v>1100</v>
      </c>
      <c r="E36" s="2">
        <v>541</v>
      </c>
      <c r="F36" s="2">
        <v>69</v>
      </c>
      <c r="G36" s="2">
        <v>1692</v>
      </c>
      <c r="H36" s="2">
        <v>361</v>
      </c>
      <c r="I36" s="2">
        <v>343</v>
      </c>
      <c r="J36" s="2">
        <v>420</v>
      </c>
      <c r="K36" s="2">
        <v>290</v>
      </c>
      <c r="L36" s="2">
        <v>167</v>
      </c>
      <c r="M36" s="2">
        <v>105</v>
      </c>
      <c r="O36" s="2">
        <v>1020</v>
      </c>
      <c r="P36" s="2">
        <v>10100</v>
      </c>
      <c r="Q36" s="2">
        <v>11300</v>
      </c>
      <c r="R36" s="2">
        <v>764</v>
      </c>
      <c r="S36" s="2">
        <v>1070</v>
      </c>
      <c r="T36" s="2">
        <v>174</v>
      </c>
      <c r="U36" s="2">
        <v>463</v>
      </c>
      <c r="W36" s="2" t="s">
        <v>1</v>
      </c>
    </row>
    <row r="37" spans="1:23" x14ac:dyDescent="0.2">
      <c r="A37" s="2">
        <v>32</v>
      </c>
      <c r="B37" s="2" t="s">
        <v>1865</v>
      </c>
      <c r="C37" s="19">
        <v>31977</v>
      </c>
      <c r="D37" s="2">
        <v>1900</v>
      </c>
      <c r="E37" s="2">
        <v>569</v>
      </c>
      <c r="F37" s="2">
        <v>98</v>
      </c>
      <c r="G37" s="2">
        <v>1691</v>
      </c>
      <c r="H37" s="2">
        <v>358</v>
      </c>
      <c r="I37" s="2">
        <v>346</v>
      </c>
      <c r="J37" s="2">
        <v>470</v>
      </c>
      <c r="K37" s="2">
        <v>292</v>
      </c>
      <c r="L37" s="2">
        <v>192</v>
      </c>
      <c r="M37" s="2">
        <v>109</v>
      </c>
      <c r="N37" s="2">
        <v>27</v>
      </c>
      <c r="O37" s="2">
        <v>692</v>
      </c>
      <c r="P37" s="2">
        <v>19000</v>
      </c>
      <c r="Q37" s="2">
        <v>204</v>
      </c>
      <c r="R37" s="2">
        <v>294</v>
      </c>
      <c r="S37" s="2">
        <v>123</v>
      </c>
      <c r="T37" s="2">
        <v>44</v>
      </c>
      <c r="U37" s="2">
        <v>78</v>
      </c>
      <c r="W37" s="2" t="s">
        <v>1</v>
      </c>
    </row>
    <row r="38" spans="1:23" x14ac:dyDescent="0.2">
      <c r="A38" s="2">
        <v>33</v>
      </c>
      <c r="B38" s="2" t="s">
        <v>1866</v>
      </c>
      <c r="C38" s="19">
        <v>31978</v>
      </c>
      <c r="D38" s="2">
        <v>1100</v>
      </c>
      <c r="E38" s="2">
        <v>560</v>
      </c>
      <c r="F38" s="2">
        <v>64</v>
      </c>
      <c r="G38" s="2">
        <v>1654</v>
      </c>
      <c r="H38" s="2">
        <v>363</v>
      </c>
      <c r="I38" s="2">
        <v>344</v>
      </c>
      <c r="J38" s="2">
        <v>459</v>
      </c>
      <c r="K38" s="2">
        <v>269</v>
      </c>
      <c r="L38" s="2">
        <v>186</v>
      </c>
      <c r="M38" s="2">
        <v>105</v>
      </c>
      <c r="O38" s="2">
        <v>1820</v>
      </c>
      <c r="P38" s="2">
        <v>67600</v>
      </c>
      <c r="Q38" s="2">
        <v>3570</v>
      </c>
      <c r="R38" s="2">
        <v>1470</v>
      </c>
      <c r="S38" s="2">
        <v>793</v>
      </c>
      <c r="T38" s="2">
        <v>132</v>
      </c>
      <c r="U38" s="2">
        <v>3610</v>
      </c>
      <c r="W38" s="2" t="s">
        <v>1</v>
      </c>
    </row>
    <row r="39" spans="1:23" x14ac:dyDescent="0.2">
      <c r="A39" s="2">
        <v>36</v>
      </c>
      <c r="B39" s="2" t="s">
        <v>1867</v>
      </c>
      <c r="C39" s="19">
        <v>31979</v>
      </c>
      <c r="D39" s="2">
        <v>1100</v>
      </c>
      <c r="E39" s="2">
        <v>555</v>
      </c>
      <c r="F39" s="2">
        <v>74</v>
      </c>
      <c r="G39" s="2">
        <v>1679</v>
      </c>
      <c r="H39" s="2">
        <v>360</v>
      </c>
      <c r="I39" s="2">
        <v>341</v>
      </c>
      <c r="J39" s="2">
        <v>447</v>
      </c>
      <c r="K39" s="2">
        <v>296</v>
      </c>
      <c r="L39" s="2">
        <v>197</v>
      </c>
      <c r="M39" s="2">
        <v>103</v>
      </c>
      <c r="O39" s="2">
        <v>1540</v>
      </c>
      <c r="P39" s="2">
        <v>66300</v>
      </c>
      <c r="Q39" s="2">
        <v>764</v>
      </c>
      <c r="R39" s="2">
        <v>822</v>
      </c>
      <c r="S39" s="2">
        <v>498</v>
      </c>
      <c r="T39" s="2">
        <v>58</v>
      </c>
      <c r="U39" s="2">
        <v>1660</v>
      </c>
      <c r="W39" s="2" t="s">
        <v>1</v>
      </c>
    </row>
    <row r="40" spans="1:23" x14ac:dyDescent="0.2">
      <c r="A40" s="2">
        <v>37</v>
      </c>
      <c r="B40" s="2" t="s">
        <v>1868</v>
      </c>
      <c r="C40" s="19">
        <v>31979</v>
      </c>
      <c r="D40" s="2">
        <v>1900</v>
      </c>
      <c r="E40" s="2">
        <v>564</v>
      </c>
      <c r="F40" s="2">
        <v>98</v>
      </c>
      <c r="G40" s="2">
        <v>1699</v>
      </c>
      <c r="H40" s="2">
        <v>357</v>
      </c>
      <c r="I40" s="2">
        <v>344</v>
      </c>
      <c r="J40" s="2">
        <v>478</v>
      </c>
      <c r="K40" s="2">
        <v>297</v>
      </c>
      <c r="L40" s="2">
        <v>240</v>
      </c>
      <c r="M40" s="2">
        <v>109</v>
      </c>
      <c r="N40" s="2">
        <v>33</v>
      </c>
      <c r="O40" s="4">
        <v>843</v>
      </c>
      <c r="P40" s="4">
        <v>28100</v>
      </c>
      <c r="Q40" s="4">
        <v>503</v>
      </c>
      <c r="R40" s="4">
        <v>433</v>
      </c>
      <c r="S40" s="4">
        <v>98</v>
      </c>
      <c r="T40" s="4">
        <v>74</v>
      </c>
      <c r="U40" s="4">
        <v>122</v>
      </c>
      <c r="W40" s="2" t="s">
        <v>1</v>
      </c>
    </row>
    <row r="41" spans="1:23" x14ac:dyDescent="0.2">
      <c r="A41" s="2">
        <v>38</v>
      </c>
      <c r="B41" s="2" t="s">
        <v>1869</v>
      </c>
      <c r="C41" s="19">
        <v>31980</v>
      </c>
      <c r="D41" s="8" t="s">
        <v>1039</v>
      </c>
      <c r="E41" s="2">
        <v>588</v>
      </c>
      <c r="F41" s="2">
        <v>158</v>
      </c>
      <c r="G41" s="2">
        <v>1721</v>
      </c>
      <c r="H41" s="2">
        <v>358</v>
      </c>
      <c r="I41" s="2">
        <v>344</v>
      </c>
      <c r="J41" s="2">
        <v>500</v>
      </c>
      <c r="K41" s="2">
        <v>302</v>
      </c>
      <c r="L41" s="2">
        <v>265</v>
      </c>
      <c r="M41" s="2">
        <v>109</v>
      </c>
      <c r="N41" s="2">
        <v>85</v>
      </c>
      <c r="O41" s="2">
        <v>1360</v>
      </c>
      <c r="P41" s="2">
        <v>25800</v>
      </c>
      <c r="Q41" s="2">
        <v>488</v>
      </c>
      <c r="R41" s="2">
        <v>1160</v>
      </c>
      <c r="S41" s="2">
        <v>140</v>
      </c>
      <c r="T41" s="2">
        <v>208</v>
      </c>
      <c r="U41" s="2">
        <v>382</v>
      </c>
      <c r="W41" s="2" t="s">
        <v>1</v>
      </c>
    </row>
    <row r="42" spans="1:23" x14ac:dyDescent="0.2">
      <c r="A42" s="2">
        <v>39</v>
      </c>
      <c r="B42" s="2" t="s">
        <v>1870</v>
      </c>
      <c r="C42" s="19">
        <v>31980</v>
      </c>
      <c r="D42" s="2">
        <v>1100</v>
      </c>
      <c r="E42" s="2">
        <v>542</v>
      </c>
      <c r="F42" s="2">
        <v>134</v>
      </c>
      <c r="G42" s="2">
        <v>1716</v>
      </c>
      <c r="H42" s="2">
        <v>479</v>
      </c>
      <c r="I42" s="2">
        <v>347</v>
      </c>
      <c r="J42" s="2">
        <v>505</v>
      </c>
      <c r="K42" s="2">
        <v>361</v>
      </c>
      <c r="L42" s="2">
        <v>274</v>
      </c>
      <c r="M42" s="2">
        <v>108</v>
      </c>
      <c r="O42" s="4">
        <v>1570</v>
      </c>
      <c r="P42" s="4">
        <v>645000</v>
      </c>
      <c r="Q42" s="4">
        <v>1940</v>
      </c>
      <c r="R42" s="4">
        <v>1020</v>
      </c>
      <c r="S42" s="4">
        <v>138</v>
      </c>
      <c r="T42" s="4">
        <v>197</v>
      </c>
      <c r="U42" s="4">
        <v>236</v>
      </c>
      <c r="W42" s="2" t="s">
        <v>1</v>
      </c>
    </row>
    <row r="43" spans="1:23" x14ac:dyDescent="0.2">
      <c r="A43" s="2">
        <v>40</v>
      </c>
      <c r="B43" s="2" t="s">
        <v>1843</v>
      </c>
      <c r="C43" s="19">
        <v>31980</v>
      </c>
      <c r="D43" s="2">
        <v>1900</v>
      </c>
      <c r="E43" s="2">
        <v>550</v>
      </c>
      <c r="F43" s="2">
        <v>128</v>
      </c>
      <c r="G43" s="2">
        <v>1719</v>
      </c>
      <c r="H43" s="2">
        <v>356</v>
      </c>
      <c r="I43" s="2">
        <v>344</v>
      </c>
      <c r="J43" s="2">
        <v>491</v>
      </c>
      <c r="K43" s="2">
        <v>313</v>
      </c>
      <c r="L43" s="2">
        <v>274</v>
      </c>
      <c r="M43" s="2">
        <v>107</v>
      </c>
      <c r="N43" s="2">
        <v>49</v>
      </c>
      <c r="O43" s="2">
        <v>1160</v>
      </c>
      <c r="P43" s="2">
        <v>25800</v>
      </c>
      <c r="Q43" s="2">
        <v>268</v>
      </c>
      <c r="R43" s="2">
        <v>643</v>
      </c>
      <c r="S43" s="2">
        <v>75</v>
      </c>
      <c r="T43" s="2">
        <v>105</v>
      </c>
      <c r="U43" s="2">
        <v>159</v>
      </c>
      <c r="W43" s="2" t="s">
        <v>1</v>
      </c>
    </row>
    <row r="44" spans="1:23" x14ac:dyDescent="0.2">
      <c r="A44" s="2">
        <v>41</v>
      </c>
      <c r="B44" s="2" t="s">
        <v>1844</v>
      </c>
      <c r="C44" s="19">
        <v>31981</v>
      </c>
      <c r="D44" s="8" t="s">
        <v>1039</v>
      </c>
      <c r="E44" s="2">
        <v>547</v>
      </c>
      <c r="F44" s="2">
        <v>122</v>
      </c>
      <c r="G44" s="2">
        <v>1714</v>
      </c>
      <c r="H44" s="2">
        <v>355</v>
      </c>
      <c r="I44" s="2">
        <v>346</v>
      </c>
      <c r="J44" s="2">
        <v>478</v>
      </c>
      <c r="K44" s="2">
        <v>336</v>
      </c>
      <c r="L44" s="2">
        <v>243</v>
      </c>
      <c r="M44" s="2">
        <v>109</v>
      </c>
      <c r="N44" s="2">
        <v>44</v>
      </c>
      <c r="O44" s="2">
        <v>1110</v>
      </c>
      <c r="P44" s="2">
        <v>14000</v>
      </c>
      <c r="Q44" s="2">
        <v>267</v>
      </c>
      <c r="R44" s="2">
        <v>856</v>
      </c>
      <c r="S44" s="2">
        <v>109</v>
      </c>
      <c r="T44" s="2">
        <v>91</v>
      </c>
      <c r="U44" s="2">
        <v>154</v>
      </c>
      <c r="W44" s="2" t="s">
        <v>1</v>
      </c>
    </row>
    <row r="45" spans="1:23" x14ac:dyDescent="0.2">
      <c r="A45" s="2">
        <v>43</v>
      </c>
      <c r="B45" s="2" t="s">
        <v>1842</v>
      </c>
      <c r="C45" s="19">
        <v>31981</v>
      </c>
      <c r="D45" s="2">
        <v>1900</v>
      </c>
      <c r="E45" s="2">
        <v>562</v>
      </c>
      <c r="F45" s="2">
        <v>124</v>
      </c>
      <c r="G45" s="2">
        <v>1708</v>
      </c>
      <c r="H45" s="2">
        <v>356</v>
      </c>
      <c r="I45" s="2">
        <v>344</v>
      </c>
      <c r="J45" s="2">
        <v>483</v>
      </c>
      <c r="K45" s="2">
        <v>298</v>
      </c>
      <c r="L45" s="2">
        <v>268</v>
      </c>
      <c r="M45" s="2">
        <v>104</v>
      </c>
      <c r="N45" s="2">
        <v>39</v>
      </c>
      <c r="O45" s="2">
        <v>996</v>
      </c>
      <c r="P45" s="2">
        <v>26600</v>
      </c>
      <c r="Q45" s="2">
        <v>276</v>
      </c>
      <c r="R45" s="2">
        <v>593</v>
      </c>
      <c r="S45" s="2">
        <v>79</v>
      </c>
      <c r="T45" s="2">
        <v>72</v>
      </c>
      <c r="U45" s="2">
        <v>116</v>
      </c>
      <c r="W45" s="2" t="s">
        <v>1</v>
      </c>
    </row>
    <row r="46" spans="1:23" x14ac:dyDescent="0.2">
      <c r="A46" s="2">
        <v>44</v>
      </c>
      <c r="B46" s="2" t="s">
        <v>1871</v>
      </c>
      <c r="C46" s="19">
        <v>31982</v>
      </c>
      <c r="D46" s="8" t="s">
        <v>1039</v>
      </c>
      <c r="E46" s="2">
        <v>578</v>
      </c>
      <c r="F46" s="2">
        <v>142</v>
      </c>
      <c r="G46" s="2">
        <v>1717</v>
      </c>
      <c r="H46" s="2">
        <v>357</v>
      </c>
      <c r="I46" s="2">
        <v>343</v>
      </c>
      <c r="J46" s="2">
        <v>487</v>
      </c>
      <c r="K46" s="2">
        <v>305</v>
      </c>
      <c r="L46" s="2">
        <v>287</v>
      </c>
      <c r="M46" s="2">
        <v>100</v>
      </c>
      <c r="N46" s="2">
        <v>55</v>
      </c>
      <c r="O46" s="2">
        <v>1050</v>
      </c>
      <c r="P46" s="2">
        <v>56000</v>
      </c>
      <c r="Q46" s="2">
        <v>352</v>
      </c>
      <c r="R46" s="2">
        <v>674</v>
      </c>
      <c r="S46" s="2">
        <v>173</v>
      </c>
      <c r="T46" s="2">
        <v>112</v>
      </c>
      <c r="U46" s="2">
        <v>201</v>
      </c>
    </row>
    <row r="47" spans="1:23" x14ac:dyDescent="0.2">
      <c r="A47" s="2">
        <v>45</v>
      </c>
      <c r="B47" s="2" t="s">
        <v>1391</v>
      </c>
      <c r="C47" s="19">
        <v>31982</v>
      </c>
      <c r="D47" s="2">
        <v>1100</v>
      </c>
      <c r="E47" s="2">
        <v>526</v>
      </c>
      <c r="F47" s="2">
        <v>105</v>
      </c>
      <c r="G47" s="2">
        <v>1688</v>
      </c>
      <c r="H47" s="2">
        <v>360</v>
      </c>
      <c r="I47" s="2">
        <v>341</v>
      </c>
      <c r="J47" s="2">
        <v>451</v>
      </c>
      <c r="K47" s="2">
        <v>289</v>
      </c>
      <c r="L47" s="2">
        <v>194</v>
      </c>
      <c r="M47" s="2">
        <v>105</v>
      </c>
      <c r="O47" s="2">
        <v>883</v>
      </c>
      <c r="P47" s="2">
        <v>16900</v>
      </c>
      <c r="Q47" s="2">
        <v>2190</v>
      </c>
      <c r="R47" s="2">
        <v>1140</v>
      </c>
      <c r="S47" s="2">
        <v>350</v>
      </c>
      <c r="T47" s="2">
        <v>242</v>
      </c>
      <c r="U47" s="2">
        <v>751</v>
      </c>
    </row>
    <row r="48" spans="1:23" x14ac:dyDescent="0.2">
      <c r="A48" s="2">
        <v>46</v>
      </c>
      <c r="B48" s="2" t="s">
        <v>1056</v>
      </c>
      <c r="C48" s="19">
        <v>31982</v>
      </c>
      <c r="D48" s="2">
        <v>1900</v>
      </c>
      <c r="E48" s="2">
        <v>567</v>
      </c>
      <c r="F48" s="2">
        <v>130</v>
      </c>
      <c r="G48" s="2">
        <v>1702</v>
      </c>
      <c r="H48" s="2">
        <v>359</v>
      </c>
      <c r="I48" s="2">
        <v>345</v>
      </c>
      <c r="J48" s="2">
        <v>485</v>
      </c>
      <c r="K48" s="2">
        <v>304</v>
      </c>
      <c r="L48" s="2">
        <v>273</v>
      </c>
      <c r="M48" s="2">
        <v>107</v>
      </c>
      <c r="N48" s="2">
        <v>33</v>
      </c>
      <c r="O48" s="2">
        <v>982</v>
      </c>
      <c r="P48" s="2">
        <v>25000</v>
      </c>
      <c r="Q48" s="2">
        <v>374</v>
      </c>
      <c r="R48" s="2">
        <v>667</v>
      </c>
      <c r="S48" s="2">
        <v>87</v>
      </c>
      <c r="T48" s="2">
        <v>105</v>
      </c>
      <c r="U48" s="2">
        <v>175</v>
      </c>
    </row>
    <row r="49" spans="1:21" x14ac:dyDescent="0.2">
      <c r="A49" s="2">
        <v>48</v>
      </c>
      <c r="B49" s="2" t="s">
        <v>1872</v>
      </c>
      <c r="C49" s="19">
        <v>31983</v>
      </c>
      <c r="D49" s="2">
        <v>1100</v>
      </c>
      <c r="E49" s="2">
        <v>556</v>
      </c>
      <c r="F49" s="2">
        <v>101</v>
      </c>
      <c r="G49" s="2">
        <v>1688</v>
      </c>
      <c r="H49" s="2">
        <v>359</v>
      </c>
      <c r="I49" s="2">
        <v>343</v>
      </c>
      <c r="J49" s="2">
        <v>451</v>
      </c>
      <c r="K49" s="2">
        <v>293</v>
      </c>
      <c r="L49" s="2">
        <v>184</v>
      </c>
      <c r="M49" s="2">
        <v>105</v>
      </c>
      <c r="O49" s="2">
        <v>824</v>
      </c>
      <c r="P49" s="2">
        <v>11400</v>
      </c>
      <c r="Q49" s="2">
        <v>215</v>
      </c>
      <c r="R49" s="2">
        <v>1340</v>
      </c>
      <c r="S49" s="2">
        <v>159</v>
      </c>
      <c r="T49" s="2">
        <v>91</v>
      </c>
      <c r="U49" s="2">
        <v>151</v>
      </c>
    </row>
    <row r="50" spans="1:21" x14ac:dyDescent="0.2">
      <c r="A50" s="2">
        <v>49</v>
      </c>
      <c r="B50" s="2" t="s">
        <v>1873</v>
      </c>
      <c r="C50" s="19">
        <v>31983</v>
      </c>
      <c r="D50" s="2">
        <v>1900</v>
      </c>
      <c r="E50" s="2">
        <v>548</v>
      </c>
      <c r="F50" s="2">
        <v>81</v>
      </c>
      <c r="G50" s="2">
        <v>1673</v>
      </c>
      <c r="H50" s="2">
        <v>360</v>
      </c>
      <c r="I50" s="2">
        <v>343</v>
      </c>
      <c r="J50" s="2">
        <v>470</v>
      </c>
      <c r="K50" s="2">
        <v>346</v>
      </c>
      <c r="L50" s="2">
        <v>188</v>
      </c>
      <c r="M50" s="2">
        <v>111</v>
      </c>
      <c r="N50" s="2">
        <v>14</v>
      </c>
      <c r="O50" s="2">
        <v>667</v>
      </c>
      <c r="P50" s="2">
        <v>23400</v>
      </c>
      <c r="Q50" s="2">
        <v>154</v>
      </c>
      <c r="R50" s="2">
        <v>386</v>
      </c>
      <c r="S50" s="2">
        <v>75</v>
      </c>
      <c r="T50" s="2">
        <v>43</v>
      </c>
      <c r="U50" s="2">
        <v>59</v>
      </c>
    </row>
    <row r="51" spans="1:21" x14ac:dyDescent="0.2">
      <c r="A51" s="2">
        <v>50</v>
      </c>
      <c r="B51" s="2" t="s">
        <v>1874</v>
      </c>
      <c r="C51" s="19">
        <v>31984</v>
      </c>
      <c r="D51" s="8" t="s">
        <v>1039</v>
      </c>
      <c r="E51" s="2">
        <v>539</v>
      </c>
      <c r="F51" s="2">
        <v>95</v>
      </c>
      <c r="G51" s="2">
        <v>1684</v>
      </c>
      <c r="H51" s="2">
        <v>360</v>
      </c>
      <c r="I51" s="2">
        <v>345</v>
      </c>
      <c r="J51" s="2">
        <v>472</v>
      </c>
      <c r="K51" s="2">
        <v>292</v>
      </c>
      <c r="L51" s="2">
        <v>195</v>
      </c>
      <c r="M51" s="2">
        <v>111</v>
      </c>
      <c r="N51" s="2">
        <v>32</v>
      </c>
      <c r="O51" s="4">
        <v>877</v>
      </c>
      <c r="P51" s="4">
        <v>8050</v>
      </c>
      <c r="Q51" s="4">
        <v>448</v>
      </c>
      <c r="R51" s="4">
        <v>808</v>
      </c>
      <c r="S51" s="4">
        <v>142</v>
      </c>
      <c r="T51" s="4">
        <v>77</v>
      </c>
      <c r="U51" s="4">
        <v>144</v>
      </c>
    </row>
    <row r="52" spans="1:21" x14ac:dyDescent="0.2">
      <c r="A52" s="2">
        <v>51</v>
      </c>
      <c r="B52" s="2" t="s">
        <v>1875</v>
      </c>
      <c r="C52" s="19">
        <v>31984</v>
      </c>
      <c r="D52" s="2">
        <v>1100</v>
      </c>
      <c r="E52" s="2">
        <v>546</v>
      </c>
      <c r="F52" s="2">
        <v>92</v>
      </c>
      <c r="G52" s="2">
        <v>1683</v>
      </c>
      <c r="H52" s="2">
        <v>360</v>
      </c>
      <c r="I52" s="2">
        <v>342</v>
      </c>
      <c r="J52" s="2">
        <v>445</v>
      </c>
      <c r="K52" s="2">
        <v>283</v>
      </c>
      <c r="L52" s="2">
        <v>164</v>
      </c>
      <c r="M52" s="2">
        <v>105</v>
      </c>
      <c r="O52" s="2">
        <v>744</v>
      </c>
      <c r="P52" s="2">
        <v>9480</v>
      </c>
      <c r="Q52" s="2">
        <v>139</v>
      </c>
      <c r="R52" s="2">
        <v>1180</v>
      </c>
      <c r="S52" s="2">
        <v>237</v>
      </c>
      <c r="T52" s="2">
        <v>67</v>
      </c>
      <c r="U52" s="2">
        <v>108</v>
      </c>
    </row>
    <row r="53" spans="1:21" x14ac:dyDescent="0.2">
      <c r="A53" s="2">
        <v>52</v>
      </c>
      <c r="B53" s="2" t="s">
        <v>1045</v>
      </c>
      <c r="C53" s="19">
        <v>31984</v>
      </c>
      <c r="D53" s="2">
        <v>1900</v>
      </c>
      <c r="E53" s="2">
        <v>553</v>
      </c>
      <c r="F53" s="2">
        <v>88</v>
      </c>
      <c r="G53" s="2">
        <v>1681</v>
      </c>
      <c r="H53" s="2">
        <v>360</v>
      </c>
      <c r="I53" s="2">
        <v>345</v>
      </c>
      <c r="J53" s="2">
        <v>466</v>
      </c>
      <c r="K53" s="2">
        <v>283</v>
      </c>
      <c r="L53" s="2">
        <v>177</v>
      </c>
      <c r="M53" s="2">
        <v>102</v>
      </c>
      <c r="N53" s="2">
        <v>17</v>
      </c>
      <c r="O53" s="4">
        <v>818</v>
      </c>
      <c r="P53" s="4">
        <v>7800</v>
      </c>
      <c r="Q53" s="4">
        <v>304</v>
      </c>
      <c r="R53" s="4">
        <v>528</v>
      </c>
      <c r="S53" s="4">
        <v>196</v>
      </c>
      <c r="T53" s="4">
        <v>47</v>
      </c>
      <c r="U53" s="4">
        <v>84</v>
      </c>
    </row>
    <row r="54" spans="1:21" x14ac:dyDescent="0.2">
      <c r="A54" s="2">
        <v>53</v>
      </c>
      <c r="B54" s="2" t="s">
        <v>1046</v>
      </c>
      <c r="C54" s="19">
        <v>31985</v>
      </c>
      <c r="D54" s="8" t="s">
        <v>1039</v>
      </c>
      <c r="E54" s="2">
        <v>544</v>
      </c>
      <c r="F54" s="2">
        <v>80</v>
      </c>
      <c r="G54" s="2">
        <v>1682</v>
      </c>
      <c r="H54" s="2">
        <v>360</v>
      </c>
      <c r="I54" s="2">
        <v>343</v>
      </c>
      <c r="J54" s="2">
        <v>461</v>
      </c>
      <c r="K54" s="2">
        <v>297</v>
      </c>
      <c r="L54" s="2">
        <v>178</v>
      </c>
      <c r="M54" s="2">
        <v>110</v>
      </c>
      <c r="N54" s="2">
        <v>33</v>
      </c>
      <c r="O54" s="4">
        <v>711</v>
      </c>
      <c r="P54" s="4">
        <v>31800</v>
      </c>
      <c r="Q54" s="4">
        <v>510</v>
      </c>
      <c r="R54" s="4">
        <v>264</v>
      </c>
      <c r="S54" s="4">
        <v>136</v>
      </c>
      <c r="T54" s="4">
        <v>45</v>
      </c>
      <c r="U54" s="4">
        <v>98</v>
      </c>
    </row>
    <row r="55" spans="1:21" x14ac:dyDescent="0.2">
      <c r="A55" s="2">
        <v>54</v>
      </c>
      <c r="B55" s="2" t="s">
        <v>1047</v>
      </c>
      <c r="C55" s="19">
        <v>31985</v>
      </c>
      <c r="D55" s="2">
        <v>1100</v>
      </c>
      <c r="E55" s="2">
        <v>638</v>
      </c>
      <c r="F55" s="2">
        <v>72</v>
      </c>
      <c r="G55" s="2">
        <v>1674</v>
      </c>
      <c r="H55" s="2">
        <v>360</v>
      </c>
      <c r="I55" s="2">
        <v>341</v>
      </c>
      <c r="J55" s="2">
        <v>460</v>
      </c>
      <c r="K55" s="2">
        <v>274</v>
      </c>
      <c r="L55" s="2">
        <v>155</v>
      </c>
      <c r="M55" s="2">
        <v>113</v>
      </c>
      <c r="N55" s="2">
        <v>17</v>
      </c>
      <c r="O55" s="2">
        <v>746</v>
      </c>
      <c r="P55" s="2">
        <v>9300</v>
      </c>
      <c r="Q55" s="2">
        <v>687</v>
      </c>
      <c r="R55" s="2">
        <v>1530</v>
      </c>
      <c r="S55" s="2">
        <v>269</v>
      </c>
      <c r="T55" s="2">
        <v>91</v>
      </c>
      <c r="U55" s="2">
        <v>205</v>
      </c>
    </row>
    <row r="56" spans="1:21" x14ac:dyDescent="0.2">
      <c r="A56" s="2">
        <v>55</v>
      </c>
      <c r="B56" s="2" t="s">
        <v>1048</v>
      </c>
      <c r="C56" s="19">
        <v>31985</v>
      </c>
      <c r="D56" s="2">
        <v>1900</v>
      </c>
      <c r="E56" s="2">
        <v>608</v>
      </c>
      <c r="F56" s="2">
        <v>75</v>
      </c>
      <c r="G56" s="2">
        <v>1680</v>
      </c>
      <c r="H56" s="2">
        <v>363</v>
      </c>
      <c r="I56" s="2">
        <v>343</v>
      </c>
      <c r="J56" s="2">
        <v>488</v>
      </c>
      <c r="K56" s="2">
        <v>265</v>
      </c>
      <c r="L56" s="2">
        <v>170</v>
      </c>
      <c r="M56" s="2">
        <v>100</v>
      </c>
      <c r="O56" s="2">
        <v>840</v>
      </c>
      <c r="P56" s="2">
        <v>143000</v>
      </c>
      <c r="Q56" s="2">
        <v>642</v>
      </c>
      <c r="R56" s="2">
        <v>693</v>
      </c>
      <c r="S56" s="2">
        <v>454</v>
      </c>
      <c r="T56" s="2">
        <v>62</v>
      </c>
      <c r="U56" s="2">
        <v>2140</v>
      </c>
    </row>
    <row r="57" spans="1:21" x14ac:dyDescent="0.2">
      <c r="A57" s="2">
        <v>57</v>
      </c>
      <c r="B57" s="2" t="s">
        <v>333</v>
      </c>
      <c r="C57" s="19">
        <v>31986</v>
      </c>
      <c r="D57" s="2">
        <v>1100</v>
      </c>
      <c r="E57" s="2">
        <v>592</v>
      </c>
      <c r="F57" s="2">
        <v>101</v>
      </c>
      <c r="G57" s="2">
        <v>1688</v>
      </c>
      <c r="H57" s="2">
        <v>357</v>
      </c>
      <c r="I57" s="2">
        <v>354</v>
      </c>
      <c r="J57" s="2">
        <v>502</v>
      </c>
      <c r="K57" s="2">
        <v>268</v>
      </c>
      <c r="L57" s="2">
        <v>206</v>
      </c>
      <c r="M57" s="2">
        <v>105</v>
      </c>
      <c r="O57" s="2">
        <v>3020</v>
      </c>
      <c r="P57" s="2">
        <v>1510000</v>
      </c>
      <c r="Q57" s="2">
        <v>212</v>
      </c>
      <c r="R57" s="2">
        <v>479</v>
      </c>
      <c r="S57" s="2">
        <v>335</v>
      </c>
      <c r="T57" s="2">
        <v>281</v>
      </c>
      <c r="U57" s="2">
        <v>318</v>
      </c>
    </row>
    <row r="58" spans="1:21" x14ac:dyDescent="0.2">
      <c r="A58" s="2">
        <v>58</v>
      </c>
      <c r="B58" s="2" t="s">
        <v>1049</v>
      </c>
      <c r="C58" s="19">
        <v>31986</v>
      </c>
      <c r="D58" s="2">
        <v>1900</v>
      </c>
      <c r="E58" s="2">
        <v>522</v>
      </c>
      <c r="F58" s="2">
        <v>106</v>
      </c>
      <c r="G58" s="2">
        <v>1722</v>
      </c>
      <c r="H58" s="2">
        <v>385</v>
      </c>
      <c r="I58" s="2">
        <v>344</v>
      </c>
      <c r="J58" s="2">
        <v>510</v>
      </c>
      <c r="K58" s="2">
        <v>274</v>
      </c>
      <c r="L58" s="2">
        <v>215</v>
      </c>
      <c r="M58" s="2">
        <v>100</v>
      </c>
      <c r="O58" s="2">
        <v>2160</v>
      </c>
      <c r="P58" s="2">
        <v>653000</v>
      </c>
      <c r="Q58" s="2">
        <v>1050</v>
      </c>
      <c r="R58" s="2">
        <v>2890</v>
      </c>
      <c r="S58" s="2">
        <v>450</v>
      </c>
      <c r="T58" s="2">
        <v>3220</v>
      </c>
      <c r="U58" s="2">
        <v>1730</v>
      </c>
    </row>
    <row r="59" spans="1:21" x14ac:dyDescent="0.2">
      <c r="A59" s="2">
        <v>60</v>
      </c>
      <c r="B59" s="2" t="s">
        <v>1862</v>
      </c>
      <c r="C59" s="19">
        <v>31987</v>
      </c>
      <c r="D59" s="2">
        <v>1100</v>
      </c>
      <c r="E59" s="2">
        <v>570</v>
      </c>
      <c r="F59" s="2">
        <v>94</v>
      </c>
      <c r="G59" s="2">
        <v>1685</v>
      </c>
      <c r="H59" s="2">
        <v>361</v>
      </c>
      <c r="I59" s="2">
        <v>344</v>
      </c>
      <c r="J59" s="2">
        <v>485</v>
      </c>
      <c r="K59" s="2">
        <v>289</v>
      </c>
      <c r="L59" s="2">
        <v>202</v>
      </c>
      <c r="M59" s="2">
        <v>109</v>
      </c>
      <c r="N59" s="2">
        <v>34</v>
      </c>
      <c r="O59" s="4">
        <v>735</v>
      </c>
      <c r="P59" s="4">
        <v>29800</v>
      </c>
      <c r="Q59" s="4">
        <v>732</v>
      </c>
      <c r="R59" s="4">
        <v>536</v>
      </c>
      <c r="S59" s="4">
        <v>119</v>
      </c>
      <c r="T59" s="4">
        <v>56</v>
      </c>
      <c r="U59" s="4">
        <v>89</v>
      </c>
    </row>
    <row r="60" spans="1:21" x14ac:dyDescent="0.2">
      <c r="A60" s="2">
        <v>61</v>
      </c>
      <c r="B60" s="2" t="s">
        <v>1864</v>
      </c>
      <c r="C60" s="19">
        <v>31987</v>
      </c>
      <c r="D60" s="2">
        <v>1900</v>
      </c>
      <c r="E60" s="2">
        <v>546</v>
      </c>
      <c r="F60" s="2">
        <v>92</v>
      </c>
      <c r="G60" s="2">
        <v>1675</v>
      </c>
      <c r="H60" s="2">
        <v>360</v>
      </c>
      <c r="I60" s="2">
        <v>344</v>
      </c>
      <c r="J60" s="2">
        <v>471</v>
      </c>
      <c r="K60" s="2">
        <v>290</v>
      </c>
      <c r="L60" s="2">
        <v>222</v>
      </c>
      <c r="M60" s="2">
        <v>109</v>
      </c>
      <c r="N60" s="2">
        <v>23</v>
      </c>
      <c r="O60" s="4">
        <v>627</v>
      </c>
      <c r="P60" s="4">
        <v>21200</v>
      </c>
      <c r="Q60" s="4">
        <v>341</v>
      </c>
      <c r="R60" s="4">
        <v>271</v>
      </c>
      <c r="S60" s="4">
        <v>104</v>
      </c>
      <c r="T60" s="4">
        <v>41</v>
      </c>
      <c r="U60" s="4">
        <v>70</v>
      </c>
    </row>
    <row r="61" spans="1:21" x14ac:dyDescent="0.2">
      <c r="A61" s="2">
        <v>62</v>
      </c>
      <c r="B61" s="2" t="s">
        <v>1058</v>
      </c>
      <c r="C61" s="19">
        <v>31988</v>
      </c>
      <c r="D61" s="8" t="s">
        <v>1039</v>
      </c>
      <c r="E61" s="2">
        <v>556</v>
      </c>
      <c r="F61" s="2">
        <v>98</v>
      </c>
      <c r="G61" s="2">
        <v>1681</v>
      </c>
      <c r="H61" s="2">
        <v>360</v>
      </c>
      <c r="I61" s="2">
        <v>345</v>
      </c>
      <c r="J61" s="2">
        <v>482</v>
      </c>
      <c r="K61" s="2">
        <v>291</v>
      </c>
      <c r="L61" s="2">
        <v>220</v>
      </c>
      <c r="M61" s="2">
        <v>111</v>
      </c>
      <c r="N61" s="2">
        <v>29</v>
      </c>
      <c r="O61" s="4">
        <v>751</v>
      </c>
      <c r="P61" s="4">
        <v>40800</v>
      </c>
      <c r="Q61" s="4">
        <v>764</v>
      </c>
      <c r="R61" s="4">
        <v>720</v>
      </c>
      <c r="S61" s="4">
        <v>116</v>
      </c>
      <c r="T61" s="4">
        <v>67</v>
      </c>
      <c r="U61" s="4">
        <v>130</v>
      </c>
    </row>
    <row r="62" spans="1:21" x14ac:dyDescent="0.2">
      <c r="A62" s="2">
        <v>63</v>
      </c>
      <c r="B62" s="2" t="s">
        <v>1051</v>
      </c>
      <c r="C62" s="19">
        <v>31988</v>
      </c>
      <c r="D62" s="2">
        <v>1100</v>
      </c>
      <c r="E62" s="2">
        <v>531</v>
      </c>
      <c r="F62" s="2">
        <v>83</v>
      </c>
      <c r="G62" s="2">
        <v>1676</v>
      </c>
      <c r="H62" s="2">
        <v>360</v>
      </c>
      <c r="I62" s="2">
        <v>345</v>
      </c>
      <c r="J62" s="2">
        <v>481</v>
      </c>
      <c r="K62" s="2">
        <v>272</v>
      </c>
      <c r="L62" s="2">
        <v>198</v>
      </c>
      <c r="M62" s="2">
        <v>109</v>
      </c>
      <c r="N62" s="2">
        <v>30</v>
      </c>
      <c r="O62" s="4">
        <v>704</v>
      </c>
      <c r="P62" s="4">
        <v>27500</v>
      </c>
      <c r="Q62" s="4">
        <v>993</v>
      </c>
      <c r="R62" s="4">
        <v>794</v>
      </c>
      <c r="S62" s="4">
        <v>227</v>
      </c>
      <c r="T62" s="4">
        <v>121</v>
      </c>
      <c r="U62" s="4">
        <v>360</v>
      </c>
    </row>
    <row r="63" spans="1:21" x14ac:dyDescent="0.2">
      <c r="A63" s="2">
        <v>64</v>
      </c>
      <c r="B63" s="2" t="s">
        <v>1876</v>
      </c>
      <c r="C63" s="19">
        <v>31988</v>
      </c>
      <c r="D63" s="2">
        <v>1900</v>
      </c>
      <c r="E63" s="2">
        <v>555</v>
      </c>
      <c r="F63" s="2">
        <v>90</v>
      </c>
      <c r="G63" s="2">
        <v>1674</v>
      </c>
      <c r="H63" s="2">
        <v>361</v>
      </c>
      <c r="I63" s="2">
        <v>346</v>
      </c>
      <c r="J63" s="2">
        <v>468</v>
      </c>
      <c r="K63" s="2">
        <v>260</v>
      </c>
      <c r="L63" s="2">
        <v>212</v>
      </c>
      <c r="M63" s="2">
        <v>108</v>
      </c>
      <c r="N63" s="2">
        <v>23</v>
      </c>
      <c r="O63" s="2">
        <v>663</v>
      </c>
      <c r="P63" s="2">
        <v>25000</v>
      </c>
      <c r="Q63" s="2">
        <v>185</v>
      </c>
      <c r="R63" s="2">
        <v>473</v>
      </c>
      <c r="S63" s="2">
        <v>115</v>
      </c>
      <c r="T63" s="2">
        <v>69</v>
      </c>
      <c r="U63" s="2">
        <v>121</v>
      </c>
    </row>
    <row r="64" spans="1:21" x14ac:dyDescent="0.2">
      <c r="A64" s="2">
        <v>65</v>
      </c>
      <c r="B64" s="2" t="s">
        <v>1813</v>
      </c>
      <c r="C64" s="19">
        <v>31989</v>
      </c>
      <c r="D64" s="8" t="s">
        <v>1039</v>
      </c>
      <c r="E64" s="2">
        <v>526</v>
      </c>
      <c r="F64" s="2">
        <v>96</v>
      </c>
      <c r="G64" s="2">
        <v>1679</v>
      </c>
      <c r="H64" s="2">
        <v>362</v>
      </c>
      <c r="I64" s="2">
        <v>347</v>
      </c>
      <c r="J64" s="2">
        <v>466</v>
      </c>
      <c r="K64" s="2">
        <v>263</v>
      </c>
      <c r="L64" s="2">
        <v>189</v>
      </c>
      <c r="M64" s="2">
        <v>112</v>
      </c>
      <c r="O64" s="2">
        <v>727</v>
      </c>
      <c r="P64" s="2">
        <v>6470</v>
      </c>
      <c r="Q64" s="2">
        <v>236</v>
      </c>
      <c r="R64" s="2">
        <v>1360</v>
      </c>
      <c r="S64" s="2">
        <v>127</v>
      </c>
      <c r="T64" s="2">
        <v>115</v>
      </c>
      <c r="U64" s="2">
        <v>236</v>
      </c>
    </row>
    <row r="65" spans="1:21" x14ac:dyDescent="0.2">
      <c r="A65" s="2">
        <v>66</v>
      </c>
      <c r="B65" s="2" t="s">
        <v>1877</v>
      </c>
      <c r="C65" s="19">
        <v>31989</v>
      </c>
      <c r="D65" s="2">
        <v>1100</v>
      </c>
      <c r="E65" s="2">
        <v>525</v>
      </c>
      <c r="F65" s="2">
        <v>82</v>
      </c>
      <c r="G65" s="2">
        <v>1675</v>
      </c>
      <c r="H65" s="2">
        <v>360</v>
      </c>
      <c r="I65" s="2">
        <v>340</v>
      </c>
      <c r="J65" s="2">
        <v>470</v>
      </c>
      <c r="K65" s="2">
        <v>261</v>
      </c>
      <c r="L65" s="2">
        <v>207</v>
      </c>
      <c r="M65" s="2">
        <v>110</v>
      </c>
      <c r="N65" s="2">
        <v>32</v>
      </c>
      <c r="O65" s="2">
        <v>793</v>
      </c>
      <c r="P65" s="2">
        <v>25300</v>
      </c>
      <c r="Q65" s="2">
        <v>679</v>
      </c>
      <c r="R65" s="2">
        <v>725</v>
      </c>
      <c r="S65" s="2">
        <v>156</v>
      </c>
      <c r="T65" s="2">
        <v>114</v>
      </c>
      <c r="U65" s="2">
        <v>310</v>
      </c>
    </row>
    <row r="66" spans="1:21" x14ac:dyDescent="0.2">
      <c r="A66" s="2">
        <v>67</v>
      </c>
      <c r="B66" s="2" t="s">
        <v>1878</v>
      </c>
      <c r="C66" s="19">
        <v>31989</v>
      </c>
      <c r="D66" s="2">
        <v>1900</v>
      </c>
      <c r="E66" s="2">
        <v>636</v>
      </c>
      <c r="F66" s="2">
        <v>94</v>
      </c>
      <c r="G66" s="2">
        <v>1664</v>
      </c>
      <c r="H66" s="2">
        <v>359</v>
      </c>
      <c r="I66" s="2">
        <v>346</v>
      </c>
      <c r="J66" s="2">
        <v>489</v>
      </c>
      <c r="K66" s="2">
        <v>295</v>
      </c>
      <c r="L66" s="2">
        <v>218</v>
      </c>
      <c r="M66" s="2">
        <v>112</v>
      </c>
      <c r="N66" s="2">
        <v>34</v>
      </c>
      <c r="O66" s="2">
        <v>778</v>
      </c>
      <c r="P66" s="2">
        <v>37000</v>
      </c>
      <c r="Q66" s="2">
        <v>621</v>
      </c>
      <c r="R66" s="2">
        <v>627</v>
      </c>
      <c r="S66" s="2">
        <v>214</v>
      </c>
      <c r="T66" s="2">
        <v>72</v>
      </c>
      <c r="U66" s="2">
        <v>690</v>
      </c>
    </row>
    <row r="67" spans="1:21" x14ac:dyDescent="0.2">
      <c r="A67" s="2">
        <v>68</v>
      </c>
      <c r="B67" s="2" t="s">
        <v>1879</v>
      </c>
      <c r="C67" s="19">
        <v>31990</v>
      </c>
      <c r="D67" s="8" t="s">
        <v>1039</v>
      </c>
      <c r="E67" s="2">
        <v>596</v>
      </c>
      <c r="F67" s="2">
        <v>96</v>
      </c>
      <c r="G67" s="2">
        <v>1693</v>
      </c>
      <c r="H67" s="2">
        <v>361</v>
      </c>
      <c r="I67" s="2">
        <v>346</v>
      </c>
      <c r="J67" s="2">
        <v>486</v>
      </c>
      <c r="K67" s="2">
        <v>290</v>
      </c>
      <c r="L67" s="2">
        <v>224</v>
      </c>
      <c r="M67" s="2">
        <v>109</v>
      </c>
      <c r="N67" s="2">
        <v>72</v>
      </c>
      <c r="O67" s="2">
        <v>887</v>
      </c>
      <c r="P67" s="2">
        <v>27900</v>
      </c>
      <c r="Q67" s="2">
        <v>557</v>
      </c>
      <c r="R67" s="2">
        <v>1040</v>
      </c>
      <c r="S67" s="2">
        <v>233</v>
      </c>
      <c r="T67" s="2">
        <v>153</v>
      </c>
      <c r="U67" s="2">
        <v>347</v>
      </c>
    </row>
    <row r="68" spans="1:21" x14ac:dyDescent="0.2">
      <c r="A68" s="2">
        <v>69</v>
      </c>
      <c r="B68" s="2" t="s">
        <v>1880</v>
      </c>
      <c r="C68" s="19">
        <v>31990</v>
      </c>
      <c r="D68" s="2">
        <v>1100</v>
      </c>
      <c r="E68" s="2">
        <v>589</v>
      </c>
      <c r="F68" s="2">
        <v>90</v>
      </c>
      <c r="G68" s="2">
        <v>1674</v>
      </c>
      <c r="H68" s="2">
        <v>360</v>
      </c>
      <c r="I68" s="2">
        <v>342</v>
      </c>
      <c r="J68" s="2">
        <v>476</v>
      </c>
      <c r="K68" s="2">
        <v>275</v>
      </c>
      <c r="L68" s="2">
        <v>201</v>
      </c>
      <c r="M68" s="2">
        <v>108</v>
      </c>
      <c r="N68" s="2">
        <v>37</v>
      </c>
      <c r="O68" s="2">
        <v>790</v>
      </c>
      <c r="P68" s="2">
        <v>20100</v>
      </c>
      <c r="Q68" s="2">
        <v>1200</v>
      </c>
      <c r="R68" s="2">
        <v>1240</v>
      </c>
      <c r="S68" s="2">
        <v>418</v>
      </c>
      <c r="T68" s="2">
        <v>161</v>
      </c>
      <c r="U68" s="2">
        <v>472</v>
      </c>
    </row>
    <row r="69" spans="1:21" x14ac:dyDescent="0.2">
      <c r="A69" s="2">
        <v>70</v>
      </c>
      <c r="B69" s="2" t="s">
        <v>1881</v>
      </c>
      <c r="C69" s="19">
        <v>31990</v>
      </c>
      <c r="D69" s="2">
        <v>1900</v>
      </c>
      <c r="E69" s="2">
        <v>561</v>
      </c>
      <c r="F69" s="2">
        <v>90</v>
      </c>
      <c r="G69" s="2">
        <v>1665</v>
      </c>
      <c r="H69" s="2">
        <v>359</v>
      </c>
      <c r="I69" s="2">
        <v>345</v>
      </c>
      <c r="J69" s="2">
        <v>471</v>
      </c>
      <c r="K69" s="2">
        <v>277</v>
      </c>
      <c r="L69" s="2">
        <v>188</v>
      </c>
      <c r="M69" s="2">
        <v>110</v>
      </c>
      <c r="N69" s="2">
        <v>15</v>
      </c>
      <c r="O69" s="2">
        <v>684</v>
      </c>
      <c r="P69" s="2">
        <v>14000</v>
      </c>
      <c r="Q69" s="2">
        <v>201</v>
      </c>
      <c r="R69" s="2">
        <v>489</v>
      </c>
      <c r="S69" s="2">
        <v>71</v>
      </c>
      <c r="T69" s="2">
        <v>47</v>
      </c>
      <c r="U69" s="2">
        <v>73</v>
      </c>
    </row>
    <row r="70" spans="1:21" x14ac:dyDescent="0.2">
      <c r="A70" s="2">
        <v>71</v>
      </c>
      <c r="B70" s="2" t="s">
        <v>1882</v>
      </c>
      <c r="C70" s="19">
        <v>31991</v>
      </c>
      <c r="D70" s="8" t="s">
        <v>1039</v>
      </c>
      <c r="E70" s="2">
        <v>586</v>
      </c>
      <c r="F70" s="2">
        <v>94</v>
      </c>
      <c r="G70" s="2">
        <v>1674</v>
      </c>
      <c r="H70" s="2">
        <v>360</v>
      </c>
      <c r="I70" s="2">
        <v>342</v>
      </c>
      <c r="J70" s="2">
        <v>468</v>
      </c>
      <c r="K70" s="2">
        <v>281</v>
      </c>
      <c r="L70" s="2">
        <v>171</v>
      </c>
      <c r="M70" s="2">
        <v>103</v>
      </c>
      <c r="N70" s="2">
        <v>17</v>
      </c>
      <c r="O70" s="4">
        <v>595</v>
      </c>
      <c r="P70" s="4">
        <v>22200</v>
      </c>
      <c r="Q70" s="4">
        <v>469</v>
      </c>
      <c r="R70" s="4">
        <v>951</v>
      </c>
      <c r="S70" s="4">
        <v>134</v>
      </c>
      <c r="T70" s="4">
        <v>64</v>
      </c>
      <c r="U70" s="4">
        <v>106</v>
      </c>
    </row>
    <row r="71" spans="1:21" x14ac:dyDescent="0.2">
      <c r="A71" s="2">
        <v>72</v>
      </c>
      <c r="B71" s="2" t="s">
        <v>1416</v>
      </c>
      <c r="C71" s="19">
        <v>32007</v>
      </c>
      <c r="D71" s="2">
        <v>1900</v>
      </c>
      <c r="E71" s="2">
        <v>571</v>
      </c>
      <c r="F71" s="2">
        <v>106</v>
      </c>
      <c r="G71" s="2">
        <v>1677</v>
      </c>
      <c r="H71" s="2">
        <v>358</v>
      </c>
      <c r="I71" s="2">
        <v>347</v>
      </c>
      <c r="J71" s="2">
        <v>476</v>
      </c>
      <c r="K71" s="2">
        <v>295</v>
      </c>
      <c r="L71" s="2">
        <v>180</v>
      </c>
      <c r="M71" s="2">
        <v>109</v>
      </c>
      <c r="N71" s="2">
        <v>25</v>
      </c>
      <c r="O71" s="4">
        <v>719</v>
      </c>
      <c r="P71" s="4">
        <v>23500</v>
      </c>
      <c r="Q71" s="4">
        <v>519</v>
      </c>
      <c r="R71" s="4">
        <v>613</v>
      </c>
      <c r="S71" s="4">
        <v>147</v>
      </c>
      <c r="T71" s="4">
        <v>91</v>
      </c>
      <c r="U71" s="4">
        <v>154</v>
      </c>
    </row>
    <row r="72" spans="1:21" x14ac:dyDescent="0.2">
      <c r="A72" s="2">
        <v>73</v>
      </c>
      <c r="B72" s="2" t="s">
        <v>1417</v>
      </c>
      <c r="C72" s="19">
        <v>32008</v>
      </c>
      <c r="D72" s="2">
        <v>1100</v>
      </c>
      <c r="E72" s="2">
        <v>561</v>
      </c>
      <c r="F72" s="2">
        <v>105</v>
      </c>
      <c r="G72" s="2">
        <v>1686</v>
      </c>
      <c r="H72" s="2">
        <v>357</v>
      </c>
      <c r="I72" s="2">
        <v>340</v>
      </c>
      <c r="J72" s="2">
        <v>497</v>
      </c>
      <c r="K72" s="2">
        <v>286</v>
      </c>
      <c r="L72" s="2">
        <v>190</v>
      </c>
      <c r="M72" s="2">
        <v>111</v>
      </c>
      <c r="N72" s="2">
        <v>29</v>
      </c>
      <c r="O72" s="2">
        <v>984</v>
      </c>
      <c r="P72" s="2">
        <v>32300</v>
      </c>
      <c r="Q72" s="2">
        <v>438</v>
      </c>
      <c r="R72" s="2">
        <v>798</v>
      </c>
      <c r="S72" s="2">
        <v>188</v>
      </c>
      <c r="T72" s="2">
        <v>100</v>
      </c>
      <c r="U72" s="2">
        <v>329</v>
      </c>
    </row>
    <row r="73" spans="1:21" x14ac:dyDescent="0.2">
      <c r="A73" s="2">
        <v>74</v>
      </c>
      <c r="B73" s="2" t="s">
        <v>1167</v>
      </c>
      <c r="C73" s="19">
        <v>32008</v>
      </c>
      <c r="D73" s="2">
        <v>1900</v>
      </c>
      <c r="E73" s="2">
        <v>554</v>
      </c>
      <c r="F73" s="2">
        <v>108</v>
      </c>
      <c r="G73" s="2">
        <v>1679</v>
      </c>
      <c r="H73" s="2">
        <v>359</v>
      </c>
      <c r="I73" s="2">
        <v>343</v>
      </c>
      <c r="J73" s="2">
        <v>495</v>
      </c>
      <c r="K73" s="2">
        <v>280</v>
      </c>
      <c r="L73" s="2">
        <v>200</v>
      </c>
      <c r="M73" s="2">
        <v>107</v>
      </c>
      <c r="N73" s="2">
        <v>24</v>
      </c>
    </row>
    <row r="74" spans="1:21" x14ac:dyDescent="0.2">
      <c r="A74" s="2">
        <v>75</v>
      </c>
      <c r="B74" s="2" t="s">
        <v>1883</v>
      </c>
      <c r="C74" s="19">
        <v>32010</v>
      </c>
      <c r="D74" s="2">
        <v>1900</v>
      </c>
      <c r="E74" s="2">
        <v>549</v>
      </c>
      <c r="F74" s="2">
        <v>87</v>
      </c>
      <c r="G74" s="2">
        <v>1677</v>
      </c>
      <c r="H74" s="2">
        <v>357</v>
      </c>
      <c r="I74" s="2">
        <v>346</v>
      </c>
      <c r="J74" s="2">
        <v>500</v>
      </c>
      <c r="K74" s="2">
        <v>379</v>
      </c>
      <c r="L74" s="2">
        <v>209</v>
      </c>
      <c r="M74" s="2">
        <v>110</v>
      </c>
      <c r="N74" s="2">
        <v>17</v>
      </c>
      <c r="O74" s="2">
        <v>660</v>
      </c>
      <c r="P74" s="2">
        <v>49800</v>
      </c>
      <c r="Q74" s="2">
        <v>190</v>
      </c>
      <c r="R74" s="2">
        <v>510</v>
      </c>
      <c r="S74" s="2">
        <v>97</v>
      </c>
      <c r="T74" s="2">
        <v>85</v>
      </c>
      <c r="U74" s="2">
        <v>158</v>
      </c>
    </row>
    <row r="75" spans="1:21" x14ac:dyDescent="0.2">
      <c r="A75" s="2">
        <v>76</v>
      </c>
      <c r="B75" s="2" t="s">
        <v>1884</v>
      </c>
      <c r="C75" s="19">
        <v>32011</v>
      </c>
      <c r="D75" s="2">
        <v>1100</v>
      </c>
      <c r="E75" s="2">
        <v>560</v>
      </c>
      <c r="F75" s="2">
        <v>101</v>
      </c>
      <c r="G75" s="2">
        <v>1694</v>
      </c>
      <c r="H75" s="2">
        <v>362</v>
      </c>
      <c r="I75" s="2">
        <v>342</v>
      </c>
      <c r="J75" s="2">
        <v>571</v>
      </c>
      <c r="K75" s="2">
        <v>300</v>
      </c>
      <c r="L75" s="2">
        <v>236</v>
      </c>
      <c r="M75" s="2">
        <v>107</v>
      </c>
      <c r="N75" s="2">
        <v>34</v>
      </c>
      <c r="O75" s="2">
        <v>874</v>
      </c>
      <c r="P75" s="2">
        <v>84800</v>
      </c>
      <c r="Q75" s="2">
        <v>321</v>
      </c>
      <c r="R75" s="2">
        <v>1150</v>
      </c>
      <c r="S75" s="2">
        <v>148</v>
      </c>
      <c r="T75" s="2">
        <v>151</v>
      </c>
      <c r="U75" s="2">
        <v>265</v>
      </c>
    </row>
    <row r="76" spans="1:21" x14ac:dyDescent="0.2">
      <c r="A76" s="2">
        <v>77</v>
      </c>
      <c r="B76" s="2" t="s">
        <v>1885</v>
      </c>
      <c r="C76" s="19">
        <v>32013</v>
      </c>
      <c r="D76" s="2">
        <v>1900</v>
      </c>
      <c r="E76" s="2">
        <v>584</v>
      </c>
      <c r="F76" s="2">
        <v>89</v>
      </c>
      <c r="G76" s="2">
        <v>1683</v>
      </c>
      <c r="H76" s="2">
        <v>357</v>
      </c>
      <c r="I76" s="2">
        <v>345</v>
      </c>
      <c r="J76" s="2">
        <v>507</v>
      </c>
      <c r="K76" s="2">
        <v>277</v>
      </c>
      <c r="L76" s="2">
        <v>199</v>
      </c>
      <c r="M76" s="2">
        <v>111</v>
      </c>
      <c r="N76" s="2">
        <v>17</v>
      </c>
      <c r="O76" s="2">
        <v>711</v>
      </c>
      <c r="P76" s="2">
        <v>16900</v>
      </c>
      <c r="Q76" s="2">
        <v>219</v>
      </c>
      <c r="R76" s="2">
        <v>526</v>
      </c>
      <c r="S76" s="2">
        <v>119</v>
      </c>
      <c r="T76" s="2">
        <v>96</v>
      </c>
      <c r="U76" s="2">
        <v>175</v>
      </c>
    </row>
    <row r="77" spans="1:21" x14ac:dyDescent="0.2">
      <c r="A77" s="2">
        <v>78</v>
      </c>
      <c r="B77" s="2" t="s">
        <v>1886</v>
      </c>
      <c r="C77" s="19">
        <v>32014</v>
      </c>
      <c r="D77" s="2">
        <v>1100</v>
      </c>
      <c r="E77" s="2">
        <v>567</v>
      </c>
      <c r="F77" s="2">
        <v>79</v>
      </c>
      <c r="G77" s="2">
        <v>1684</v>
      </c>
      <c r="H77" s="2">
        <v>354</v>
      </c>
      <c r="I77" s="2">
        <v>345</v>
      </c>
      <c r="J77" s="2">
        <v>486</v>
      </c>
      <c r="K77" s="2">
        <v>253</v>
      </c>
      <c r="L77" s="2">
        <v>168</v>
      </c>
      <c r="M77" s="2">
        <v>112</v>
      </c>
      <c r="N77" s="2">
        <v>33</v>
      </c>
      <c r="O77" s="2">
        <v>746</v>
      </c>
      <c r="P77" s="2">
        <v>24800</v>
      </c>
      <c r="Q77" s="2">
        <v>160</v>
      </c>
      <c r="R77" s="2">
        <v>1650</v>
      </c>
      <c r="S77" s="2">
        <v>194</v>
      </c>
      <c r="T77" s="2">
        <v>68</v>
      </c>
      <c r="U77" s="2">
        <v>189</v>
      </c>
    </row>
    <row r="78" spans="1:21" x14ac:dyDescent="0.2">
      <c r="A78" s="2">
        <v>79</v>
      </c>
      <c r="B78" s="2" t="s">
        <v>1887</v>
      </c>
      <c r="C78" s="19">
        <v>32016</v>
      </c>
      <c r="D78" s="2">
        <v>1900</v>
      </c>
      <c r="E78" s="2">
        <v>549</v>
      </c>
      <c r="F78" s="2">
        <v>101</v>
      </c>
      <c r="G78" s="2">
        <v>1692</v>
      </c>
      <c r="H78" s="2">
        <v>357</v>
      </c>
      <c r="I78" s="2">
        <v>345</v>
      </c>
      <c r="J78" s="2">
        <v>472</v>
      </c>
      <c r="K78" s="2">
        <v>383</v>
      </c>
      <c r="L78" s="2">
        <v>169</v>
      </c>
      <c r="M78" s="2">
        <v>109</v>
      </c>
      <c r="N78" s="2">
        <v>17</v>
      </c>
      <c r="O78" s="4">
        <v>744</v>
      </c>
      <c r="P78" s="4">
        <v>19900</v>
      </c>
      <c r="Q78" s="4">
        <v>344</v>
      </c>
      <c r="R78" s="4">
        <v>582</v>
      </c>
      <c r="S78" s="4">
        <v>369</v>
      </c>
      <c r="T78" s="4">
        <v>47</v>
      </c>
      <c r="U78" s="4">
        <v>74</v>
      </c>
    </row>
    <row r="79" spans="1:21" x14ac:dyDescent="0.2">
      <c r="A79" s="2">
        <v>80</v>
      </c>
      <c r="B79" s="2" t="s">
        <v>1888</v>
      </c>
      <c r="C79" s="19">
        <v>32017</v>
      </c>
      <c r="D79" s="2">
        <v>1100</v>
      </c>
      <c r="E79" s="2">
        <v>566</v>
      </c>
      <c r="F79" s="2">
        <v>105</v>
      </c>
      <c r="G79" s="2">
        <v>1697</v>
      </c>
      <c r="H79" s="2">
        <v>356</v>
      </c>
      <c r="I79" s="2">
        <v>344</v>
      </c>
      <c r="J79" s="2">
        <v>492</v>
      </c>
      <c r="K79" s="2">
        <v>386</v>
      </c>
      <c r="L79" s="2">
        <v>266</v>
      </c>
      <c r="M79" s="2">
        <v>111</v>
      </c>
      <c r="N79" s="2">
        <v>26</v>
      </c>
      <c r="O79" s="2">
        <v>716</v>
      </c>
      <c r="P79" s="2">
        <v>23000</v>
      </c>
      <c r="Q79" s="2">
        <v>153</v>
      </c>
      <c r="R79" s="2">
        <v>617</v>
      </c>
      <c r="S79" s="2">
        <v>236</v>
      </c>
      <c r="T79" s="2">
        <v>35</v>
      </c>
      <c r="U79" s="2">
        <v>72</v>
      </c>
    </row>
    <row r="80" spans="1:21" x14ac:dyDescent="0.2">
      <c r="A80" s="2">
        <v>81</v>
      </c>
      <c r="B80" s="2" t="s">
        <v>1889</v>
      </c>
      <c r="C80" s="19">
        <v>32019</v>
      </c>
      <c r="D80" s="2">
        <v>1900</v>
      </c>
      <c r="E80" s="2">
        <v>560</v>
      </c>
      <c r="F80" s="2">
        <v>103</v>
      </c>
      <c r="G80" s="2">
        <v>1709</v>
      </c>
      <c r="H80" s="2">
        <v>355</v>
      </c>
      <c r="I80" s="2">
        <v>344</v>
      </c>
      <c r="J80" s="2">
        <v>480</v>
      </c>
      <c r="K80" s="2">
        <v>305</v>
      </c>
      <c r="L80" s="2">
        <v>202</v>
      </c>
      <c r="M80" s="2">
        <v>113</v>
      </c>
      <c r="N80" s="2">
        <v>34</v>
      </c>
      <c r="O80" s="4">
        <v>885</v>
      </c>
      <c r="P80" s="4">
        <v>54500</v>
      </c>
      <c r="Q80" s="4">
        <v>364</v>
      </c>
      <c r="R80" s="4">
        <v>381</v>
      </c>
      <c r="S80" s="4">
        <v>302</v>
      </c>
      <c r="T80" s="4">
        <v>48</v>
      </c>
      <c r="U80" s="4">
        <v>99</v>
      </c>
    </row>
    <row r="81" spans="1:21" x14ac:dyDescent="0.2">
      <c r="A81" s="2">
        <v>82</v>
      </c>
      <c r="B81" s="2" t="s">
        <v>1890</v>
      </c>
      <c r="C81" s="19">
        <v>32020</v>
      </c>
      <c r="D81" s="8" t="s">
        <v>1441</v>
      </c>
      <c r="E81" s="2">
        <v>551</v>
      </c>
      <c r="F81" s="2">
        <v>78</v>
      </c>
      <c r="G81" s="2">
        <v>1670</v>
      </c>
      <c r="H81" s="2">
        <v>359</v>
      </c>
      <c r="I81" s="2">
        <v>344</v>
      </c>
      <c r="J81" s="2">
        <v>446</v>
      </c>
      <c r="K81" s="2">
        <v>374</v>
      </c>
      <c r="L81" s="2">
        <v>167</v>
      </c>
      <c r="M81" s="2">
        <v>105</v>
      </c>
      <c r="O81" s="2">
        <v>789</v>
      </c>
      <c r="P81" s="2">
        <v>908</v>
      </c>
      <c r="Q81" s="2">
        <v>176</v>
      </c>
      <c r="R81" s="2">
        <v>308</v>
      </c>
      <c r="S81" s="2">
        <v>178</v>
      </c>
      <c r="T81" s="2">
        <v>45</v>
      </c>
      <c r="U81" s="2">
        <v>81</v>
      </c>
    </row>
    <row r="82" spans="1:21" x14ac:dyDescent="0.2">
      <c r="A82" s="2">
        <v>83</v>
      </c>
      <c r="B82" s="2" t="s">
        <v>1891</v>
      </c>
      <c r="C82" s="19">
        <v>32020</v>
      </c>
      <c r="D82" s="2">
        <v>1100</v>
      </c>
      <c r="E82" s="2">
        <v>547</v>
      </c>
      <c r="F82" s="2">
        <v>84</v>
      </c>
      <c r="G82" s="2">
        <v>1686</v>
      </c>
      <c r="H82" s="2">
        <v>357</v>
      </c>
      <c r="I82" s="2">
        <v>342</v>
      </c>
      <c r="J82" s="2">
        <v>440</v>
      </c>
      <c r="K82" s="2">
        <v>367</v>
      </c>
      <c r="L82" s="2">
        <v>160</v>
      </c>
      <c r="M82" s="2">
        <v>108</v>
      </c>
    </row>
    <row r="83" spans="1:21" x14ac:dyDescent="0.2">
      <c r="A83" s="2">
        <v>84</v>
      </c>
      <c r="B83" s="2" t="s">
        <v>1892</v>
      </c>
      <c r="C83" s="19">
        <v>32022</v>
      </c>
      <c r="D83" s="2">
        <v>1900</v>
      </c>
      <c r="E83" s="2">
        <v>537</v>
      </c>
      <c r="F83" s="2">
        <v>106</v>
      </c>
      <c r="G83" s="2">
        <v>1718</v>
      </c>
      <c r="H83" s="2">
        <v>356</v>
      </c>
      <c r="I83" s="2">
        <v>344</v>
      </c>
      <c r="J83" s="2">
        <v>501</v>
      </c>
      <c r="K83" s="2">
        <v>281</v>
      </c>
      <c r="L83" s="2">
        <v>181</v>
      </c>
      <c r="M83" s="2">
        <v>111</v>
      </c>
      <c r="N83" s="2">
        <v>17</v>
      </c>
      <c r="O83" s="2">
        <v>1470</v>
      </c>
      <c r="P83" s="2">
        <v>20800</v>
      </c>
      <c r="Q83" s="2">
        <v>279</v>
      </c>
      <c r="R83" s="2">
        <v>844</v>
      </c>
      <c r="S83" s="2">
        <v>187</v>
      </c>
      <c r="T83" s="2">
        <v>88</v>
      </c>
      <c r="U83" s="2">
        <v>237</v>
      </c>
    </row>
    <row r="84" spans="1:21" x14ac:dyDescent="0.2">
      <c r="A84" s="2">
        <v>85</v>
      </c>
      <c r="B84" s="2" t="s">
        <v>1893</v>
      </c>
      <c r="C84" s="19">
        <v>32023</v>
      </c>
      <c r="D84" s="2">
        <v>1100</v>
      </c>
      <c r="E84" s="2">
        <v>562</v>
      </c>
      <c r="F84" s="2">
        <v>120</v>
      </c>
      <c r="G84" s="2">
        <v>1713</v>
      </c>
      <c r="H84" s="2">
        <v>355</v>
      </c>
      <c r="I84" s="2">
        <v>346</v>
      </c>
      <c r="J84" s="2">
        <v>566</v>
      </c>
      <c r="K84" s="2">
        <v>389</v>
      </c>
      <c r="L84" s="2">
        <v>213</v>
      </c>
      <c r="M84" s="2">
        <v>110</v>
      </c>
      <c r="N84" s="2">
        <v>25</v>
      </c>
      <c r="O84" s="2">
        <v>1470</v>
      </c>
      <c r="P84" s="2">
        <v>28300</v>
      </c>
      <c r="Q84" s="2">
        <v>289</v>
      </c>
      <c r="R84" s="2">
        <v>968</v>
      </c>
      <c r="S84" s="2">
        <v>84</v>
      </c>
      <c r="T84" s="2">
        <v>110</v>
      </c>
      <c r="U84" s="2">
        <v>201</v>
      </c>
    </row>
    <row r="85" spans="1:21" x14ac:dyDescent="0.2">
      <c r="A85" s="2">
        <v>86</v>
      </c>
      <c r="B85" s="2" t="s">
        <v>1894</v>
      </c>
      <c r="C85" s="19">
        <v>32025</v>
      </c>
      <c r="D85" s="2">
        <v>1900</v>
      </c>
      <c r="E85" s="2">
        <v>537</v>
      </c>
      <c r="F85" s="2">
        <v>82</v>
      </c>
      <c r="G85" s="2">
        <v>1691</v>
      </c>
      <c r="H85" s="2">
        <v>357</v>
      </c>
      <c r="I85" s="2">
        <v>342</v>
      </c>
      <c r="J85" s="2">
        <v>464</v>
      </c>
      <c r="K85" s="2">
        <v>275</v>
      </c>
      <c r="L85" s="2">
        <v>176</v>
      </c>
      <c r="M85" s="2">
        <v>110</v>
      </c>
      <c r="N85" s="2">
        <v>31</v>
      </c>
      <c r="O85" s="4">
        <v>763</v>
      </c>
      <c r="P85" s="4">
        <v>5590</v>
      </c>
      <c r="Q85" s="4">
        <v>1270</v>
      </c>
      <c r="R85" s="4">
        <v>526</v>
      </c>
      <c r="S85" s="4">
        <v>86</v>
      </c>
      <c r="T85" s="4">
        <v>50</v>
      </c>
      <c r="U85" s="4">
        <v>99</v>
      </c>
    </row>
    <row r="86" spans="1:21" x14ac:dyDescent="0.2">
      <c r="A86" s="2">
        <v>87</v>
      </c>
      <c r="B86" s="2" t="s">
        <v>1895</v>
      </c>
      <c r="C86" s="19">
        <v>32026</v>
      </c>
      <c r="D86" s="2">
        <v>1100</v>
      </c>
      <c r="E86" s="2">
        <v>555</v>
      </c>
      <c r="F86" s="2">
        <v>120</v>
      </c>
      <c r="G86" s="2">
        <v>1693</v>
      </c>
      <c r="H86" s="2">
        <v>356</v>
      </c>
      <c r="I86" s="2">
        <v>343</v>
      </c>
      <c r="J86" s="2">
        <v>480</v>
      </c>
      <c r="K86" s="2">
        <v>292</v>
      </c>
      <c r="L86" s="2">
        <v>187</v>
      </c>
      <c r="M86" s="2">
        <v>110</v>
      </c>
      <c r="N86" s="2">
        <v>30</v>
      </c>
      <c r="O86" s="2">
        <v>822</v>
      </c>
      <c r="P86" s="2">
        <v>17900</v>
      </c>
      <c r="Q86" s="2">
        <v>823</v>
      </c>
      <c r="R86" s="2">
        <v>899</v>
      </c>
      <c r="S86" s="2">
        <v>198</v>
      </c>
      <c r="T86" s="2">
        <v>231</v>
      </c>
      <c r="U86" s="2">
        <v>485</v>
      </c>
    </row>
    <row r="87" spans="1:21" x14ac:dyDescent="0.2">
      <c r="A87" s="2">
        <v>88</v>
      </c>
      <c r="B87" s="2" t="s">
        <v>1896</v>
      </c>
      <c r="C87" s="19">
        <v>32028</v>
      </c>
      <c r="D87" s="2">
        <v>1900</v>
      </c>
      <c r="E87" s="2">
        <v>596</v>
      </c>
      <c r="F87" s="2">
        <v>155</v>
      </c>
      <c r="G87" s="2">
        <v>1716</v>
      </c>
      <c r="H87" s="2">
        <v>358</v>
      </c>
      <c r="I87" s="2">
        <v>343</v>
      </c>
      <c r="J87" s="2">
        <v>491</v>
      </c>
      <c r="K87" s="2">
        <v>287</v>
      </c>
      <c r="L87" s="2">
        <v>224</v>
      </c>
      <c r="M87" s="2">
        <v>109</v>
      </c>
      <c r="N87" s="2">
        <v>53</v>
      </c>
      <c r="O87" s="2">
        <v>1340</v>
      </c>
      <c r="P87" s="2">
        <v>30100</v>
      </c>
      <c r="Q87" s="2">
        <v>391</v>
      </c>
      <c r="R87" s="2">
        <v>571</v>
      </c>
      <c r="S87" s="2">
        <v>160</v>
      </c>
      <c r="T87" s="2">
        <v>185</v>
      </c>
      <c r="U87" s="2">
        <v>332</v>
      </c>
    </row>
    <row r="88" spans="1:21" x14ac:dyDescent="0.2">
      <c r="A88" s="2">
        <v>89</v>
      </c>
      <c r="B88" s="2" t="s">
        <v>1069</v>
      </c>
      <c r="C88" s="19">
        <v>32029</v>
      </c>
      <c r="D88" s="2">
        <v>1100</v>
      </c>
      <c r="E88" s="2">
        <v>573</v>
      </c>
      <c r="F88" s="2">
        <v>144</v>
      </c>
      <c r="G88" s="2">
        <v>1710</v>
      </c>
      <c r="H88" s="2">
        <v>356</v>
      </c>
      <c r="I88" s="2">
        <v>349</v>
      </c>
      <c r="J88" s="2">
        <v>496</v>
      </c>
      <c r="K88" s="2">
        <v>286</v>
      </c>
      <c r="L88" s="2">
        <v>228</v>
      </c>
      <c r="M88" s="2">
        <v>103</v>
      </c>
      <c r="N88" s="2">
        <v>34</v>
      </c>
      <c r="O88" s="2">
        <v>1420</v>
      </c>
      <c r="P88" s="2">
        <v>28300</v>
      </c>
      <c r="Q88" s="2">
        <v>391</v>
      </c>
      <c r="R88" s="2">
        <v>1270</v>
      </c>
      <c r="S88" s="2">
        <v>97</v>
      </c>
      <c r="T88" s="2">
        <v>185</v>
      </c>
      <c r="U88" s="2">
        <v>303</v>
      </c>
    </row>
    <row r="89" spans="1:21" x14ac:dyDescent="0.2">
      <c r="A89" s="2">
        <v>90</v>
      </c>
      <c r="B89" s="2" t="s">
        <v>1860</v>
      </c>
      <c r="C89" s="19">
        <v>32031</v>
      </c>
      <c r="D89" s="2">
        <v>1900</v>
      </c>
      <c r="E89" s="2">
        <v>576</v>
      </c>
      <c r="F89" s="2">
        <v>156</v>
      </c>
      <c r="G89" s="2">
        <v>1719</v>
      </c>
      <c r="H89" s="2">
        <v>357</v>
      </c>
      <c r="I89" s="2">
        <v>346</v>
      </c>
      <c r="J89" s="2">
        <v>499</v>
      </c>
      <c r="K89" s="2">
        <v>291</v>
      </c>
      <c r="L89" s="2">
        <v>262</v>
      </c>
      <c r="M89" s="2">
        <v>110</v>
      </c>
      <c r="N89" s="2">
        <v>59</v>
      </c>
      <c r="O89" s="4">
        <v>1310</v>
      </c>
      <c r="P89" s="4">
        <v>18800</v>
      </c>
      <c r="Q89" s="4">
        <v>743</v>
      </c>
      <c r="R89" s="4">
        <v>1020</v>
      </c>
      <c r="S89" s="4">
        <v>74</v>
      </c>
      <c r="T89" s="4">
        <v>163</v>
      </c>
      <c r="U89" s="4">
        <v>284</v>
      </c>
    </row>
    <row r="90" spans="1:21" x14ac:dyDescent="0.2">
      <c r="A90" s="2">
        <v>91</v>
      </c>
      <c r="B90" s="2" t="s">
        <v>1065</v>
      </c>
      <c r="C90" s="19">
        <v>32032</v>
      </c>
      <c r="D90" s="2">
        <v>1100</v>
      </c>
      <c r="E90" s="2">
        <v>576</v>
      </c>
      <c r="F90" s="2">
        <v>145</v>
      </c>
      <c r="G90" s="2">
        <v>1715</v>
      </c>
      <c r="H90" s="2">
        <v>355</v>
      </c>
      <c r="I90" s="2">
        <v>347</v>
      </c>
      <c r="J90" s="2">
        <v>503</v>
      </c>
      <c r="K90" s="2">
        <v>300</v>
      </c>
      <c r="L90" s="2">
        <v>263</v>
      </c>
      <c r="M90" s="2">
        <v>107</v>
      </c>
      <c r="N90" s="2">
        <v>58</v>
      </c>
      <c r="O90" s="4">
        <v>1230</v>
      </c>
      <c r="P90" s="4">
        <v>12100</v>
      </c>
      <c r="Q90" s="4">
        <v>605</v>
      </c>
      <c r="R90" s="4">
        <v>954</v>
      </c>
      <c r="S90" s="4">
        <v>131</v>
      </c>
      <c r="T90" s="4">
        <v>160</v>
      </c>
      <c r="U90" s="4">
        <v>301</v>
      </c>
    </row>
    <row r="94" spans="1:21" x14ac:dyDescent="0.2">
      <c r="E94" s="8" t="s">
        <v>117</v>
      </c>
      <c r="F94" s="8" t="s">
        <v>118</v>
      </c>
      <c r="G94" s="8" t="s">
        <v>123</v>
      </c>
      <c r="H94" s="8" t="s">
        <v>134</v>
      </c>
      <c r="I94" s="8" t="s">
        <v>138</v>
      </c>
      <c r="J94" s="8" t="s">
        <v>136</v>
      </c>
      <c r="K94" s="8" t="s">
        <v>130</v>
      </c>
      <c r="L94" s="8" t="s">
        <v>121</v>
      </c>
      <c r="M94" s="8" t="s">
        <v>112</v>
      </c>
      <c r="N94" s="8" t="s">
        <v>140</v>
      </c>
      <c r="O94" s="8" t="s">
        <v>126</v>
      </c>
      <c r="P94" s="8" t="s">
        <v>122</v>
      </c>
      <c r="Q94" s="8" t="s">
        <v>113</v>
      </c>
      <c r="R94" s="8" t="s">
        <v>131</v>
      </c>
      <c r="S94" s="8" t="s">
        <v>129</v>
      </c>
      <c r="T94" s="8" t="s">
        <v>149</v>
      </c>
      <c r="U94" s="8" t="s">
        <v>151</v>
      </c>
    </row>
    <row r="95" spans="1:21" x14ac:dyDescent="0.2">
      <c r="E95" s="8" t="s">
        <v>266</v>
      </c>
      <c r="F95" s="8" t="s">
        <v>266</v>
      </c>
      <c r="G95" s="8" t="s">
        <v>266</v>
      </c>
      <c r="H95" s="8" t="s">
        <v>371</v>
      </c>
      <c r="I95" s="8" t="s">
        <v>266</v>
      </c>
      <c r="J95" s="8" t="s">
        <v>144</v>
      </c>
      <c r="K95" s="8" t="s">
        <v>144</v>
      </c>
      <c r="L95" s="8" t="s">
        <v>144</v>
      </c>
      <c r="M95" s="8" t="s">
        <v>144</v>
      </c>
      <c r="N95" s="8" t="s">
        <v>144</v>
      </c>
      <c r="O95" s="8" t="s">
        <v>144</v>
      </c>
      <c r="P95" s="8" t="s">
        <v>144</v>
      </c>
      <c r="Q95" s="8" t="s">
        <v>144</v>
      </c>
      <c r="R95" s="8" t="s">
        <v>144</v>
      </c>
      <c r="S95" s="8" t="s">
        <v>144</v>
      </c>
      <c r="T95" s="8" t="s">
        <v>144</v>
      </c>
      <c r="U95" s="8" t="s">
        <v>144</v>
      </c>
    </row>
    <row r="97" spans="2:21" x14ac:dyDescent="0.2">
      <c r="B97" s="2" t="s">
        <v>529</v>
      </c>
      <c r="C97" s="7">
        <f>AVERAGE(C7:C90)</f>
        <v>31984.166666666668</v>
      </c>
      <c r="E97" s="4">
        <f t="shared" ref="E97:U97" si="0">AVERAGE(E7:E90)</f>
        <v>564.97619047619048</v>
      </c>
      <c r="F97" s="4">
        <f t="shared" si="0"/>
        <v>110.04761904761905</v>
      </c>
      <c r="G97" s="4">
        <f t="shared" si="0"/>
        <v>1694.2142857142858</v>
      </c>
      <c r="H97" s="4">
        <f t="shared" si="0"/>
        <v>365.65476190476193</v>
      </c>
      <c r="I97" s="4">
        <f t="shared" si="0"/>
        <v>344.47619047619048</v>
      </c>
      <c r="J97" s="4">
        <f t="shared" si="0"/>
        <v>481.45238095238096</v>
      </c>
      <c r="K97" s="4">
        <f t="shared" si="0"/>
        <v>307.29761904761904</v>
      </c>
      <c r="L97" s="4">
        <f t="shared" si="0"/>
        <v>216.28571428571428</v>
      </c>
      <c r="M97" s="4">
        <f t="shared" si="0"/>
        <v>108.23809523809524</v>
      </c>
      <c r="N97" s="4">
        <f t="shared" si="0"/>
        <v>47</v>
      </c>
      <c r="O97" s="4">
        <f t="shared" si="0"/>
        <v>1067.9873417721519</v>
      </c>
      <c r="P97" s="4">
        <f t="shared" si="0"/>
        <v>124841.3670886076</v>
      </c>
      <c r="Q97" s="4">
        <f t="shared" si="0"/>
        <v>646.64556962025313</v>
      </c>
      <c r="R97" s="4">
        <f t="shared" si="0"/>
        <v>1058.8101265822784</v>
      </c>
      <c r="S97" s="4">
        <f t="shared" si="0"/>
        <v>237.96202531645571</v>
      </c>
      <c r="T97" s="4">
        <f t="shared" si="0"/>
        <v>166.48101265822785</v>
      </c>
      <c r="U97" s="4">
        <f t="shared" si="0"/>
        <v>355.78481012658227</v>
      </c>
    </row>
    <row r="98" spans="2:21" x14ac:dyDescent="0.2">
      <c r="B98" s="2" t="s">
        <v>255</v>
      </c>
      <c r="E98" s="4">
        <f t="shared" ref="E98:U98" si="1">STDEV(E7:E90)</f>
        <v>24.00500760533011</v>
      </c>
      <c r="F98" s="4">
        <f t="shared" si="1"/>
        <v>28.327646150561812</v>
      </c>
      <c r="G98" s="4">
        <f t="shared" si="1"/>
        <v>18.409054495966274</v>
      </c>
      <c r="H98" s="4">
        <f t="shared" si="1"/>
        <v>32.397193857217722</v>
      </c>
      <c r="I98" s="4">
        <f t="shared" si="1"/>
        <v>2.3412291616537848</v>
      </c>
      <c r="J98" s="4">
        <f t="shared" si="1"/>
        <v>24.724703397982079</v>
      </c>
      <c r="K98" s="4">
        <f t="shared" si="1"/>
        <v>34.13960698876167</v>
      </c>
      <c r="L98" s="4">
        <f t="shared" si="1"/>
        <v>35.618653373735874</v>
      </c>
      <c r="M98" s="4">
        <f t="shared" si="1"/>
        <v>7.6135881185557484</v>
      </c>
      <c r="N98" s="4">
        <f t="shared" si="1"/>
        <v>49.528779512521808</v>
      </c>
      <c r="O98" s="4">
        <f t="shared" si="1"/>
        <v>429.6113477250401</v>
      </c>
      <c r="P98" s="4">
        <f t="shared" si="1"/>
        <v>234416.57329821272</v>
      </c>
      <c r="Q98" s="4">
        <f t="shared" si="1"/>
        <v>1322.5960974050793</v>
      </c>
      <c r="R98" s="4">
        <f t="shared" si="1"/>
        <v>748.14241884182479</v>
      </c>
      <c r="S98" s="4">
        <f t="shared" si="1"/>
        <v>173.91948056190378</v>
      </c>
      <c r="T98" s="4">
        <f t="shared" si="1"/>
        <v>390.01143509729775</v>
      </c>
      <c r="U98" s="4">
        <f t="shared" si="1"/>
        <v>570.07947423652854</v>
      </c>
    </row>
    <row r="99" spans="2:21" x14ac:dyDescent="0.2">
      <c r="B99" s="2" t="s">
        <v>365</v>
      </c>
      <c r="E99" s="4">
        <f t="shared" ref="E99:U99" si="2">COUNTA(E7:E90)</f>
        <v>84</v>
      </c>
      <c r="F99" s="4">
        <f t="shared" si="2"/>
        <v>84</v>
      </c>
      <c r="G99" s="4">
        <f t="shared" si="2"/>
        <v>84</v>
      </c>
      <c r="H99" s="4">
        <f t="shared" si="2"/>
        <v>84</v>
      </c>
      <c r="I99" s="4">
        <f t="shared" si="2"/>
        <v>84</v>
      </c>
      <c r="J99" s="4">
        <f t="shared" si="2"/>
        <v>84</v>
      </c>
      <c r="K99" s="4">
        <f t="shared" si="2"/>
        <v>84</v>
      </c>
      <c r="L99" s="4">
        <f t="shared" si="2"/>
        <v>84</v>
      </c>
      <c r="M99" s="4">
        <f t="shared" si="2"/>
        <v>84</v>
      </c>
      <c r="N99" s="4">
        <f t="shared" si="2"/>
        <v>61</v>
      </c>
      <c r="O99" s="4">
        <f t="shared" si="2"/>
        <v>79</v>
      </c>
      <c r="P99" s="4">
        <f t="shared" si="2"/>
        <v>79</v>
      </c>
      <c r="Q99" s="4">
        <f t="shared" si="2"/>
        <v>79</v>
      </c>
      <c r="R99" s="4">
        <f t="shared" si="2"/>
        <v>79</v>
      </c>
      <c r="S99" s="4">
        <f t="shared" si="2"/>
        <v>79</v>
      </c>
      <c r="T99" s="4">
        <f t="shared" si="2"/>
        <v>79</v>
      </c>
      <c r="U99" s="4">
        <f t="shared" si="2"/>
        <v>79</v>
      </c>
    </row>
  </sheetData>
  <pageMargins left="0.5" right="0.5" top="0.75" bottom="0.75" header="0.5" footer="0.5"/>
  <pageSetup orientation="portrait" horizontalDpi="0" verticalDpi="0" copies="0"/>
  <headerFooter alignWithMargins="0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5"/>
  <sheetViews>
    <sheetView showOutlineSymbols="0" defaultGridColor="0" colorId="9" workbookViewId="0">
      <selection activeCell="B22" sqref="B22"/>
    </sheetView>
  </sheetViews>
  <sheetFormatPr defaultColWidth="8.6640625" defaultRowHeight="15" x14ac:dyDescent="0.2"/>
  <cols>
    <col min="1" max="16384" width="8.6640625" style="2"/>
  </cols>
  <sheetData>
    <row r="1" spans="1:18" ht="15.75" x14ac:dyDescent="0.25">
      <c r="A1" s="6" t="s">
        <v>1897</v>
      </c>
      <c r="R1" s="2" t="s">
        <v>1</v>
      </c>
    </row>
    <row r="2" spans="1:18" x14ac:dyDescent="0.2">
      <c r="A2" s="2" t="s">
        <v>1898</v>
      </c>
      <c r="R2" s="2" t="s">
        <v>1</v>
      </c>
    </row>
    <row r="3" spans="1:18" x14ac:dyDescent="0.2">
      <c r="R3" s="2" t="s">
        <v>1</v>
      </c>
    </row>
    <row r="4" spans="1:18" x14ac:dyDescent="0.2">
      <c r="R4" s="2" t="s">
        <v>1</v>
      </c>
    </row>
    <row r="5" spans="1:18" x14ac:dyDescent="0.2">
      <c r="R5" s="2" t="s">
        <v>1</v>
      </c>
    </row>
    <row r="6" spans="1:18" x14ac:dyDescent="0.2">
      <c r="A6" s="2" t="s">
        <v>285</v>
      </c>
      <c r="B6" s="15" t="s">
        <v>253</v>
      </c>
      <c r="C6" s="8" t="s">
        <v>286</v>
      </c>
      <c r="D6" s="8" t="s">
        <v>287</v>
      </c>
      <c r="E6" s="8" t="s">
        <v>117</v>
      </c>
      <c r="F6" s="8" t="s">
        <v>118</v>
      </c>
      <c r="G6" s="8" t="s">
        <v>118</v>
      </c>
      <c r="H6" s="8" t="s">
        <v>123</v>
      </c>
      <c r="I6" s="8" t="s">
        <v>134</v>
      </c>
      <c r="J6" s="8" t="s">
        <v>138</v>
      </c>
      <c r="K6" s="8" t="s">
        <v>136</v>
      </c>
      <c r="L6" s="8" t="s">
        <v>130</v>
      </c>
      <c r="M6" s="8" t="s">
        <v>133</v>
      </c>
      <c r="N6" s="8" t="s">
        <v>127</v>
      </c>
      <c r="O6" s="8" t="s">
        <v>121</v>
      </c>
      <c r="P6" s="8" t="s">
        <v>112</v>
      </c>
      <c r="R6" s="2" t="s">
        <v>1</v>
      </c>
    </row>
    <row r="7" spans="1:18" x14ac:dyDescent="0.2">
      <c r="A7" s="2" t="s">
        <v>290</v>
      </c>
      <c r="D7" s="15" t="s">
        <v>291</v>
      </c>
      <c r="E7" s="8" t="s">
        <v>266</v>
      </c>
      <c r="F7" s="8" t="s">
        <v>266</v>
      </c>
      <c r="G7" s="8" t="s">
        <v>266</v>
      </c>
      <c r="H7" s="8" t="s">
        <v>266</v>
      </c>
      <c r="I7" s="8" t="s">
        <v>371</v>
      </c>
      <c r="J7" s="8" t="s">
        <v>266</v>
      </c>
      <c r="K7" s="8" t="s">
        <v>144</v>
      </c>
      <c r="L7" s="8" t="s">
        <v>144</v>
      </c>
      <c r="M7" s="8" t="s">
        <v>144</v>
      </c>
      <c r="N7" s="8" t="s">
        <v>144</v>
      </c>
      <c r="O7" s="8" t="s">
        <v>144</v>
      </c>
      <c r="P7" s="8" t="s">
        <v>144</v>
      </c>
      <c r="R7" s="2" t="s">
        <v>1</v>
      </c>
    </row>
    <row r="8" spans="1:18" x14ac:dyDescent="0.2">
      <c r="R8" s="2" t="s">
        <v>1</v>
      </c>
    </row>
    <row r="9" spans="1:18" x14ac:dyDescent="0.2">
      <c r="R9" s="2" t="s">
        <v>1</v>
      </c>
    </row>
    <row r="10" spans="1:18" x14ac:dyDescent="0.2">
      <c r="A10" s="2" t="s">
        <v>1899</v>
      </c>
      <c r="B10" s="7">
        <f>DATE(87,8,11)</f>
        <v>32000</v>
      </c>
      <c r="C10" s="2">
        <v>1350</v>
      </c>
      <c r="D10" s="2">
        <v>16</v>
      </c>
      <c r="E10" s="2">
        <v>460</v>
      </c>
      <c r="F10" s="2">
        <v>86</v>
      </c>
      <c r="G10" s="2">
        <v>83</v>
      </c>
      <c r="H10" s="2">
        <v>1744</v>
      </c>
      <c r="I10" s="2">
        <v>346</v>
      </c>
      <c r="J10" s="2">
        <v>358</v>
      </c>
      <c r="K10" s="2">
        <v>446</v>
      </c>
      <c r="L10" s="2">
        <v>269</v>
      </c>
      <c r="M10" s="2">
        <v>40</v>
      </c>
      <c r="N10" s="2">
        <v>38</v>
      </c>
      <c r="O10" s="2">
        <v>222</v>
      </c>
      <c r="P10" s="2">
        <v>177</v>
      </c>
      <c r="R10" s="2" t="s">
        <v>1</v>
      </c>
    </row>
    <row r="11" spans="1:18" x14ac:dyDescent="0.2">
      <c r="A11" s="2" t="s">
        <v>1900</v>
      </c>
      <c r="B11" s="7">
        <f>DATE(87,8,13)</f>
        <v>32002</v>
      </c>
      <c r="C11" s="2">
        <v>1400</v>
      </c>
      <c r="D11" s="2">
        <v>17</v>
      </c>
      <c r="E11" s="2">
        <v>460</v>
      </c>
      <c r="F11" s="2">
        <v>82</v>
      </c>
      <c r="G11" s="2">
        <v>85</v>
      </c>
      <c r="H11" s="2">
        <v>1759</v>
      </c>
      <c r="I11" s="2">
        <v>348</v>
      </c>
      <c r="J11" s="2">
        <v>356</v>
      </c>
      <c r="K11" s="2">
        <v>454</v>
      </c>
      <c r="L11" s="2">
        <v>270</v>
      </c>
      <c r="M11" s="2">
        <v>39</v>
      </c>
      <c r="N11" s="2">
        <v>21</v>
      </c>
      <c r="O11" s="2">
        <v>222</v>
      </c>
      <c r="P11" s="2">
        <v>178</v>
      </c>
      <c r="R11" s="2" t="s">
        <v>1</v>
      </c>
    </row>
    <row r="12" spans="1:18" x14ac:dyDescent="0.2">
      <c r="A12" s="2" t="s">
        <v>1901</v>
      </c>
      <c r="B12" s="7">
        <f>DATE(87,8,15)</f>
        <v>32004</v>
      </c>
      <c r="C12" s="2">
        <v>1350</v>
      </c>
      <c r="D12" s="2">
        <v>2</v>
      </c>
      <c r="E12" s="2">
        <v>465</v>
      </c>
      <c r="F12" s="2">
        <v>94</v>
      </c>
      <c r="G12" s="2">
        <v>97</v>
      </c>
      <c r="H12" s="2">
        <v>1769</v>
      </c>
      <c r="I12" s="2">
        <v>349</v>
      </c>
      <c r="J12" s="2">
        <v>344</v>
      </c>
      <c r="K12" s="2">
        <v>449</v>
      </c>
      <c r="L12" s="2">
        <v>269</v>
      </c>
      <c r="M12" s="2">
        <v>178</v>
      </c>
      <c r="O12" s="2">
        <v>220</v>
      </c>
      <c r="P12" s="2">
        <v>176</v>
      </c>
      <c r="R12" s="2" t="s">
        <v>1</v>
      </c>
    </row>
    <row r="13" spans="1:18" x14ac:dyDescent="0.2">
      <c r="A13" s="2" t="s">
        <v>1902</v>
      </c>
      <c r="B13" s="7">
        <f>DATE(87,8,17)</f>
        <v>32006</v>
      </c>
      <c r="C13" s="2">
        <v>1330</v>
      </c>
      <c r="D13" s="2">
        <v>11</v>
      </c>
      <c r="E13" s="2">
        <v>474</v>
      </c>
      <c r="F13" s="2">
        <v>82</v>
      </c>
      <c r="G13" s="2">
        <v>85</v>
      </c>
      <c r="H13" s="2">
        <v>1742</v>
      </c>
      <c r="I13" s="2">
        <v>348</v>
      </c>
      <c r="J13" s="2">
        <v>370</v>
      </c>
      <c r="K13" s="2">
        <v>452</v>
      </c>
      <c r="L13" s="2">
        <v>268</v>
      </c>
      <c r="M13" s="2">
        <v>170</v>
      </c>
      <c r="O13" s="2">
        <v>219</v>
      </c>
      <c r="P13" s="2">
        <v>178</v>
      </c>
      <c r="R13" s="2" t="s">
        <v>1</v>
      </c>
    </row>
    <row r="14" spans="1:18" x14ac:dyDescent="0.2">
      <c r="A14" s="2" t="s">
        <v>1903</v>
      </c>
      <c r="B14" s="7">
        <f>DATE(87,8,19)</f>
        <v>32008</v>
      </c>
      <c r="C14" s="2">
        <v>1347</v>
      </c>
      <c r="D14" s="2">
        <v>2</v>
      </c>
      <c r="E14" s="2">
        <v>464</v>
      </c>
      <c r="F14" s="2">
        <v>76</v>
      </c>
      <c r="G14" s="2">
        <v>76</v>
      </c>
      <c r="H14" s="2">
        <v>1768</v>
      </c>
      <c r="I14" s="2">
        <v>352</v>
      </c>
      <c r="J14" s="2">
        <v>382</v>
      </c>
      <c r="K14" s="2">
        <v>451</v>
      </c>
      <c r="L14" s="2">
        <v>268</v>
      </c>
      <c r="M14" s="2">
        <v>39</v>
      </c>
      <c r="N14" s="2">
        <v>21</v>
      </c>
      <c r="O14" s="2">
        <v>217</v>
      </c>
      <c r="P14" s="2">
        <v>177</v>
      </c>
      <c r="R14" s="2" t="s">
        <v>1</v>
      </c>
    </row>
    <row r="15" spans="1:18" x14ac:dyDescent="0.2">
      <c r="A15" s="2" t="s">
        <v>1904</v>
      </c>
      <c r="B15" s="7">
        <f>DATE(87,8,22)</f>
        <v>32011</v>
      </c>
      <c r="C15" s="2">
        <v>1330</v>
      </c>
      <c r="E15" s="2">
        <v>507</v>
      </c>
      <c r="F15" s="2">
        <v>74</v>
      </c>
      <c r="G15" s="2">
        <v>76</v>
      </c>
      <c r="H15" s="2">
        <v>1737</v>
      </c>
      <c r="I15" s="2">
        <v>351</v>
      </c>
      <c r="R15" s="2" t="s">
        <v>1</v>
      </c>
    </row>
    <row r="16" spans="1:18" x14ac:dyDescent="0.2">
      <c r="A16" s="2" t="s">
        <v>1905</v>
      </c>
      <c r="B16" s="7">
        <f>DATE(87,8,24)</f>
        <v>32013</v>
      </c>
      <c r="C16" s="2">
        <v>1345</v>
      </c>
      <c r="E16" s="2">
        <v>486</v>
      </c>
      <c r="F16" s="2">
        <v>80</v>
      </c>
      <c r="G16" s="2">
        <v>82</v>
      </c>
      <c r="H16" s="2">
        <v>1748</v>
      </c>
      <c r="I16" s="2">
        <v>350</v>
      </c>
      <c r="R16" s="2" t="s">
        <v>1</v>
      </c>
    </row>
    <row r="17" spans="1:18" x14ac:dyDescent="0.2">
      <c r="B17" s="7">
        <f>DATE(87,8,26)</f>
        <v>32015</v>
      </c>
      <c r="C17" s="2">
        <v>1403</v>
      </c>
      <c r="E17" s="2">
        <v>478</v>
      </c>
      <c r="F17" s="2">
        <v>80</v>
      </c>
      <c r="G17" s="2">
        <v>91</v>
      </c>
      <c r="H17" s="2">
        <v>1752</v>
      </c>
      <c r="I17" s="2">
        <v>349</v>
      </c>
      <c r="R17" s="2" t="s">
        <v>1</v>
      </c>
    </row>
    <row r="18" spans="1:18" x14ac:dyDescent="0.2">
      <c r="A18" s="2" t="s">
        <v>1906</v>
      </c>
      <c r="B18" s="7">
        <f>DATE(87,8,28)</f>
        <v>32017</v>
      </c>
      <c r="C18" s="2">
        <v>1345</v>
      </c>
      <c r="E18" s="2">
        <v>469</v>
      </c>
      <c r="F18" s="2">
        <v>90</v>
      </c>
      <c r="G18" s="2">
        <v>93</v>
      </c>
      <c r="H18" s="2">
        <v>1772</v>
      </c>
      <c r="I18" s="2">
        <v>350</v>
      </c>
      <c r="R18" s="2" t="s">
        <v>1</v>
      </c>
    </row>
    <row r="19" spans="1:18" x14ac:dyDescent="0.2">
      <c r="A19" s="2" t="s">
        <v>1907</v>
      </c>
      <c r="B19" s="7">
        <f>DATE(87,8,30)</f>
        <v>32019</v>
      </c>
      <c r="C19" s="2">
        <v>1345</v>
      </c>
      <c r="E19" s="2">
        <v>480</v>
      </c>
      <c r="F19" s="2">
        <v>81</v>
      </c>
      <c r="G19" s="2">
        <v>84</v>
      </c>
      <c r="H19" s="2">
        <v>1775</v>
      </c>
      <c r="I19" s="2">
        <v>352</v>
      </c>
      <c r="R19" s="2" t="s">
        <v>1</v>
      </c>
    </row>
    <row r="20" spans="1:18" x14ac:dyDescent="0.2">
      <c r="R20" s="2" t="s">
        <v>1</v>
      </c>
    </row>
    <row r="21" spans="1:18" x14ac:dyDescent="0.2">
      <c r="R21" s="2" t="s">
        <v>1</v>
      </c>
    </row>
    <row r="22" spans="1:18" x14ac:dyDescent="0.2">
      <c r="E22" s="8" t="s">
        <v>117</v>
      </c>
      <c r="F22" s="8" t="s">
        <v>118</v>
      </c>
      <c r="G22" s="8" t="s">
        <v>118</v>
      </c>
      <c r="H22" s="8" t="s">
        <v>123</v>
      </c>
      <c r="I22" s="8" t="s">
        <v>134</v>
      </c>
      <c r="J22" s="8" t="s">
        <v>138</v>
      </c>
      <c r="K22" s="8" t="s">
        <v>136</v>
      </c>
      <c r="L22" s="8" t="s">
        <v>130</v>
      </c>
      <c r="M22" s="8" t="s">
        <v>133</v>
      </c>
      <c r="N22" s="8" t="s">
        <v>127</v>
      </c>
      <c r="O22" s="8" t="s">
        <v>121</v>
      </c>
      <c r="P22" s="8" t="s">
        <v>112</v>
      </c>
      <c r="R22" s="2" t="s">
        <v>1</v>
      </c>
    </row>
    <row r="23" spans="1:18" x14ac:dyDescent="0.2">
      <c r="E23" s="8" t="s">
        <v>266</v>
      </c>
      <c r="F23" s="8" t="s">
        <v>266</v>
      </c>
      <c r="G23" s="8" t="s">
        <v>266</v>
      </c>
      <c r="H23" s="8" t="s">
        <v>266</v>
      </c>
      <c r="I23" s="8" t="s">
        <v>371</v>
      </c>
      <c r="J23" s="8" t="s">
        <v>266</v>
      </c>
      <c r="K23" s="8" t="s">
        <v>144</v>
      </c>
      <c r="L23" s="8" t="s">
        <v>144</v>
      </c>
      <c r="M23" s="8" t="s">
        <v>144</v>
      </c>
      <c r="N23" s="8" t="s">
        <v>144</v>
      </c>
      <c r="O23" s="8" t="s">
        <v>144</v>
      </c>
      <c r="P23" s="8" t="s">
        <v>144</v>
      </c>
      <c r="R23" s="2" t="s">
        <v>1</v>
      </c>
    </row>
    <row r="24" spans="1:18" x14ac:dyDescent="0.2">
      <c r="R24" s="2" t="s">
        <v>1</v>
      </c>
    </row>
    <row r="25" spans="1:18" x14ac:dyDescent="0.2">
      <c r="B25" s="7">
        <f>AVERAGE(B10:B19)</f>
        <v>32009.5</v>
      </c>
      <c r="D25" s="4"/>
      <c r="E25" s="4">
        <f t="shared" ref="E25:P25" si="0">AVERAGE(E10:E19)</f>
        <v>474.3</v>
      </c>
      <c r="F25" s="4">
        <f t="shared" si="0"/>
        <v>82.5</v>
      </c>
      <c r="G25" s="4">
        <f t="shared" si="0"/>
        <v>85.2</v>
      </c>
      <c r="H25" s="4">
        <f t="shared" si="0"/>
        <v>1756.6</v>
      </c>
      <c r="I25" s="4">
        <f t="shared" si="0"/>
        <v>349.5</v>
      </c>
      <c r="J25" s="4">
        <f t="shared" si="0"/>
        <v>362</v>
      </c>
      <c r="K25" s="4">
        <f t="shared" si="0"/>
        <v>450.4</v>
      </c>
      <c r="L25" s="4">
        <f t="shared" si="0"/>
        <v>268.8</v>
      </c>
      <c r="M25" s="4">
        <f t="shared" si="0"/>
        <v>93.2</v>
      </c>
      <c r="N25" s="4">
        <f t="shared" si="0"/>
        <v>26.666666666666668</v>
      </c>
      <c r="O25" s="4">
        <f t="shared" si="0"/>
        <v>220</v>
      </c>
      <c r="P25" s="4">
        <f t="shared" si="0"/>
        <v>177.2</v>
      </c>
      <c r="R25" s="2" t="s">
        <v>1</v>
      </c>
    </row>
    <row r="26" spans="1:18" x14ac:dyDescent="0.2">
      <c r="D26" s="4"/>
      <c r="E26" s="4">
        <f t="shared" ref="E26:P26" si="1">STDEV(E10:E19)</f>
        <v>14.461058820923943</v>
      </c>
      <c r="F26" s="4">
        <f t="shared" si="1"/>
        <v>6.059886320899281</v>
      </c>
      <c r="G26" s="4">
        <f t="shared" si="1"/>
        <v>6.8280467355036629</v>
      </c>
      <c r="H26" s="4">
        <f t="shared" si="1"/>
        <v>13.809819372863322</v>
      </c>
      <c r="I26" s="4">
        <f t="shared" si="1"/>
        <v>1.9002923751652301</v>
      </c>
      <c r="J26" s="4">
        <f t="shared" si="1"/>
        <v>14.491376746189438</v>
      </c>
      <c r="K26" s="4">
        <f t="shared" si="1"/>
        <v>3.0495901363953815</v>
      </c>
      <c r="L26" s="4">
        <f t="shared" si="1"/>
        <v>0.83666002653407556</v>
      </c>
      <c r="M26" s="4">
        <f t="shared" si="1"/>
        <v>73.815310065053581</v>
      </c>
      <c r="N26" s="4">
        <f t="shared" si="1"/>
        <v>9.8149545762236343</v>
      </c>
      <c r="O26" s="4">
        <f t="shared" si="1"/>
        <v>2.1213203435596424</v>
      </c>
      <c r="P26" s="4">
        <f t="shared" si="1"/>
        <v>0.83666002653407556</v>
      </c>
      <c r="R26" s="2" t="s">
        <v>1</v>
      </c>
    </row>
    <row r="27" spans="1:18" x14ac:dyDescent="0.2">
      <c r="D27" s="4"/>
      <c r="E27" s="4">
        <f t="shared" ref="E27:P27" si="2">COUNTA(E10:E19)</f>
        <v>10</v>
      </c>
      <c r="F27" s="4">
        <f t="shared" si="2"/>
        <v>10</v>
      </c>
      <c r="G27" s="4">
        <f t="shared" si="2"/>
        <v>10</v>
      </c>
      <c r="H27" s="4">
        <f t="shared" si="2"/>
        <v>10</v>
      </c>
      <c r="I27" s="4">
        <f t="shared" si="2"/>
        <v>10</v>
      </c>
      <c r="J27" s="4">
        <f t="shared" si="2"/>
        <v>5</v>
      </c>
      <c r="K27" s="4">
        <f t="shared" si="2"/>
        <v>5</v>
      </c>
      <c r="L27" s="4">
        <f t="shared" si="2"/>
        <v>5</v>
      </c>
      <c r="M27" s="4">
        <f t="shared" si="2"/>
        <v>5</v>
      </c>
      <c r="N27" s="4">
        <f t="shared" si="2"/>
        <v>3</v>
      </c>
      <c r="O27" s="4">
        <f t="shared" si="2"/>
        <v>5</v>
      </c>
      <c r="P27" s="4">
        <f t="shared" si="2"/>
        <v>5</v>
      </c>
      <c r="R27" s="2" t="s">
        <v>1</v>
      </c>
    </row>
    <row r="28" spans="1:18" x14ac:dyDescent="0.2">
      <c r="E28" s="2">
        <f>SUM(E27:P27)</f>
        <v>83</v>
      </c>
      <c r="R28" s="2" t="s">
        <v>1</v>
      </c>
    </row>
    <row r="29" spans="1:18" x14ac:dyDescent="0.2">
      <c r="R29" s="2" t="s">
        <v>1</v>
      </c>
    </row>
    <row r="30" spans="1:18" x14ac:dyDescent="0.2">
      <c r="R30" s="2" t="s">
        <v>1</v>
      </c>
    </row>
    <row r="31" spans="1:18" x14ac:dyDescent="0.2">
      <c r="R31" s="2" t="s">
        <v>1</v>
      </c>
    </row>
    <row r="32" spans="1:18" x14ac:dyDescent="0.2">
      <c r="R32" s="2" t="s">
        <v>1</v>
      </c>
    </row>
    <row r="33" spans="18:18" x14ac:dyDescent="0.2">
      <c r="R33" s="2" t="s">
        <v>1</v>
      </c>
    </row>
    <row r="34" spans="18:18" x14ac:dyDescent="0.2">
      <c r="R34" s="2" t="s">
        <v>1</v>
      </c>
    </row>
    <row r="35" spans="18:18" x14ac:dyDescent="0.2">
      <c r="R35" s="2" t="s">
        <v>1</v>
      </c>
    </row>
    <row r="36" spans="18:18" x14ac:dyDescent="0.2">
      <c r="R36" s="2" t="s">
        <v>1</v>
      </c>
    </row>
    <row r="37" spans="18:18" x14ac:dyDescent="0.2">
      <c r="R37" s="2" t="s">
        <v>1</v>
      </c>
    </row>
    <row r="38" spans="18:18" x14ac:dyDescent="0.2">
      <c r="R38" s="2" t="s">
        <v>1</v>
      </c>
    </row>
    <row r="39" spans="18:18" x14ac:dyDescent="0.2">
      <c r="R39" s="2" t="s">
        <v>1</v>
      </c>
    </row>
    <row r="40" spans="18:18" x14ac:dyDescent="0.2">
      <c r="R40" s="2" t="s">
        <v>1</v>
      </c>
    </row>
    <row r="41" spans="18:18" x14ac:dyDescent="0.2">
      <c r="R41" s="2" t="s">
        <v>1</v>
      </c>
    </row>
    <row r="42" spans="18:18" x14ac:dyDescent="0.2">
      <c r="R42" s="2" t="s">
        <v>1</v>
      </c>
    </row>
    <row r="43" spans="18:18" x14ac:dyDescent="0.2">
      <c r="R43" s="2" t="s">
        <v>1</v>
      </c>
    </row>
    <row r="44" spans="18:18" x14ac:dyDescent="0.2">
      <c r="R44" s="2" t="s">
        <v>1</v>
      </c>
    </row>
    <row r="45" spans="18:18" x14ac:dyDescent="0.2">
      <c r="R45" s="2" t="s">
        <v>1</v>
      </c>
    </row>
  </sheetData>
  <pageMargins left="0.5" right="0.5" top="0.75" bottom="0.75" header="0.5" footer="0.5"/>
  <pageSetup orientation="portrait" horizontalDpi="0" verticalDpi="0" copies="0"/>
  <headerFooter alignWithMargins="0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7"/>
  <sheetViews>
    <sheetView showOutlineSymbols="0" defaultGridColor="0" colorId="9" workbookViewId="0">
      <selection activeCell="C4" sqref="C4"/>
    </sheetView>
  </sheetViews>
  <sheetFormatPr defaultColWidth="8.6640625" defaultRowHeight="15" x14ac:dyDescent="0.2"/>
  <cols>
    <col min="1" max="16384" width="8.6640625" style="2"/>
  </cols>
  <sheetData>
    <row r="1" spans="1:29" ht="18" x14ac:dyDescent="0.25">
      <c r="A1" s="18" t="s">
        <v>1908</v>
      </c>
      <c r="AC1" s="2" t="s">
        <v>1</v>
      </c>
    </row>
    <row r="2" spans="1:29" x14ac:dyDescent="0.2">
      <c r="AC2" s="2" t="s">
        <v>1</v>
      </c>
    </row>
    <row r="3" spans="1:29" x14ac:dyDescent="0.2">
      <c r="AC3" s="2" t="s">
        <v>1</v>
      </c>
    </row>
    <row r="4" spans="1:29" x14ac:dyDescent="0.2">
      <c r="A4" s="8" t="s">
        <v>285</v>
      </c>
      <c r="B4" s="15" t="s">
        <v>253</v>
      </c>
      <c r="C4" s="8" t="s">
        <v>117</v>
      </c>
      <c r="D4" s="8" t="s">
        <v>118</v>
      </c>
      <c r="E4" s="8" t="s">
        <v>123</v>
      </c>
      <c r="F4" s="8" t="s">
        <v>134</v>
      </c>
      <c r="G4" s="8" t="s">
        <v>138</v>
      </c>
      <c r="H4" s="8" t="s">
        <v>136</v>
      </c>
      <c r="I4" s="8" t="s">
        <v>130</v>
      </c>
      <c r="J4" s="8" t="s">
        <v>133</v>
      </c>
      <c r="K4" s="8" t="s">
        <v>127</v>
      </c>
      <c r="L4" s="8" t="s">
        <v>121</v>
      </c>
      <c r="M4" s="8" t="s">
        <v>112</v>
      </c>
      <c r="N4" s="8" t="s">
        <v>115</v>
      </c>
      <c r="O4" s="8" t="s">
        <v>126</v>
      </c>
      <c r="P4" s="8" t="s">
        <v>122</v>
      </c>
      <c r="Q4" s="8" t="s">
        <v>113</v>
      </c>
      <c r="R4" s="8" t="s">
        <v>131</v>
      </c>
      <c r="S4" s="8" t="s">
        <v>129</v>
      </c>
      <c r="T4" s="8" t="s">
        <v>149</v>
      </c>
      <c r="U4" s="8" t="s">
        <v>151</v>
      </c>
      <c r="V4" s="8" t="s">
        <v>120</v>
      </c>
      <c r="W4" s="8" t="s">
        <v>160</v>
      </c>
      <c r="X4" s="8" t="s">
        <v>120</v>
      </c>
      <c r="Y4" s="8" t="s">
        <v>158</v>
      </c>
      <c r="Z4" s="8" t="s">
        <v>156</v>
      </c>
      <c r="AA4" s="8" t="s">
        <v>157</v>
      </c>
      <c r="AC4" s="2" t="s">
        <v>1</v>
      </c>
    </row>
    <row r="5" spans="1:29" x14ac:dyDescent="0.2">
      <c r="A5" s="8" t="s">
        <v>290</v>
      </c>
      <c r="C5" s="8" t="s">
        <v>266</v>
      </c>
      <c r="D5" s="8" t="s">
        <v>266</v>
      </c>
      <c r="E5" s="8" t="s">
        <v>266</v>
      </c>
      <c r="F5" s="8" t="s">
        <v>371</v>
      </c>
      <c r="G5" s="8" t="s">
        <v>266</v>
      </c>
      <c r="H5" s="8" t="s">
        <v>144</v>
      </c>
      <c r="I5" s="8" t="s">
        <v>144</v>
      </c>
      <c r="J5" s="8" t="s">
        <v>144</v>
      </c>
      <c r="K5" s="8" t="s">
        <v>144</v>
      </c>
      <c r="L5" s="8" t="s">
        <v>144</v>
      </c>
      <c r="M5" s="8" t="s">
        <v>144</v>
      </c>
      <c r="N5" s="8" t="s">
        <v>144</v>
      </c>
      <c r="O5" s="8" t="s">
        <v>144</v>
      </c>
      <c r="P5" s="8" t="s">
        <v>144</v>
      </c>
      <c r="Q5" s="8" t="s">
        <v>144</v>
      </c>
      <c r="R5" s="8" t="s">
        <v>144</v>
      </c>
      <c r="S5" s="8" t="s">
        <v>144</v>
      </c>
      <c r="T5" s="8" t="s">
        <v>144</v>
      </c>
      <c r="U5" s="8" t="s">
        <v>144</v>
      </c>
      <c r="AC5" s="2" t="s">
        <v>1</v>
      </c>
    </row>
    <row r="6" spans="1:29" x14ac:dyDescent="0.2">
      <c r="AC6" s="2" t="s">
        <v>1</v>
      </c>
    </row>
    <row r="7" spans="1:29" x14ac:dyDescent="0.2">
      <c r="A7" s="2" t="s">
        <v>554</v>
      </c>
      <c r="B7" s="19">
        <v>31234</v>
      </c>
      <c r="C7" s="2">
        <v>649</v>
      </c>
      <c r="D7" s="2">
        <v>373</v>
      </c>
      <c r="E7" s="2">
        <v>1907</v>
      </c>
      <c r="F7" s="2">
        <v>328</v>
      </c>
      <c r="G7" s="2">
        <v>337</v>
      </c>
      <c r="H7" s="2">
        <v>408</v>
      </c>
      <c r="I7" s="2">
        <v>239</v>
      </c>
      <c r="J7" s="2">
        <v>44</v>
      </c>
      <c r="K7" s="2">
        <v>41</v>
      </c>
      <c r="L7" s="2">
        <v>183</v>
      </c>
      <c r="M7" s="2">
        <v>159</v>
      </c>
      <c r="N7" s="2">
        <v>969</v>
      </c>
      <c r="O7" s="2">
        <v>2700</v>
      </c>
      <c r="P7" s="2">
        <v>1310</v>
      </c>
      <c r="Q7" s="2">
        <v>1510</v>
      </c>
      <c r="R7" s="2">
        <v>474</v>
      </c>
      <c r="S7" s="2">
        <v>345</v>
      </c>
      <c r="T7" s="2">
        <v>106</v>
      </c>
      <c r="U7" s="2">
        <v>161</v>
      </c>
      <c r="AC7" s="2" t="s">
        <v>1</v>
      </c>
    </row>
    <row r="8" spans="1:29" x14ac:dyDescent="0.2">
      <c r="A8" s="2" t="s">
        <v>1909</v>
      </c>
      <c r="B8" s="19">
        <v>31234</v>
      </c>
      <c r="C8" s="2">
        <v>585</v>
      </c>
      <c r="D8" s="2">
        <v>463</v>
      </c>
      <c r="E8" s="2">
        <v>1916</v>
      </c>
      <c r="F8" s="2">
        <v>324</v>
      </c>
      <c r="G8" s="2">
        <v>338</v>
      </c>
      <c r="H8" s="2">
        <v>410</v>
      </c>
      <c r="I8" s="2">
        <v>239</v>
      </c>
      <c r="J8" s="2">
        <v>33</v>
      </c>
      <c r="K8" s="2">
        <v>39</v>
      </c>
      <c r="L8" s="2">
        <v>184</v>
      </c>
      <c r="M8" s="2">
        <v>160</v>
      </c>
      <c r="N8" s="2">
        <v>1040</v>
      </c>
      <c r="O8" s="2">
        <v>2760</v>
      </c>
      <c r="P8" s="2">
        <v>1490</v>
      </c>
      <c r="Q8" s="2">
        <v>1750</v>
      </c>
      <c r="R8" s="2">
        <v>481</v>
      </c>
      <c r="S8" s="2">
        <v>408</v>
      </c>
      <c r="T8" s="2">
        <v>111</v>
      </c>
      <c r="U8" s="2">
        <v>155</v>
      </c>
      <c r="AC8" s="2" t="s">
        <v>1</v>
      </c>
    </row>
    <row r="9" spans="1:29" x14ac:dyDescent="0.2">
      <c r="A9" s="2" t="s">
        <v>1910</v>
      </c>
      <c r="B9" s="19">
        <v>31241</v>
      </c>
      <c r="C9" s="2">
        <v>541</v>
      </c>
      <c r="D9" s="2">
        <v>312</v>
      </c>
      <c r="E9" s="2">
        <v>1922</v>
      </c>
      <c r="F9" s="2">
        <v>370</v>
      </c>
      <c r="G9" s="2">
        <v>340</v>
      </c>
      <c r="H9" s="2">
        <v>411</v>
      </c>
      <c r="I9" s="2">
        <v>236</v>
      </c>
      <c r="J9" s="2">
        <v>37</v>
      </c>
      <c r="K9" s="2">
        <v>30</v>
      </c>
      <c r="L9" s="2">
        <v>183</v>
      </c>
      <c r="M9" s="2">
        <v>160</v>
      </c>
      <c r="N9" s="2">
        <v>974</v>
      </c>
      <c r="O9" s="2">
        <v>1920</v>
      </c>
      <c r="P9" s="2">
        <v>1710</v>
      </c>
      <c r="Q9" s="2">
        <v>2350</v>
      </c>
      <c r="R9" s="2">
        <v>281</v>
      </c>
      <c r="S9" s="2">
        <v>355</v>
      </c>
      <c r="T9" s="2">
        <v>76</v>
      </c>
      <c r="U9" s="2">
        <v>95</v>
      </c>
      <c r="AC9" s="2" t="s">
        <v>1</v>
      </c>
    </row>
    <row r="10" spans="1:29" x14ac:dyDescent="0.2">
      <c r="A10" s="2" t="s">
        <v>1911</v>
      </c>
      <c r="B10" s="19">
        <v>31241</v>
      </c>
      <c r="C10" s="2">
        <v>575</v>
      </c>
      <c r="D10" s="2">
        <v>368</v>
      </c>
      <c r="E10" s="2">
        <v>1925</v>
      </c>
      <c r="F10" s="2">
        <v>361</v>
      </c>
      <c r="G10" s="2">
        <v>340</v>
      </c>
      <c r="H10" s="2">
        <v>416</v>
      </c>
      <c r="I10" s="2">
        <v>238</v>
      </c>
      <c r="J10" s="2">
        <v>45</v>
      </c>
      <c r="K10" s="2">
        <v>36</v>
      </c>
      <c r="L10" s="2">
        <v>178</v>
      </c>
      <c r="M10" s="2">
        <v>157</v>
      </c>
      <c r="N10" s="2">
        <v>1034</v>
      </c>
      <c r="O10" s="2">
        <v>1950</v>
      </c>
      <c r="P10" s="2">
        <v>1470</v>
      </c>
      <c r="Q10" s="2">
        <v>2030</v>
      </c>
      <c r="R10" s="2">
        <v>276</v>
      </c>
      <c r="S10" s="2">
        <v>349</v>
      </c>
      <c r="T10" s="2">
        <v>78</v>
      </c>
      <c r="U10" s="2">
        <v>101</v>
      </c>
      <c r="AC10" s="2" t="s">
        <v>1</v>
      </c>
    </row>
    <row r="11" spans="1:29" x14ac:dyDescent="0.2">
      <c r="A11" s="2" t="s">
        <v>1912</v>
      </c>
      <c r="B11" s="19">
        <v>31248</v>
      </c>
      <c r="C11" s="2">
        <v>4078</v>
      </c>
      <c r="D11" s="2">
        <v>367</v>
      </c>
      <c r="E11" s="2">
        <v>2157</v>
      </c>
      <c r="F11" s="2">
        <v>310</v>
      </c>
      <c r="G11" s="2">
        <v>468</v>
      </c>
      <c r="H11" s="2">
        <v>407</v>
      </c>
      <c r="I11" s="2">
        <v>243</v>
      </c>
      <c r="J11" s="8" t="s">
        <v>509</v>
      </c>
      <c r="K11" s="2">
        <v>32</v>
      </c>
      <c r="L11" s="2">
        <v>176</v>
      </c>
      <c r="M11" s="2">
        <v>167</v>
      </c>
      <c r="N11" s="2">
        <v>1555</v>
      </c>
      <c r="O11" s="2">
        <v>16500</v>
      </c>
      <c r="P11" s="2">
        <v>3140</v>
      </c>
      <c r="Q11" s="2">
        <v>1850</v>
      </c>
      <c r="R11" s="2">
        <v>5150</v>
      </c>
      <c r="S11" s="2">
        <v>4780</v>
      </c>
      <c r="T11" s="2">
        <v>394</v>
      </c>
      <c r="U11" s="2">
        <v>1640</v>
      </c>
      <c r="AC11" s="2" t="s">
        <v>1</v>
      </c>
    </row>
    <row r="12" spans="1:29" x14ac:dyDescent="0.2">
      <c r="A12" s="2" t="s">
        <v>1913</v>
      </c>
      <c r="B12" s="19">
        <v>31248</v>
      </c>
      <c r="C12" s="2">
        <v>594</v>
      </c>
      <c r="D12" s="2">
        <v>353</v>
      </c>
      <c r="E12" s="2">
        <v>2076</v>
      </c>
      <c r="F12" s="2">
        <v>331</v>
      </c>
      <c r="G12" s="2">
        <v>340</v>
      </c>
      <c r="H12" s="2">
        <v>402</v>
      </c>
      <c r="I12" s="2">
        <v>236</v>
      </c>
      <c r="K12" s="2">
        <v>34</v>
      </c>
      <c r="L12" s="2">
        <v>172</v>
      </c>
      <c r="M12" s="2">
        <v>167</v>
      </c>
      <c r="N12" s="2">
        <v>1135</v>
      </c>
      <c r="O12" s="2">
        <v>2550</v>
      </c>
      <c r="P12" s="2">
        <v>1790</v>
      </c>
      <c r="Q12" s="2">
        <v>1900</v>
      </c>
      <c r="R12" s="2">
        <v>348</v>
      </c>
      <c r="S12" s="2">
        <v>703</v>
      </c>
      <c r="T12" s="2">
        <v>88</v>
      </c>
      <c r="U12" s="2">
        <v>138</v>
      </c>
      <c r="AC12" s="2" t="s">
        <v>1</v>
      </c>
    </row>
    <row r="13" spans="1:29" x14ac:dyDescent="0.2">
      <c r="A13" s="2" t="s">
        <v>1914</v>
      </c>
      <c r="B13" s="19">
        <v>31248</v>
      </c>
      <c r="C13" s="2">
        <v>558</v>
      </c>
      <c r="D13" s="2">
        <v>330</v>
      </c>
      <c r="E13" s="2">
        <v>2058</v>
      </c>
      <c r="F13" s="2">
        <v>315</v>
      </c>
      <c r="G13" s="2">
        <v>341</v>
      </c>
      <c r="H13" s="2">
        <v>401</v>
      </c>
      <c r="I13" s="2">
        <v>236</v>
      </c>
      <c r="K13" s="2">
        <v>37</v>
      </c>
      <c r="L13" s="2">
        <v>170</v>
      </c>
      <c r="M13" s="2">
        <v>164</v>
      </c>
      <c r="N13" s="2">
        <v>939</v>
      </c>
      <c r="O13" s="2">
        <v>2120</v>
      </c>
      <c r="P13" s="2">
        <v>1370</v>
      </c>
      <c r="Q13" s="2">
        <v>1980</v>
      </c>
      <c r="R13" s="2">
        <v>313</v>
      </c>
      <c r="S13" s="2">
        <v>485</v>
      </c>
      <c r="T13" s="2">
        <v>117</v>
      </c>
      <c r="U13" s="2">
        <v>141</v>
      </c>
      <c r="AC13" s="2" t="s">
        <v>1</v>
      </c>
    </row>
    <row r="14" spans="1:29" x14ac:dyDescent="0.2">
      <c r="A14" s="2" t="s">
        <v>1915</v>
      </c>
      <c r="B14" s="19">
        <v>31248</v>
      </c>
      <c r="C14" s="2">
        <v>580</v>
      </c>
      <c r="D14" s="2">
        <v>337</v>
      </c>
      <c r="E14" s="2">
        <v>2080</v>
      </c>
      <c r="F14" s="2">
        <v>400</v>
      </c>
      <c r="G14" s="2">
        <v>342</v>
      </c>
      <c r="H14" s="2">
        <v>407</v>
      </c>
      <c r="I14" s="2">
        <v>236</v>
      </c>
      <c r="J14" s="8" t="s">
        <v>509</v>
      </c>
      <c r="K14" s="2">
        <v>40</v>
      </c>
      <c r="L14" s="2">
        <v>169</v>
      </c>
      <c r="M14" s="2">
        <v>161</v>
      </c>
      <c r="N14" s="2">
        <v>1128</v>
      </c>
      <c r="O14" s="2">
        <v>2070</v>
      </c>
      <c r="P14" s="2">
        <v>1470</v>
      </c>
      <c r="Q14" s="2">
        <v>1970</v>
      </c>
      <c r="R14" s="2">
        <v>305</v>
      </c>
      <c r="S14" s="2">
        <v>475</v>
      </c>
      <c r="T14" s="2">
        <v>88</v>
      </c>
      <c r="U14" s="2">
        <v>112</v>
      </c>
      <c r="AC14" s="2" t="s">
        <v>1</v>
      </c>
    </row>
    <row r="15" spans="1:29" x14ac:dyDescent="0.2">
      <c r="A15" s="2" t="s">
        <v>1916</v>
      </c>
      <c r="B15" s="19">
        <v>31262</v>
      </c>
      <c r="C15" s="2">
        <v>567</v>
      </c>
      <c r="D15" s="2">
        <v>323</v>
      </c>
      <c r="E15" s="2">
        <v>2091</v>
      </c>
      <c r="F15" s="2">
        <v>342</v>
      </c>
      <c r="G15" s="2">
        <v>346</v>
      </c>
      <c r="H15" s="2">
        <v>422</v>
      </c>
      <c r="I15" s="2">
        <v>221</v>
      </c>
      <c r="K15" s="2">
        <v>42</v>
      </c>
      <c r="L15" s="2">
        <v>173</v>
      </c>
      <c r="M15" s="2">
        <v>158</v>
      </c>
      <c r="N15" s="2">
        <v>906</v>
      </c>
      <c r="O15" s="2">
        <v>2030</v>
      </c>
      <c r="P15" s="2">
        <v>1650</v>
      </c>
      <c r="Q15" s="2">
        <v>2030</v>
      </c>
      <c r="R15" s="2">
        <v>312</v>
      </c>
      <c r="S15" s="2">
        <v>684</v>
      </c>
      <c r="T15" s="2">
        <v>98</v>
      </c>
      <c r="U15" s="2">
        <v>140</v>
      </c>
      <c r="AC15" s="2" t="s">
        <v>1</v>
      </c>
    </row>
    <row r="16" spans="1:29" x14ac:dyDescent="0.2">
      <c r="A16" s="2" t="s">
        <v>1917</v>
      </c>
      <c r="B16" s="19">
        <v>31262</v>
      </c>
      <c r="C16" s="2">
        <v>633</v>
      </c>
      <c r="D16" s="2">
        <v>366</v>
      </c>
      <c r="E16" s="2">
        <v>2096</v>
      </c>
      <c r="F16" s="2">
        <v>386</v>
      </c>
      <c r="G16" s="2">
        <v>344</v>
      </c>
      <c r="H16" s="2">
        <v>436</v>
      </c>
      <c r="I16" s="2">
        <v>234</v>
      </c>
      <c r="K16" s="2">
        <v>48</v>
      </c>
      <c r="L16" s="2">
        <v>158</v>
      </c>
      <c r="M16" s="2">
        <v>163</v>
      </c>
      <c r="N16" s="2">
        <v>1255</v>
      </c>
      <c r="O16" s="2">
        <v>2530</v>
      </c>
      <c r="P16" s="2">
        <v>2290</v>
      </c>
      <c r="Q16" s="2">
        <v>2210</v>
      </c>
      <c r="R16" s="2">
        <v>406</v>
      </c>
      <c r="S16" s="2">
        <v>1170</v>
      </c>
      <c r="T16" s="2">
        <v>131</v>
      </c>
      <c r="U16" s="2">
        <v>191</v>
      </c>
      <c r="AC16" s="2" t="s">
        <v>1</v>
      </c>
    </row>
    <row r="17" spans="1:29" x14ac:dyDescent="0.2">
      <c r="A17" s="2" t="s">
        <v>1918</v>
      </c>
      <c r="B17" s="19">
        <v>31262</v>
      </c>
      <c r="C17" s="2">
        <v>577</v>
      </c>
      <c r="D17" s="2">
        <v>443</v>
      </c>
      <c r="E17" s="2">
        <v>2341</v>
      </c>
      <c r="F17" s="2">
        <v>332</v>
      </c>
      <c r="G17" s="2">
        <v>354</v>
      </c>
      <c r="H17" s="2">
        <v>413</v>
      </c>
      <c r="I17" s="2">
        <v>244</v>
      </c>
      <c r="K17" s="2">
        <v>44</v>
      </c>
      <c r="L17" s="2">
        <v>178</v>
      </c>
      <c r="M17" s="2">
        <v>171</v>
      </c>
      <c r="N17" s="2">
        <v>1114</v>
      </c>
      <c r="O17" s="2">
        <v>3030</v>
      </c>
      <c r="P17" s="2">
        <v>1460</v>
      </c>
      <c r="Q17" s="2">
        <v>2290</v>
      </c>
      <c r="R17" s="2">
        <v>440</v>
      </c>
      <c r="S17" s="2">
        <v>513</v>
      </c>
      <c r="T17" s="2">
        <v>116</v>
      </c>
      <c r="U17" s="2">
        <v>140</v>
      </c>
      <c r="AC17" s="2" t="s">
        <v>1</v>
      </c>
    </row>
    <row r="18" spans="1:29" x14ac:dyDescent="0.2">
      <c r="A18" s="2" t="s">
        <v>1919</v>
      </c>
      <c r="B18" s="19">
        <v>31262</v>
      </c>
      <c r="C18" s="2">
        <v>584</v>
      </c>
      <c r="D18" s="2">
        <v>410</v>
      </c>
      <c r="E18" s="2">
        <v>2342</v>
      </c>
      <c r="F18" s="2">
        <v>388</v>
      </c>
      <c r="G18" s="2">
        <v>342</v>
      </c>
      <c r="H18" s="2">
        <v>411</v>
      </c>
      <c r="I18" s="2">
        <v>245</v>
      </c>
      <c r="K18" s="2">
        <v>45</v>
      </c>
      <c r="L18" s="2">
        <v>175</v>
      </c>
      <c r="M18" s="2">
        <v>171</v>
      </c>
      <c r="N18" s="2">
        <v>1030</v>
      </c>
      <c r="O18" s="2">
        <v>2900</v>
      </c>
      <c r="P18" s="2">
        <v>1250</v>
      </c>
      <c r="Q18" s="2">
        <v>2310</v>
      </c>
      <c r="R18" s="2">
        <v>443</v>
      </c>
      <c r="S18" s="2">
        <v>297</v>
      </c>
      <c r="T18" s="2">
        <v>135</v>
      </c>
      <c r="U18" s="2">
        <v>175</v>
      </c>
      <c r="AC18" s="2" t="s">
        <v>1</v>
      </c>
    </row>
    <row r="19" spans="1:29" x14ac:dyDescent="0.2">
      <c r="A19" s="2" t="s">
        <v>1920</v>
      </c>
      <c r="B19" s="19">
        <v>32044</v>
      </c>
      <c r="C19" s="2">
        <v>585</v>
      </c>
      <c r="D19" s="2">
        <v>309</v>
      </c>
      <c r="E19" s="2">
        <v>1897</v>
      </c>
      <c r="F19" s="2">
        <v>355</v>
      </c>
      <c r="G19" s="2">
        <v>346</v>
      </c>
      <c r="H19" s="2">
        <v>458</v>
      </c>
      <c r="I19" s="2">
        <v>262</v>
      </c>
      <c r="J19" s="2">
        <v>40</v>
      </c>
      <c r="K19" s="2">
        <v>35</v>
      </c>
      <c r="L19" s="2">
        <v>217</v>
      </c>
      <c r="M19" s="2">
        <v>182</v>
      </c>
      <c r="N19" s="2">
        <v>886</v>
      </c>
      <c r="AC19" s="2" t="s">
        <v>1</v>
      </c>
    </row>
    <row r="20" spans="1:29" x14ac:dyDescent="0.2">
      <c r="A20" s="2" t="s">
        <v>1921</v>
      </c>
      <c r="B20" s="19">
        <v>32044</v>
      </c>
      <c r="C20" s="2">
        <v>716</v>
      </c>
      <c r="D20" s="2">
        <v>885</v>
      </c>
      <c r="F20" s="2">
        <v>395</v>
      </c>
      <c r="G20" s="2">
        <v>350</v>
      </c>
      <c r="H20" s="2">
        <v>471</v>
      </c>
      <c r="I20" s="2">
        <v>269</v>
      </c>
      <c r="J20" s="2">
        <v>41</v>
      </c>
      <c r="K20" s="2">
        <v>77</v>
      </c>
      <c r="L20" s="2">
        <v>218</v>
      </c>
      <c r="M20" s="2">
        <v>182</v>
      </c>
      <c r="N20" s="2">
        <v>1309</v>
      </c>
      <c r="AC20" s="2" t="s">
        <v>1</v>
      </c>
    </row>
    <row r="21" spans="1:29" x14ac:dyDescent="0.2">
      <c r="A21" s="2" t="s">
        <v>1922</v>
      </c>
      <c r="B21" s="19">
        <v>32044</v>
      </c>
      <c r="C21" s="2">
        <v>619</v>
      </c>
      <c r="D21" s="2">
        <v>511</v>
      </c>
      <c r="E21" s="2">
        <v>2537</v>
      </c>
      <c r="F21" s="2">
        <v>375</v>
      </c>
      <c r="G21" s="2">
        <v>349</v>
      </c>
      <c r="H21" s="2">
        <v>461</v>
      </c>
      <c r="I21" s="2">
        <v>270</v>
      </c>
      <c r="J21" s="2">
        <v>41</v>
      </c>
      <c r="K21" s="2">
        <v>35</v>
      </c>
      <c r="L21" s="2">
        <v>218</v>
      </c>
      <c r="M21" s="2">
        <v>180</v>
      </c>
      <c r="N21" s="2">
        <v>1162</v>
      </c>
      <c r="AC21" s="2" t="s">
        <v>1</v>
      </c>
    </row>
    <row r="22" spans="1:29" x14ac:dyDescent="0.2">
      <c r="A22" s="2" t="s">
        <v>1923</v>
      </c>
      <c r="B22" s="19">
        <v>32044</v>
      </c>
      <c r="C22" s="2">
        <v>705</v>
      </c>
      <c r="D22" s="2">
        <v>827</v>
      </c>
      <c r="E22" s="2">
        <v>2180</v>
      </c>
      <c r="F22" s="2">
        <v>389</v>
      </c>
      <c r="G22" s="2">
        <v>354</v>
      </c>
      <c r="H22" s="2">
        <v>528</v>
      </c>
      <c r="I22" s="2">
        <v>277</v>
      </c>
      <c r="J22" s="2">
        <v>43</v>
      </c>
      <c r="K22" s="2">
        <v>54</v>
      </c>
      <c r="L22" s="2">
        <v>224</v>
      </c>
      <c r="M22" s="2">
        <v>190</v>
      </c>
      <c r="N22" s="2">
        <v>713</v>
      </c>
      <c r="AC22" s="2" t="s">
        <v>1</v>
      </c>
    </row>
    <row r="23" spans="1:29" x14ac:dyDescent="0.2">
      <c r="A23" s="2" t="s">
        <v>1924</v>
      </c>
      <c r="B23" s="19">
        <v>32046</v>
      </c>
      <c r="C23" s="2">
        <v>553</v>
      </c>
      <c r="D23" s="2">
        <v>347</v>
      </c>
      <c r="E23" s="2">
        <v>2053</v>
      </c>
      <c r="F23" s="2">
        <v>357</v>
      </c>
      <c r="G23" s="2">
        <v>345</v>
      </c>
      <c r="H23" s="2">
        <v>458</v>
      </c>
      <c r="I23" s="2">
        <v>270</v>
      </c>
      <c r="J23" s="2">
        <v>46</v>
      </c>
      <c r="K23" s="2">
        <v>52</v>
      </c>
      <c r="L23" s="2">
        <v>214</v>
      </c>
      <c r="M23" s="2">
        <v>208</v>
      </c>
      <c r="N23" s="2">
        <v>1021</v>
      </c>
      <c r="AC23" s="2" t="s">
        <v>1</v>
      </c>
    </row>
    <row r="24" spans="1:29" x14ac:dyDescent="0.2">
      <c r="A24" s="2" t="s">
        <v>1925</v>
      </c>
      <c r="B24" s="19">
        <v>32046</v>
      </c>
      <c r="C24" s="2">
        <v>556</v>
      </c>
      <c r="D24" s="2">
        <v>335</v>
      </c>
      <c r="E24" s="2">
        <v>2064</v>
      </c>
      <c r="F24" s="2">
        <v>363</v>
      </c>
      <c r="G24" s="2">
        <v>343</v>
      </c>
      <c r="I24" s="2">
        <v>273</v>
      </c>
      <c r="J24" s="2">
        <v>42</v>
      </c>
      <c r="K24" s="2">
        <v>116</v>
      </c>
      <c r="L24" s="2">
        <v>218</v>
      </c>
      <c r="M24" s="2">
        <v>258</v>
      </c>
      <c r="N24" s="2">
        <v>1007</v>
      </c>
      <c r="AC24" s="2" t="s">
        <v>1</v>
      </c>
    </row>
    <row r="25" spans="1:29" x14ac:dyDescent="0.2">
      <c r="A25" s="2" t="s">
        <v>1926</v>
      </c>
      <c r="B25" s="19">
        <v>32046</v>
      </c>
      <c r="C25" s="2">
        <v>547</v>
      </c>
      <c r="D25" s="2">
        <v>318</v>
      </c>
      <c r="E25" s="2">
        <v>2251</v>
      </c>
      <c r="F25" s="2">
        <v>356</v>
      </c>
      <c r="G25" s="2">
        <v>346</v>
      </c>
      <c r="H25" s="2">
        <v>461</v>
      </c>
      <c r="I25" s="2">
        <v>274</v>
      </c>
      <c r="J25" s="2">
        <v>40</v>
      </c>
      <c r="K25" s="2">
        <v>40</v>
      </c>
      <c r="L25" s="2">
        <v>220</v>
      </c>
      <c r="M25" s="2">
        <v>189</v>
      </c>
      <c r="N25" s="2">
        <v>848</v>
      </c>
      <c r="AC25" s="2" t="s">
        <v>1</v>
      </c>
    </row>
    <row r="26" spans="1:29" x14ac:dyDescent="0.2">
      <c r="A26" s="2" t="s">
        <v>1927</v>
      </c>
      <c r="B26" s="19">
        <v>32046</v>
      </c>
      <c r="D26" s="2">
        <v>792</v>
      </c>
      <c r="E26" s="2">
        <v>2570</v>
      </c>
      <c r="F26" s="2">
        <v>378</v>
      </c>
      <c r="G26" s="2">
        <v>346</v>
      </c>
      <c r="H26" s="2">
        <v>459</v>
      </c>
      <c r="I26" s="2">
        <v>270</v>
      </c>
      <c r="J26" s="2">
        <v>41</v>
      </c>
      <c r="K26" s="2">
        <v>40</v>
      </c>
      <c r="L26" s="2">
        <v>216</v>
      </c>
      <c r="M26" s="2">
        <v>178</v>
      </c>
      <c r="N26" s="2">
        <v>1142</v>
      </c>
      <c r="AC26" s="2" t="s">
        <v>1</v>
      </c>
    </row>
    <row r="27" spans="1:29" x14ac:dyDescent="0.2">
      <c r="A27" s="2" t="s">
        <v>1922</v>
      </c>
      <c r="B27" s="19">
        <f>DATE(87,9,26)</f>
        <v>32046</v>
      </c>
      <c r="C27" s="2">
        <v>619</v>
      </c>
      <c r="D27" s="2">
        <v>511</v>
      </c>
      <c r="E27" s="2">
        <v>2506</v>
      </c>
      <c r="F27" s="2">
        <v>375</v>
      </c>
      <c r="G27" s="2">
        <v>349</v>
      </c>
      <c r="H27" s="2">
        <v>461</v>
      </c>
      <c r="I27" s="2">
        <v>270</v>
      </c>
      <c r="J27" s="2">
        <v>41</v>
      </c>
      <c r="K27" s="2">
        <v>35</v>
      </c>
      <c r="L27" s="2">
        <v>218</v>
      </c>
      <c r="M27" s="2">
        <v>180</v>
      </c>
      <c r="N27" s="2">
        <v>1162</v>
      </c>
      <c r="V27" s="2">
        <v>9.6999999999999993</v>
      </c>
      <c r="W27" s="2">
        <v>7.9</v>
      </c>
      <c r="X27" s="2">
        <v>1.9</v>
      </c>
      <c r="Y27" s="2">
        <v>2.1</v>
      </c>
      <c r="Z27" s="2">
        <v>4.5999999999999996</v>
      </c>
      <c r="AA27" s="2">
        <v>2.8</v>
      </c>
      <c r="AC27" s="2" t="s">
        <v>1</v>
      </c>
    </row>
    <row r="28" spans="1:29" x14ac:dyDescent="0.2">
      <c r="A28" s="2" t="s">
        <v>1927</v>
      </c>
      <c r="B28" s="19">
        <f>DATE(87,9,26)</f>
        <v>32046</v>
      </c>
      <c r="D28" s="2">
        <v>792</v>
      </c>
      <c r="E28" s="2">
        <v>2549</v>
      </c>
      <c r="F28" s="2">
        <v>378</v>
      </c>
      <c r="G28" s="2">
        <v>346</v>
      </c>
      <c r="H28" s="2">
        <v>459</v>
      </c>
      <c r="I28" s="2">
        <v>270</v>
      </c>
      <c r="J28" s="2">
        <v>41</v>
      </c>
      <c r="K28" s="2">
        <v>40</v>
      </c>
      <c r="L28" s="2">
        <v>216</v>
      </c>
      <c r="M28" s="2">
        <v>178</v>
      </c>
      <c r="N28" s="2">
        <v>1142</v>
      </c>
      <c r="V28" s="2">
        <v>5.8</v>
      </c>
      <c r="W28" s="2">
        <v>3.1</v>
      </c>
      <c r="X28" s="2">
        <v>0</v>
      </c>
      <c r="Y28" s="2">
        <v>0</v>
      </c>
      <c r="Z28" s="2">
        <v>0.4</v>
      </c>
      <c r="AA28" s="2">
        <v>0</v>
      </c>
      <c r="AC28" s="2" t="s">
        <v>1</v>
      </c>
    </row>
    <row r="29" spans="1:29" x14ac:dyDescent="0.2">
      <c r="A29" s="2" t="s">
        <v>1926</v>
      </c>
      <c r="B29" s="19">
        <f>DATE(87,9,26)</f>
        <v>32046</v>
      </c>
      <c r="C29" s="2">
        <v>547</v>
      </c>
      <c r="D29" s="2">
        <v>318</v>
      </c>
      <c r="E29" s="2">
        <v>2260</v>
      </c>
      <c r="F29" s="2">
        <v>356</v>
      </c>
      <c r="G29" s="2">
        <v>346</v>
      </c>
      <c r="H29" s="2">
        <v>461</v>
      </c>
      <c r="I29" s="2">
        <v>274</v>
      </c>
      <c r="J29" s="2">
        <v>40</v>
      </c>
      <c r="K29" s="2">
        <v>40</v>
      </c>
      <c r="L29" s="2">
        <v>220</v>
      </c>
      <c r="M29" s="2">
        <v>189</v>
      </c>
      <c r="N29" s="2">
        <v>848</v>
      </c>
      <c r="V29" s="2">
        <v>3.5</v>
      </c>
      <c r="W29" s="2">
        <v>1.4</v>
      </c>
      <c r="X29" s="2">
        <v>0</v>
      </c>
      <c r="Y29" s="2">
        <v>0</v>
      </c>
      <c r="Z29" s="2">
        <v>0.1</v>
      </c>
      <c r="AA29" s="2">
        <v>0</v>
      </c>
      <c r="AC29" s="2" t="s">
        <v>1</v>
      </c>
    </row>
    <row r="30" spans="1:29" x14ac:dyDescent="0.2">
      <c r="A30" s="2" t="s">
        <v>1924</v>
      </c>
      <c r="B30" s="19">
        <f>DATE(87,9,26)</f>
        <v>32046</v>
      </c>
      <c r="C30" s="2">
        <v>553</v>
      </c>
      <c r="D30" s="2">
        <v>347</v>
      </c>
      <c r="E30" s="2">
        <v>2055</v>
      </c>
      <c r="F30" s="2">
        <v>357</v>
      </c>
      <c r="G30" s="2">
        <v>345</v>
      </c>
      <c r="H30" s="2">
        <v>458</v>
      </c>
      <c r="I30" s="2">
        <v>270</v>
      </c>
      <c r="J30" s="2">
        <v>46</v>
      </c>
      <c r="K30" s="2">
        <v>52</v>
      </c>
      <c r="L30" s="2">
        <v>214</v>
      </c>
      <c r="M30" s="2">
        <v>208</v>
      </c>
      <c r="N30" s="2">
        <v>1021</v>
      </c>
      <c r="V30" s="2">
        <v>2.7</v>
      </c>
      <c r="W30" s="2">
        <v>2.2000000000000002</v>
      </c>
      <c r="X30" s="2">
        <v>0.5</v>
      </c>
      <c r="Y30" s="2">
        <v>0</v>
      </c>
      <c r="Z30" s="2">
        <v>0.5</v>
      </c>
      <c r="AA30" s="2">
        <v>0</v>
      </c>
      <c r="AC30" s="2" t="s">
        <v>1</v>
      </c>
    </row>
    <row r="31" spans="1:29" x14ac:dyDescent="0.2">
      <c r="A31" s="2" t="s">
        <v>1925</v>
      </c>
      <c r="B31" s="19">
        <f>DATE(87,9,26)</f>
        <v>32046</v>
      </c>
      <c r="C31" s="2">
        <v>556</v>
      </c>
      <c r="D31" s="2">
        <v>335</v>
      </c>
      <c r="E31" s="2">
        <v>2066</v>
      </c>
      <c r="F31" s="2">
        <v>363</v>
      </c>
      <c r="G31" s="2">
        <v>343</v>
      </c>
      <c r="I31" s="2">
        <v>273</v>
      </c>
      <c r="J31" s="2">
        <v>42</v>
      </c>
      <c r="K31" s="2">
        <v>116</v>
      </c>
      <c r="L31" s="2">
        <v>218</v>
      </c>
      <c r="M31" s="2">
        <v>258</v>
      </c>
      <c r="N31" s="2">
        <v>1007</v>
      </c>
      <c r="V31" s="2">
        <v>12.3</v>
      </c>
      <c r="W31" s="2">
        <v>1.4</v>
      </c>
      <c r="X31" s="2">
        <v>0</v>
      </c>
      <c r="Y31" s="2">
        <v>0</v>
      </c>
      <c r="Z31" s="2">
        <v>0</v>
      </c>
      <c r="AA31" s="2">
        <v>0</v>
      </c>
      <c r="AC31" s="2" t="s">
        <v>1</v>
      </c>
    </row>
    <row r="32" spans="1:29" x14ac:dyDescent="0.2">
      <c r="A32" s="2" t="s">
        <v>1928</v>
      </c>
      <c r="B32" s="19">
        <v>32047</v>
      </c>
      <c r="C32" s="2">
        <v>1133</v>
      </c>
      <c r="D32" s="2">
        <v>1962</v>
      </c>
      <c r="E32" s="2">
        <v>3148</v>
      </c>
      <c r="F32" s="2">
        <v>423</v>
      </c>
      <c r="G32" s="2">
        <v>357</v>
      </c>
      <c r="H32" s="2">
        <v>899</v>
      </c>
      <c r="I32" s="2">
        <v>1337</v>
      </c>
      <c r="J32" s="2">
        <v>39</v>
      </c>
      <c r="K32" s="2">
        <v>306</v>
      </c>
      <c r="L32" s="2">
        <v>220</v>
      </c>
      <c r="M32" s="2">
        <v>414</v>
      </c>
      <c r="N32" s="2">
        <v>1117</v>
      </c>
      <c r="AC32" s="2" t="s">
        <v>1</v>
      </c>
    </row>
    <row r="33" spans="1:29" x14ac:dyDescent="0.2">
      <c r="A33" s="2" t="s">
        <v>1929</v>
      </c>
      <c r="B33" s="19">
        <v>32048</v>
      </c>
      <c r="C33" s="2">
        <v>763</v>
      </c>
      <c r="D33" s="2">
        <v>653</v>
      </c>
      <c r="E33" s="2">
        <v>3064</v>
      </c>
      <c r="F33" s="2">
        <v>387</v>
      </c>
      <c r="G33" s="2">
        <v>352</v>
      </c>
      <c r="H33" s="2">
        <v>483</v>
      </c>
      <c r="I33" s="2">
        <v>277</v>
      </c>
      <c r="J33" s="2">
        <v>40</v>
      </c>
      <c r="K33" s="2">
        <v>79</v>
      </c>
      <c r="L33" s="2">
        <v>222</v>
      </c>
      <c r="M33" s="2">
        <v>204</v>
      </c>
      <c r="N33" s="2">
        <v>765</v>
      </c>
      <c r="AC33" s="2" t="s">
        <v>1</v>
      </c>
    </row>
    <row r="34" spans="1:29" x14ac:dyDescent="0.2">
      <c r="A34" s="2" t="s">
        <v>1930</v>
      </c>
      <c r="B34" s="19">
        <v>32049</v>
      </c>
      <c r="C34" s="2">
        <v>3191</v>
      </c>
      <c r="D34" s="2">
        <v>3749</v>
      </c>
      <c r="E34" s="2">
        <v>2084</v>
      </c>
      <c r="F34" s="2">
        <v>425</v>
      </c>
      <c r="G34" s="2">
        <v>358</v>
      </c>
      <c r="H34" s="2">
        <v>509</v>
      </c>
      <c r="I34" s="2">
        <v>291</v>
      </c>
      <c r="J34" s="2">
        <v>49</v>
      </c>
      <c r="K34" s="2">
        <v>234</v>
      </c>
      <c r="L34" s="2">
        <v>233</v>
      </c>
      <c r="M34" s="2">
        <v>200</v>
      </c>
      <c r="N34" s="2">
        <v>1848</v>
      </c>
      <c r="AC34" s="2" t="s">
        <v>1</v>
      </c>
    </row>
    <row r="35" spans="1:29" x14ac:dyDescent="0.2">
      <c r="A35" s="2" t="s">
        <v>1931</v>
      </c>
      <c r="B35" s="19">
        <v>32253</v>
      </c>
      <c r="C35" s="2">
        <v>514</v>
      </c>
      <c r="D35" s="2">
        <v>211</v>
      </c>
      <c r="E35" s="2">
        <v>1873</v>
      </c>
      <c r="F35" s="2">
        <v>355</v>
      </c>
      <c r="G35" s="2">
        <v>343</v>
      </c>
      <c r="H35" s="2">
        <v>449</v>
      </c>
      <c r="I35" s="2">
        <v>275</v>
      </c>
      <c r="J35" s="2">
        <v>44</v>
      </c>
      <c r="L35" s="2">
        <v>213</v>
      </c>
      <c r="M35" s="2">
        <v>161</v>
      </c>
      <c r="N35" s="2">
        <v>722</v>
      </c>
      <c r="O35" s="4">
        <v>2010</v>
      </c>
      <c r="P35" s="4">
        <v>2110</v>
      </c>
      <c r="Q35" s="4">
        <v>1410</v>
      </c>
      <c r="R35" s="4">
        <v>581</v>
      </c>
      <c r="S35" s="4">
        <v>309</v>
      </c>
      <c r="T35" s="4">
        <v>211</v>
      </c>
      <c r="U35" s="4">
        <v>269</v>
      </c>
      <c r="V35" s="19"/>
      <c r="AC35" s="2" t="s">
        <v>1</v>
      </c>
    </row>
    <row r="36" spans="1:29" x14ac:dyDescent="0.2">
      <c r="A36" s="2" t="s">
        <v>1932</v>
      </c>
      <c r="B36" s="19">
        <v>32254</v>
      </c>
      <c r="C36" s="2">
        <v>527</v>
      </c>
      <c r="D36" s="2">
        <v>192</v>
      </c>
      <c r="E36" s="2">
        <v>1776</v>
      </c>
      <c r="F36" s="2">
        <v>357</v>
      </c>
      <c r="G36" s="2">
        <v>343</v>
      </c>
      <c r="H36" s="2">
        <v>468</v>
      </c>
      <c r="I36" s="2">
        <v>276</v>
      </c>
      <c r="J36" s="2">
        <v>69</v>
      </c>
      <c r="K36" s="2">
        <v>21</v>
      </c>
      <c r="L36" s="2">
        <v>211</v>
      </c>
      <c r="M36" s="2">
        <v>162</v>
      </c>
      <c r="O36" s="4">
        <v>2210</v>
      </c>
      <c r="P36" s="4">
        <v>2190</v>
      </c>
      <c r="Q36" s="4">
        <v>1250</v>
      </c>
      <c r="R36" s="4">
        <v>637</v>
      </c>
      <c r="S36" s="4">
        <v>265</v>
      </c>
      <c r="T36" s="4">
        <v>122</v>
      </c>
      <c r="U36" s="4">
        <v>173</v>
      </c>
      <c r="V36" s="19"/>
      <c r="AC36" s="2" t="s">
        <v>1</v>
      </c>
    </row>
    <row r="37" spans="1:29" x14ac:dyDescent="0.2">
      <c r="A37" s="2" t="s">
        <v>615</v>
      </c>
      <c r="B37" s="19">
        <v>32255</v>
      </c>
      <c r="C37" s="2">
        <v>525</v>
      </c>
      <c r="D37" s="2">
        <v>236</v>
      </c>
      <c r="F37" s="2">
        <v>354</v>
      </c>
      <c r="G37" s="2">
        <v>343</v>
      </c>
      <c r="I37" s="2">
        <v>277</v>
      </c>
      <c r="J37" s="2">
        <v>44</v>
      </c>
      <c r="K37" s="2">
        <v>44</v>
      </c>
      <c r="L37" s="2">
        <v>215</v>
      </c>
      <c r="M37" s="2">
        <v>182</v>
      </c>
      <c r="N37" s="2">
        <v>766</v>
      </c>
      <c r="O37" s="4">
        <v>2250</v>
      </c>
      <c r="P37" s="4">
        <v>1030</v>
      </c>
      <c r="Q37" s="4">
        <v>1120</v>
      </c>
      <c r="R37" s="4">
        <v>700</v>
      </c>
      <c r="S37" s="4">
        <v>131</v>
      </c>
      <c r="T37" s="4">
        <v>101</v>
      </c>
      <c r="U37" s="4">
        <v>138</v>
      </c>
      <c r="AC37" s="2" t="s">
        <v>1</v>
      </c>
    </row>
    <row r="38" spans="1:29" x14ac:dyDescent="0.2">
      <c r="A38" s="2" t="s">
        <v>1933</v>
      </c>
      <c r="B38" s="19">
        <v>32255</v>
      </c>
      <c r="C38" s="2">
        <v>580</v>
      </c>
      <c r="D38" s="2">
        <v>1000</v>
      </c>
      <c r="E38" s="2">
        <v>1804</v>
      </c>
      <c r="F38" s="2">
        <v>358</v>
      </c>
      <c r="G38" s="2">
        <v>344</v>
      </c>
      <c r="I38" s="2">
        <v>307</v>
      </c>
      <c r="J38" s="2">
        <v>49</v>
      </c>
      <c r="K38" s="2">
        <v>60</v>
      </c>
      <c r="L38" s="2">
        <v>225</v>
      </c>
      <c r="M38" s="2">
        <v>161</v>
      </c>
      <c r="N38" s="2">
        <v>691</v>
      </c>
      <c r="O38" s="4">
        <v>2450</v>
      </c>
      <c r="P38" s="4">
        <v>2040</v>
      </c>
      <c r="Q38" s="4">
        <v>1350</v>
      </c>
      <c r="R38" s="4">
        <v>735</v>
      </c>
      <c r="S38" s="4">
        <v>439</v>
      </c>
      <c r="T38" s="4">
        <v>197</v>
      </c>
      <c r="U38" s="4">
        <v>304</v>
      </c>
      <c r="V38" s="19"/>
      <c r="AC38" s="2" t="s">
        <v>1</v>
      </c>
    </row>
    <row r="39" spans="1:29" x14ac:dyDescent="0.2">
      <c r="A39" s="2" t="s">
        <v>1934</v>
      </c>
      <c r="B39" s="19">
        <v>32256</v>
      </c>
      <c r="C39" s="2">
        <v>524</v>
      </c>
      <c r="D39" s="2">
        <v>373</v>
      </c>
      <c r="F39" s="2">
        <v>368</v>
      </c>
      <c r="G39" s="2">
        <v>346</v>
      </c>
      <c r="I39" s="2">
        <v>279</v>
      </c>
      <c r="J39" s="2">
        <v>45</v>
      </c>
      <c r="K39" s="2">
        <v>60</v>
      </c>
      <c r="L39" s="2">
        <v>215</v>
      </c>
      <c r="M39" s="2">
        <v>172</v>
      </c>
      <c r="N39" s="2">
        <v>819</v>
      </c>
      <c r="O39" s="4">
        <v>3690</v>
      </c>
      <c r="P39" s="4">
        <v>5270</v>
      </c>
      <c r="Q39" s="4">
        <v>3010</v>
      </c>
      <c r="R39" s="4">
        <v>929</v>
      </c>
      <c r="S39" s="4">
        <v>431</v>
      </c>
      <c r="T39" s="4">
        <v>148</v>
      </c>
      <c r="U39" s="4">
        <v>207</v>
      </c>
      <c r="V39" s="19"/>
      <c r="W39" s="4"/>
      <c r="AC39" s="2" t="s">
        <v>1</v>
      </c>
    </row>
    <row r="40" spans="1:29" x14ac:dyDescent="0.2">
      <c r="AC40" s="2" t="s">
        <v>1</v>
      </c>
    </row>
    <row r="41" spans="1:29" x14ac:dyDescent="0.2">
      <c r="AC41" s="2" t="s">
        <v>1</v>
      </c>
    </row>
    <row r="42" spans="1:29" x14ac:dyDescent="0.2">
      <c r="C42" s="8" t="s">
        <v>117</v>
      </c>
      <c r="D42" s="8" t="s">
        <v>118</v>
      </c>
      <c r="E42" s="8" t="s">
        <v>123</v>
      </c>
      <c r="F42" s="8" t="s">
        <v>134</v>
      </c>
      <c r="G42" s="8" t="s">
        <v>138</v>
      </c>
      <c r="H42" s="8" t="s">
        <v>136</v>
      </c>
      <c r="I42" s="8" t="s">
        <v>130</v>
      </c>
      <c r="J42" s="8" t="s">
        <v>133</v>
      </c>
      <c r="K42" s="8" t="s">
        <v>127</v>
      </c>
      <c r="L42" s="8" t="s">
        <v>121</v>
      </c>
      <c r="M42" s="8" t="s">
        <v>112</v>
      </c>
      <c r="N42" s="8" t="s">
        <v>115</v>
      </c>
      <c r="O42" s="8" t="s">
        <v>126</v>
      </c>
      <c r="P42" s="8" t="s">
        <v>122</v>
      </c>
      <c r="Q42" s="8" t="s">
        <v>113</v>
      </c>
      <c r="R42" s="8" t="s">
        <v>131</v>
      </c>
      <c r="S42" s="8" t="s">
        <v>129</v>
      </c>
      <c r="T42" s="8" t="s">
        <v>149</v>
      </c>
      <c r="U42" s="8" t="s">
        <v>151</v>
      </c>
      <c r="V42" s="8" t="s">
        <v>120</v>
      </c>
      <c r="W42" s="8" t="s">
        <v>160</v>
      </c>
      <c r="X42" s="8" t="s">
        <v>120</v>
      </c>
      <c r="Y42" s="8" t="s">
        <v>158</v>
      </c>
      <c r="Z42" s="8" t="s">
        <v>156</v>
      </c>
      <c r="AA42" s="8" t="s">
        <v>157</v>
      </c>
      <c r="AC42" s="2" t="s">
        <v>1</v>
      </c>
    </row>
    <row r="43" spans="1:29" x14ac:dyDescent="0.2">
      <c r="C43" s="8" t="s">
        <v>266</v>
      </c>
      <c r="D43" s="8" t="s">
        <v>266</v>
      </c>
      <c r="E43" s="8" t="s">
        <v>266</v>
      </c>
      <c r="F43" s="8" t="s">
        <v>371</v>
      </c>
      <c r="G43" s="8" t="s">
        <v>266</v>
      </c>
      <c r="H43" s="8" t="s">
        <v>144</v>
      </c>
      <c r="I43" s="8" t="s">
        <v>144</v>
      </c>
      <c r="J43" s="8" t="s">
        <v>144</v>
      </c>
      <c r="K43" s="8" t="s">
        <v>144</v>
      </c>
      <c r="L43" s="8" t="s">
        <v>144</v>
      </c>
      <c r="M43" s="8" t="s">
        <v>144</v>
      </c>
      <c r="N43" s="8" t="s">
        <v>144</v>
      </c>
      <c r="O43" s="8" t="s">
        <v>144</v>
      </c>
      <c r="P43" s="8" t="s">
        <v>144</v>
      </c>
      <c r="Q43" s="8" t="s">
        <v>144</v>
      </c>
      <c r="R43" s="8" t="s">
        <v>144</v>
      </c>
      <c r="S43" s="8" t="s">
        <v>144</v>
      </c>
      <c r="T43" s="8" t="s">
        <v>144</v>
      </c>
      <c r="U43" s="8" t="s">
        <v>144</v>
      </c>
      <c r="AC43" s="2" t="s">
        <v>1</v>
      </c>
    </row>
    <row r="44" spans="1:29" x14ac:dyDescent="0.2">
      <c r="AC44" s="2" t="s">
        <v>1</v>
      </c>
    </row>
    <row r="45" spans="1:29" x14ac:dyDescent="0.2">
      <c r="A45" s="2" t="s">
        <v>529</v>
      </c>
      <c r="B45" s="7">
        <f t="shared" ref="B45:AA45" si="0">AVERAGE(B7:B39)</f>
        <v>31787.78787878788</v>
      </c>
      <c r="C45" s="4">
        <f t="shared" si="0"/>
        <v>801.09677419354841</v>
      </c>
      <c r="D45" s="4">
        <f t="shared" si="0"/>
        <v>589.33333333333337</v>
      </c>
      <c r="E45" s="4">
        <f t="shared" si="0"/>
        <v>2188.2666666666669</v>
      </c>
      <c r="F45" s="4">
        <f t="shared" si="0"/>
        <v>363.969696969697</v>
      </c>
      <c r="G45" s="4">
        <f t="shared" si="0"/>
        <v>349.27272727272725</v>
      </c>
      <c r="H45" s="4">
        <f t="shared" si="0"/>
        <v>460.25</v>
      </c>
      <c r="I45" s="4">
        <f t="shared" si="0"/>
        <v>293.57575757575756</v>
      </c>
      <c r="J45" s="4">
        <f t="shared" si="0"/>
        <v>43.28</v>
      </c>
      <c r="K45" s="4">
        <f t="shared" si="0"/>
        <v>62.625</v>
      </c>
      <c r="L45" s="4">
        <f t="shared" si="0"/>
        <v>202.54545454545453</v>
      </c>
      <c r="M45" s="4">
        <f t="shared" si="0"/>
        <v>187.69696969696969</v>
      </c>
      <c r="N45" s="4">
        <f t="shared" si="0"/>
        <v>1033.59375</v>
      </c>
      <c r="O45" s="4">
        <f t="shared" si="0"/>
        <v>3274.705882352941</v>
      </c>
      <c r="P45" s="4">
        <f t="shared" si="0"/>
        <v>1943.5294117647059</v>
      </c>
      <c r="Q45" s="4">
        <f t="shared" si="0"/>
        <v>1901.1764705882354</v>
      </c>
      <c r="R45" s="4">
        <f t="shared" si="0"/>
        <v>753.58823529411768</v>
      </c>
      <c r="S45" s="4">
        <f t="shared" si="0"/>
        <v>714.05882352941171</v>
      </c>
      <c r="T45" s="4">
        <f t="shared" si="0"/>
        <v>136.29411764705881</v>
      </c>
      <c r="U45" s="4">
        <f t="shared" si="0"/>
        <v>251.76470588235293</v>
      </c>
      <c r="V45" s="4">
        <f t="shared" si="0"/>
        <v>6.8</v>
      </c>
      <c r="W45" s="4">
        <f t="shared" si="0"/>
        <v>3.2</v>
      </c>
      <c r="X45" s="4">
        <f t="shared" si="0"/>
        <v>0.48</v>
      </c>
      <c r="Y45" s="4">
        <f t="shared" si="0"/>
        <v>0.42000000000000004</v>
      </c>
      <c r="Z45" s="4">
        <f t="shared" si="0"/>
        <v>1.1199999999999999</v>
      </c>
      <c r="AA45" s="4">
        <f t="shared" si="0"/>
        <v>0.55999999999999994</v>
      </c>
      <c r="AC45" s="2" t="s">
        <v>1</v>
      </c>
    </row>
    <row r="46" spans="1:29" x14ac:dyDescent="0.2">
      <c r="A46" s="2" t="s">
        <v>255</v>
      </c>
      <c r="C46" s="4">
        <f t="shared" ref="C46:AA46" si="1">STDEV(C7:C39)</f>
        <v>773.35939703946667</v>
      </c>
      <c r="D46" s="4">
        <f t="shared" si="1"/>
        <v>657.25036452379902</v>
      </c>
      <c r="E46" s="4">
        <f t="shared" si="1"/>
        <v>330.90231221598515</v>
      </c>
      <c r="F46" s="4">
        <f t="shared" si="1"/>
        <v>27.244821581913556</v>
      </c>
      <c r="G46" s="4">
        <f t="shared" si="1"/>
        <v>21.907864922318311</v>
      </c>
      <c r="H46" s="4">
        <f t="shared" si="1"/>
        <v>92.141447222714575</v>
      </c>
      <c r="I46" s="4">
        <f t="shared" si="1"/>
        <v>188.38607802579094</v>
      </c>
      <c r="J46" s="4">
        <f t="shared" si="1"/>
        <v>6.4065071086617369</v>
      </c>
      <c r="K46" s="4">
        <f t="shared" si="1"/>
        <v>59.167749497890838</v>
      </c>
      <c r="L46" s="4">
        <f t="shared" si="1"/>
        <v>21.975968279422496</v>
      </c>
      <c r="M46" s="4">
        <f t="shared" si="1"/>
        <v>47.619904483632723</v>
      </c>
      <c r="N46" s="4">
        <f t="shared" si="1"/>
        <v>239.72711090240273</v>
      </c>
      <c r="O46" s="4">
        <f t="shared" si="1"/>
        <v>3440.0529022949972</v>
      </c>
      <c r="P46" s="4">
        <f t="shared" si="1"/>
        <v>994.13241809423073</v>
      </c>
      <c r="Q46" s="4">
        <f t="shared" si="1"/>
        <v>477.40028216556891</v>
      </c>
      <c r="R46" s="4">
        <f t="shared" si="1"/>
        <v>1147.8288776437632</v>
      </c>
      <c r="S46" s="4">
        <f t="shared" si="1"/>
        <v>1072.9135840427828</v>
      </c>
      <c r="T46" s="4">
        <f t="shared" si="1"/>
        <v>76.158358623563402</v>
      </c>
      <c r="U46" s="4">
        <f t="shared" si="1"/>
        <v>361.90408422187028</v>
      </c>
      <c r="V46" s="4">
        <f t="shared" si="1"/>
        <v>4.1036569057366385</v>
      </c>
      <c r="W46" s="4">
        <f t="shared" si="1"/>
        <v>2.7193749281774293</v>
      </c>
      <c r="X46" s="4">
        <f t="shared" si="1"/>
        <v>0.82280009722896852</v>
      </c>
      <c r="Y46" s="4">
        <f t="shared" si="1"/>
        <v>0.93914855054991164</v>
      </c>
      <c r="Z46" s="4">
        <f t="shared" si="1"/>
        <v>1.9562719647329203</v>
      </c>
      <c r="AA46" s="4">
        <f t="shared" si="1"/>
        <v>1.2521980673998823</v>
      </c>
    </row>
    <row r="47" spans="1:29" x14ac:dyDescent="0.2">
      <c r="A47" s="2" t="s">
        <v>365</v>
      </c>
      <c r="C47" s="4">
        <f t="shared" ref="C47:AA47" si="2">COUNTA(C7:C39)</f>
        <v>31</v>
      </c>
      <c r="D47" s="4">
        <f t="shared" si="2"/>
        <v>33</v>
      </c>
      <c r="E47" s="4">
        <f t="shared" si="2"/>
        <v>30</v>
      </c>
      <c r="F47" s="4">
        <f t="shared" si="2"/>
        <v>33</v>
      </c>
      <c r="G47" s="4">
        <f t="shared" si="2"/>
        <v>33</v>
      </c>
      <c r="H47" s="4">
        <f t="shared" si="2"/>
        <v>28</v>
      </c>
      <c r="I47" s="4">
        <f t="shared" si="2"/>
        <v>33</v>
      </c>
      <c r="J47" s="4">
        <f t="shared" si="2"/>
        <v>27</v>
      </c>
      <c r="K47" s="4">
        <f t="shared" si="2"/>
        <v>32</v>
      </c>
      <c r="L47" s="4">
        <f t="shared" si="2"/>
        <v>33</v>
      </c>
      <c r="M47" s="4">
        <f t="shared" si="2"/>
        <v>33</v>
      </c>
      <c r="N47" s="4">
        <f t="shared" si="2"/>
        <v>32</v>
      </c>
      <c r="O47" s="4">
        <f t="shared" si="2"/>
        <v>17</v>
      </c>
      <c r="P47" s="4">
        <f t="shared" si="2"/>
        <v>17</v>
      </c>
      <c r="Q47" s="4">
        <f t="shared" si="2"/>
        <v>17</v>
      </c>
      <c r="R47" s="4">
        <f t="shared" si="2"/>
        <v>17</v>
      </c>
      <c r="S47" s="4">
        <f t="shared" si="2"/>
        <v>17</v>
      </c>
      <c r="T47" s="4">
        <f t="shared" si="2"/>
        <v>17</v>
      </c>
      <c r="U47" s="4">
        <f t="shared" si="2"/>
        <v>17</v>
      </c>
      <c r="V47" s="4">
        <f t="shared" si="2"/>
        <v>5</v>
      </c>
      <c r="W47" s="4">
        <f t="shared" si="2"/>
        <v>5</v>
      </c>
      <c r="X47" s="4">
        <f t="shared" si="2"/>
        <v>5</v>
      </c>
      <c r="Y47" s="4">
        <f t="shared" si="2"/>
        <v>5</v>
      </c>
      <c r="Z47" s="4">
        <f t="shared" si="2"/>
        <v>5</v>
      </c>
      <c r="AA47" s="4">
        <f t="shared" si="2"/>
        <v>5</v>
      </c>
    </row>
  </sheetData>
  <pageMargins left="0.5" right="0.5" top="0.75" bottom="0.75" header="0.5" footer="0.5"/>
  <pageSetup orientation="portrait" horizontalDpi="0" verticalDpi="0" copies="0"/>
  <headerFooter alignWithMargins="0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1"/>
  <sheetViews>
    <sheetView showOutlineSymbols="0" defaultGridColor="0" colorId="9" workbookViewId="0"/>
  </sheetViews>
  <sheetFormatPr defaultColWidth="8.6640625" defaultRowHeight="15" x14ac:dyDescent="0.2"/>
  <cols>
    <col min="1" max="16384" width="8.6640625" style="2"/>
  </cols>
  <sheetData>
    <row r="1" spans="1:56" ht="18" x14ac:dyDescent="0.25">
      <c r="A1" s="18" t="s">
        <v>1935</v>
      </c>
      <c r="O1" s="2" t="s">
        <v>1</v>
      </c>
      <c r="T1" s="2" t="s">
        <v>444</v>
      </c>
      <c r="W1" s="2" t="s">
        <v>1935</v>
      </c>
      <c r="AR1" s="2" t="s">
        <v>1935</v>
      </c>
    </row>
    <row r="2" spans="1:56" x14ac:dyDescent="0.2">
      <c r="O2" s="2" t="s">
        <v>1</v>
      </c>
      <c r="AB2" s="8" t="s">
        <v>283</v>
      </c>
      <c r="AP2" s="2" t="s">
        <v>283</v>
      </c>
    </row>
    <row r="3" spans="1:56" x14ac:dyDescent="0.2">
      <c r="A3" s="20" t="s">
        <v>253</v>
      </c>
      <c r="B3" s="8" t="s">
        <v>287</v>
      </c>
      <c r="C3" s="10" t="s">
        <v>117</v>
      </c>
      <c r="D3" s="10" t="s">
        <v>118</v>
      </c>
      <c r="E3" s="10" t="s">
        <v>123</v>
      </c>
      <c r="F3" s="10" t="s">
        <v>134</v>
      </c>
      <c r="G3" s="10" t="s">
        <v>138</v>
      </c>
      <c r="H3" s="10" t="s">
        <v>136</v>
      </c>
      <c r="I3" s="10" t="s">
        <v>130</v>
      </c>
      <c r="J3" s="10" t="s">
        <v>133</v>
      </c>
      <c r="K3" s="10" t="s">
        <v>127</v>
      </c>
      <c r="L3" s="10" t="s">
        <v>121</v>
      </c>
      <c r="M3" s="10" t="s">
        <v>112</v>
      </c>
      <c r="O3" s="2" t="s">
        <v>1</v>
      </c>
      <c r="W3" s="12" t="s">
        <v>284</v>
      </c>
      <c r="X3" s="20" t="s">
        <v>367</v>
      </c>
      <c r="Y3" s="20" t="s">
        <v>253</v>
      </c>
      <c r="Z3" s="8" t="s">
        <v>287</v>
      </c>
      <c r="AA3" s="12" t="s">
        <v>203</v>
      </c>
      <c r="AB3" s="10" t="s">
        <v>1936</v>
      </c>
      <c r="AC3" s="8" t="s">
        <v>286</v>
      </c>
      <c r="AD3" s="8" t="s">
        <v>286</v>
      </c>
      <c r="AE3" s="10" t="s">
        <v>118</v>
      </c>
      <c r="AF3" s="10" t="s">
        <v>123</v>
      </c>
      <c r="AK3" s="12" t="s">
        <v>284</v>
      </c>
      <c r="AL3" s="20" t="s">
        <v>367</v>
      </c>
      <c r="AM3" s="20" t="s">
        <v>253</v>
      </c>
      <c r="AN3" s="8" t="s">
        <v>287</v>
      </c>
      <c r="AO3" s="12" t="s">
        <v>203</v>
      </c>
      <c r="AP3" s="12" t="s">
        <v>1936</v>
      </c>
      <c r="AQ3" s="8" t="s">
        <v>286</v>
      </c>
      <c r="AR3" s="8" t="s">
        <v>286</v>
      </c>
      <c r="AS3" s="10" t="s">
        <v>117</v>
      </c>
      <c r="AT3" s="10" t="s">
        <v>118</v>
      </c>
      <c r="AU3" s="10" t="s">
        <v>118</v>
      </c>
      <c r="AV3" s="10" t="s">
        <v>123</v>
      </c>
      <c r="AW3" s="10" t="s">
        <v>134</v>
      </c>
      <c r="AX3" s="10" t="s">
        <v>138</v>
      </c>
      <c r="AY3" s="10" t="s">
        <v>136</v>
      </c>
      <c r="AZ3" s="10" t="s">
        <v>130</v>
      </c>
      <c r="BA3" s="10" t="s">
        <v>133</v>
      </c>
      <c r="BB3" s="10" t="s">
        <v>127</v>
      </c>
      <c r="BC3" s="10" t="s">
        <v>121</v>
      </c>
      <c r="BD3" s="10" t="s">
        <v>112</v>
      </c>
    </row>
    <row r="4" spans="1:56" x14ac:dyDescent="0.2">
      <c r="B4" s="15" t="s">
        <v>291</v>
      </c>
      <c r="C4" s="10" t="s">
        <v>144</v>
      </c>
      <c r="D4" s="10" t="s">
        <v>266</v>
      </c>
      <c r="E4" s="10" t="s">
        <v>266</v>
      </c>
      <c r="F4" s="10" t="s">
        <v>371</v>
      </c>
      <c r="G4" s="10" t="s">
        <v>266</v>
      </c>
      <c r="H4" s="10" t="s">
        <v>144</v>
      </c>
      <c r="I4" s="10" t="s">
        <v>144</v>
      </c>
      <c r="J4" s="10" t="s">
        <v>144</v>
      </c>
      <c r="K4" s="10" t="s">
        <v>144</v>
      </c>
      <c r="L4" s="10" t="s">
        <v>144</v>
      </c>
      <c r="M4" s="10" t="s">
        <v>144</v>
      </c>
      <c r="O4" s="2" t="s">
        <v>1</v>
      </c>
      <c r="W4" s="12" t="s">
        <v>289</v>
      </c>
      <c r="Z4" s="15" t="s">
        <v>291</v>
      </c>
      <c r="AB4" s="10" t="s">
        <v>447</v>
      </c>
      <c r="AC4" s="8" t="s">
        <v>1184</v>
      </c>
      <c r="AD4" s="8" t="s">
        <v>105</v>
      </c>
      <c r="AE4" s="10" t="s">
        <v>266</v>
      </c>
      <c r="AF4" s="10" t="s">
        <v>266</v>
      </c>
      <c r="AK4" s="12" t="s">
        <v>289</v>
      </c>
      <c r="AN4" s="15" t="s">
        <v>291</v>
      </c>
      <c r="AP4" s="12" t="s">
        <v>447</v>
      </c>
      <c r="AQ4" s="8" t="s">
        <v>1184</v>
      </c>
      <c r="AR4" s="8" t="s">
        <v>105</v>
      </c>
      <c r="AS4" s="10" t="s">
        <v>144</v>
      </c>
      <c r="AT4" s="10" t="s">
        <v>266</v>
      </c>
      <c r="AU4" s="10" t="s">
        <v>266</v>
      </c>
      <c r="AV4" s="10" t="s">
        <v>266</v>
      </c>
      <c r="AW4" s="10" t="s">
        <v>371</v>
      </c>
      <c r="AX4" s="10" t="s">
        <v>266</v>
      </c>
      <c r="AY4" s="10" t="s">
        <v>144</v>
      </c>
      <c r="AZ4" s="10" t="s">
        <v>144</v>
      </c>
      <c r="BA4" s="10" t="s">
        <v>144</v>
      </c>
      <c r="BB4" s="10" t="s">
        <v>144</v>
      </c>
      <c r="BC4" s="10" t="s">
        <v>144</v>
      </c>
      <c r="BD4" s="10" t="s">
        <v>144</v>
      </c>
    </row>
    <row r="5" spans="1:56" x14ac:dyDescent="0.2">
      <c r="O5" s="2" t="s">
        <v>1</v>
      </c>
    </row>
    <row r="6" spans="1:56" x14ac:dyDescent="0.2">
      <c r="A6" s="7">
        <f>DATE(90,6,27)</f>
        <v>33051</v>
      </c>
      <c r="B6" s="2">
        <v>15.2</v>
      </c>
      <c r="C6" s="4">
        <v>493</v>
      </c>
      <c r="D6" s="4">
        <v>83.5</v>
      </c>
      <c r="E6" s="4">
        <v>1780</v>
      </c>
      <c r="F6" s="4">
        <v>350</v>
      </c>
      <c r="G6" s="4">
        <v>337</v>
      </c>
      <c r="H6" s="4">
        <v>502.5</v>
      </c>
      <c r="I6" s="4">
        <v>284</v>
      </c>
      <c r="J6" s="4">
        <v>57</v>
      </c>
      <c r="K6" s="4">
        <v>22</v>
      </c>
      <c r="L6" s="4">
        <v>230</v>
      </c>
      <c r="M6" s="4">
        <v>161</v>
      </c>
      <c r="O6" s="2" t="s">
        <v>1</v>
      </c>
    </row>
    <row r="7" spans="1:56" x14ac:dyDescent="0.2">
      <c r="A7" s="7">
        <f>DATE(90,7,3)</f>
        <v>33057</v>
      </c>
      <c r="B7" s="2">
        <v>14.1</v>
      </c>
      <c r="C7" s="4">
        <v>498</v>
      </c>
      <c r="D7" s="4">
        <v>89.5</v>
      </c>
      <c r="E7" s="4">
        <v>1778.5</v>
      </c>
      <c r="F7" s="4">
        <v>354</v>
      </c>
      <c r="G7" s="4">
        <v>338.45</v>
      </c>
      <c r="H7" s="4">
        <v>502.5</v>
      </c>
      <c r="I7" s="4">
        <v>282</v>
      </c>
      <c r="J7" s="4">
        <v>54.5</v>
      </c>
      <c r="K7" s="4">
        <v>23</v>
      </c>
      <c r="L7" s="4">
        <v>206.5</v>
      </c>
      <c r="O7" s="2" t="s">
        <v>1</v>
      </c>
    </row>
    <row r="8" spans="1:56" x14ac:dyDescent="0.2">
      <c r="A8" s="7">
        <f>DATE(90,7,10)</f>
        <v>33064</v>
      </c>
      <c r="B8" s="2">
        <v>13.5</v>
      </c>
      <c r="C8" s="4">
        <v>492.5</v>
      </c>
      <c r="D8" s="4">
        <v>68.25</v>
      </c>
      <c r="E8" s="4">
        <v>1760</v>
      </c>
      <c r="F8" s="4">
        <v>350</v>
      </c>
      <c r="G8" s="4">
        <v>337.6</v>
      </c>
      <c r="H8" s="4">
        <v>499</v>
      </c>
      <c r="I8" s="4">
        <v>287.5</v>
      </c>
      <c r="J8" s="4">
        <v>56</v>
      </c>
      <c r="K8" s="4">
        <v>25.5</v>
      </c>
      <c r="L8" s="4">
        <v>218</v>
      </c>
      <c r="M8" s="4">
        <v>162.5</v>
      </c>
      <c r="O8" s="2" t="s">
        <v>1</v>
      </c>
    </row>
    <row r="9" spans="1:56" x14ac:dyDescent="0.2">
      <c r="A9" s="7">
        <f>DATE(90,7,16)</f>
        <v>33070</v>
      </c>
      <c r="B9" s="2">
        <v>12.1</v>
      </c>
      <c r="C9" s="4">
        <v>483.5</v>
      </c>
      <c r="D9" s="4">
        <v>67.75</v>
      </c>
      <c r="E9" s="4">
        <v>1779</v>
      </c>
      <c r="F9" s="4">
        <v>347</v>
      </c>
      <c r="G9" s="4">
        <v>337.9</v>
      </c>
      <c r="H9" s="4">
        <v>498.5</v>
      </c>
      <c r="J9" s="4">
        <v>63</v>
      </c>
      <c r="K9" s="4">
        <v>26.5</v>
      </c>
      <c r="L9" s="4">
        <v>225</v>
      </c>
      <c r="M9" s="4">
        <v>164</v>
      </c>
      <c r="O9" s="2" t="s">
        <v>1</v>
      </c>
    </row>
    <row r="10" spans="1:56" x14ac:dyDescent="0.2">
      <c r="A10" s="7">
        <f>DATE(90,7,24)</f>
        <v>33078</v>
      </c>
      <c r="B10" s="2">
        <v>14.7</v>
      </c>
      <c r="C10" s="4">
        <v>500</v>
      </c>
      <c r="D10" s="4">
        <v>71</v>
      </c>
      <c r="E10" s="4">
        <v>1766</v>
      </c>
      <c r="F10" s="4">
        <v>350.5</v>
      </c>
      <c r="G10" s="4">
        <v>339.3</v>
      </c>
      <c r="H10" s="4">
        <v>508.5</v>
      </c>
      <c r="I10" s="4">
        <v>287</v>
      </c>
      <c r="J10" s="4">
        <v>56.5</v>
      </c>
      <c r="K10" s="4">
        <v>22.5</v>
      </c>
      <c r="L10" s="4">
        <v>219</v>
      </c>
      <c r="M10" s="4">
        <v>161.5</v>
      </c>
      <c r="O10" s="2" t="s">
        <v>1</v>
      </c>
    </row>
    <row r="11" spans="1:56" x14ac:dyDescent="0.2">
      <c r="A11" s="7">
        <f>DATE(90,8,1)</f>
        <v>33086</v>
      </c>
      <c r="C11" s="2">
        <v>496</v>
      </c>
      <c r="E11" s="2">
        <v>1800</v>
      </c>
      <c r="F11" s="2">
        <v>347</v>
      </c>
      <c r="G11" s="4">
        <v>337.7</v>
      </c>
      <c r="H11" s="2">
        <v>505</v>
      </c>
      <c r="I11" s="2">
        <v>288</v>
      </c>
      <c r="J11" s="2">
        <v>56</v>
      </c>
      <c r="L11" s="2">
        <v>224</v>
      </c>
      <c r="M11" s="2">
        <v>162</v>
      </c>
      <c r="O11" s="2" t="s">
        <v>1</v>
      </c>
    </row>
    <row r="12" spans="1:56" x14ac:dyDescent="0.2">
      <c r="A12" s="7">
        <f>DATE(90,8,10)</f>
        <v>33095</v>
      </c>
      <c r="B12" s="2">
        <v>17.2</v>
      </c>
      <c r="C12" s="4">
        <v>496</v>
      </c>
      <c r="D12" s="4">
        <v>77</v>
      </c>
      <c r="E12" s="4">
        <v>1767</v>
      </c>
      <c r="F12" s="4">
        <v>362.5</v>
      </c>
      <c r="G12" s="4">
        <v>338.05</v>
      </c>
      <c r="M12" s="4">
        <v>161</v>
      </c>
      <c r="O12" s="2" t="s">
        <v>1</v>
      </c>
    </row>
    <row r="13" spans="1:56" x14ac:dyDescent="0.2">
      <c r="A13" s="7">
        <f>DATE(90,8,18)</f>
        <v>33103</v>
      </c>
      <c r="B13" s="2">
        <v>15.6</v>
      </c>
      <c r="C13" s="4">
        <v>496</v>
      </c>
      <c r="D13" s="4">
        <v>64.25</v>
      </c>
      <c r="E13" s="4">
        <v>1760</v>
      </c>
      <c r="F13" s="4">
        <v>348.5</v>
      </c>
      <c r="G13" s="4">
        <v>339.45</v>
      </c>
      <c r="H13" s="4">
        <v>508.5</v>
      </c>
      <c r="I13" s="4">
        <v>287</v>
      </c>
      <c r="J13" s="4">
        <v>57</v>
      </c>
      <c r="K13" s="4">
        <v>27.5</v>
      </c>
      <c r="L13" s="4">
        <v>216</v>
      </c>
      <c r="M13" s="4">
        <v>163</v>
      </c>
      <c r="O13" s="2" t="s">
        <v>1</v>
      </c>
    </row>
    <row r="14" spans="1:56" x14ac:dyDescent="0.2">
      <c r="A14" s="7">
        <f>DATE(90,8,28)</f>
        <v>33113</v>
      </c>
      <c r="B14" s="2">
        <v>15.6</v>
      </c>
      <c r="C14" s="4">
        <v>465</v>
      </c>
      <c r="D14" s="4">
        <v>91.25</v>
      </c>
      <c r="E14" s="4">
        <v>1794.5</v>
      </c>
      <c r="F14" s="4">
        <v>344.5</v>
      </c>
      <c r="G14" s="4">
        <v>339.85</v>
      </c>
      <c r="H14" s="4">
        <v>508.5</v>
      </c>
      <c r="I14" s="4">
        <v>284</v>
      </c>
      <c r="J14" s="4">
        <v>54</v>
      </c>
      <c r="K14" s="4">
        <v>17</v>
      </c>
      <c r="L14" s="4">
        <v>218.5</v>
      </c>
      <c r="M14" s="4">
        <v>163.5</v>
      </c>
      <c r="O14" s="2" t="s">
        <v>1</v>
      </c>
    </row>
    <row r="15" spans="1:56" x14ac:dyDescent="0.2">
      <c r="A15" s="7">
        <f>DATE(90,8,31)</f>
        <v>33116</v>
      </c>
      <c r="B15" s="2">
        <v>15</v>
      </c>
      <c r="C15" s="4">
        <v>491.5</v>
      </c>
      <c r="D15" s="4">
        <v>91.5</v>
      </c>
      <c r="E15" s="4">
        <v>1809</v>
      </c>
      <c r="F15" s="4">
        <v>344</v>
      </c>
      <c r="G15" s="4">
        <v>339.3</v>
      </c>
      <c r="H15" s="4">
        <v>510.5</v>
      </c>
      <c r="I15" s="4">
        <v>285.5</v>
      </c>
      <c r="J15" s="4">
        <v>56.5</v>
      </c>
      <c r="K15" s="4">
        <v>22.5</v>
      </c>
      <c r="L15" s="4">
        <v>219</v>
      </c>
      <c r="M15" s="4">
        <v>161.5</v>
      </c>
      <c r="O15" s="2" t="s">
        <v>1</v>
      </c>
    </row>
    <row r="16" spans="1:56" x14ac:dyDescent="0.2">
      <c r="A16" s="7">
        <f>DATE(90,9,5)</f>
        <v>33121</v>
      </c>
      <c r="B16" s="2">
        <v>14.2</v>
      </c>
      <c r="C16" s="4">
        <v>473</v>
      </c>
      <c r="D16" s="4">
        <v>95</v>
      </c>
      <c r="E16" s="4">
        <v>1794.5</v>
      </c>
      <c r="F16" s="4">
        <v>348.5</v>
      </c>
      <c r="G16" s="4">
        <v>338.6</v>
      </c>
      <c r="H16" s="4">
        <v>512</v>
      </c>
      <c r="I16" s="4">
        <v>287.5</v>
      </c>
      <c r="J16" s="4">
        <v>55.5</v>
      </c>
      <c r="K16" s="4">
        <v>27</v>
      </c>
      <c r="L16" s="4">
        <v>239</v>
      </c>
      <c r="M16" s="4">
        <v>162</v>
      </c>
      <c r="O16" s="2" t="s">
        <v>1</v>
      </c>
    </row>
    <row r="17" spans="1:15" x14ac:dyDescent="0.2">
      <c r="A17" s="7">
        <f>DATE(90,9,9)</f>
        <v>33125</v>
      </c>
      <c r="B17" s="2">
        <v>19</v>
      </c>
      <c r="C17" s="4">
        <v>463.5</v>
      </c>
      <c r="D17" s="4">
        <v>95.75</v>
      </c>
      <c r="E17" s="4">
        <v>1798</v>
      </c>
      <c r="F17" s="4">
        <v>347.5</v>
      </c>
      <c r="G17" s="4">
        <v>338.55</v>
      </c>
      <c r="H17" s="4">
        <v>512</v>
      </c>
      <c r="I17" s="4">
        <v>283.5</v>
      </c>
      <c r="J17" s="4">
        <v>55.5</v>
      </c>
      <c r="K17" s="4">
        <v>40</v>
      </c>
      <c r="L17" s="4">
        <v>218</v>
      </c>
      <c r="M17" s="4">
        <v>161</v>
      </c>
      <c r="O17" s="2" t="s">
        <v>1</v>
      </c>
    </row>
    <row r="18" spans="1:15" x14ac:dyDescent="0.2">
      <c r="A18" s="7">
        <f>DATE(90,10,15)</f>
        <v>33161</v>
      </c>
      <c r="C18" s="4">
        <v>455.5</v>
      </c>
      <c r="D18" s="4">
        <v>109</v>
      </c>
      <c r="E18" s="4">
        <v>1818.5</v>
      </c>
      <c r="F18" s="4">
        <v>352.5</v>
      </c>
      <c r="G18" s="4">
        <v>341.45</v>
      </c>
      <c r="H18" s="4">
        <v>514</v>
      </c>
      <c r="I18" s="4">
        <v>287.5</v>
      </c>
      <c r="J18" s="4">
        <v>60</v>
      </c>
      <c r="K18" s="4">
        <v>26</v>
      </c>
      <c r="L18" s="4">
        <v>225</v>
      </c>
      <c r="M18" s="4">
        <v>162.5</v>
      </c>
      <c r="O18" s="2" t="s">
        <v>1</v>
      </c>
    </row>
    <row r="19" spans="1:15" x14ac:dyDescent="0.2">
      <c r="A19" s="7">
        <f>DATE(90,10,31)</f>
        <v>33177</v>
      </c>
      <c r="B19" s="2">
        <v>7</v>
      </c>
      <c r="C19" s="2">
        <v>458</v>
      </c>
      <c r="D19" s="4">
        <v>98.5</v>
      </c>
      <c r="E19" s="2">
        <v>1816</v>
      </c>
      <c r="F19" s="2">
        <v>360</v>
      </c>
      <c r="G19" s="4">
        <v>339.6</v>
      </c>
      <c r="H19" s="2">
        <v>516</v>
      </c>
      <c r="I19" s="2">
        <v>288</v>
      </c>
      <c r="J19" s="2">
        <v>57</v>
      </c>
      <c r="K19" s="2">
        <v>21</v>
      </c>
      <c r="L19" s="2">
        <v>227</v>
      </c>
      <c r="M19" s="2">
        <v>162</v>
      </c>
      <c r="O19" s="2" t="s">
        <v>1</v>
      </c>
    </row>
    <row r="20" spans="1:15" x14ac:dyDescent="0.2">
      <c r="A20" s="7">
        <f>DATE(90,11,5)</f>
        <v>33182</v>
      </c>
      <c r="B20" s="2">
        <v>6</v>
      </c>
      <c r="C20" s="2">
        <v>488</v>
      </c>
      <c r="D20" s="4">
        <v>143</v>
      </c>
      <c r="E20" s="2">
        <v>1807</v>
      </c>
      <c r="F20" s="2">
        <v>359</v>
      </c>
      <c r="G20" s="4">
        <v>341.8</v>
      </c>
      <c r="K20" s="2">
        <v>41</v>
      </c>
      <c r="M20" s="2">
        <v>167</v>
      </c>
      <c r="O20" s="2" t="s">
        <v>1</v>
      </c>
    </row>
    <row r="21" spans="1:15" x14ac:dyDescent="0.2">
      <c r="A21" s="7">
        <f>DATE(90,11,12)</f>
        <v>33189</v>
      </c>
      <c r="B21" s="2">
        <v>8.5</v>
      </c>
      <c r="C21" s="4">
        <v>479.5</v>
      </c>
      <c r="D21" s="4">
        <v>106.5</v>
      </c>
      <c r="E21" s="4">
        <v>1814</v>
      </c>
      <c r="F21" s="4">
        <v>356</v>
      </c>
      <c r="G21" s="4">
        <v>339.65</v>
      </c>
      <c r="H21" s="4">
        <v>514.5</v>
      </c>
      <c r="I21" s="4">
        <v>288</v>
      </c>
      <c r="J21" s="4">
        <v>58</v>
      </c>
      <c r="K21" s="4">
        <v>18.5</v>
      </c>
      <c r="L21" s="4">
        <v>226</v>
      </c>
      <c r="M21" s="4">
        <v>163</v>
      </c>
      <c r="O21" s="2" t="s">
        <v>1</v>
      </c>
    </row>
    <row r="22" spans="1:15" x14ac:dyDescent="0.2">
      <c r="A22" s="7">
        <f>DATE(90,11,26)</f>
        <v>33203</v>
      </c>
      <c r="B22" s="2">
        <v>6.2</v>
      </c>
      <c r="C22" s="4">
        <v>475</v>
      </c>
      <c r="D22" s="4">
        <v>139.25</v>
      </c>
      <c r="E22" s="4">
        <v>1832</v>
      </c>
      <c r="F22" s="4">
        <v>357.5</v>
      </c>
      <c r="G22" s="4">
        <v>342.6</v>
      </c>
      <c r="H22" s="4">
        <v>519</v>
      </c>
      <c r="I22" s="4">
        <v>290</v>
      </c>
      <c r="J22" s="4">
        <v>65.5</v>
      </c>
      <c r="K22" s="4">
        <v>27.5</v>
      </c>
      <c r="L22" s="4">
        <v>232.5</v>
      </c>
      <c r="M22" s="4">
        <v>164.5</v>
      </c>
      <c r="O22" s="2" t="s">
        <v>1</v>
      </c>
    </row>
    <row r="23" spans="1:15" x14ac:dyDescent="0.2">
      <c r="A23" s="7">
        <f>DATE(90,12,3)</f>
        <v>33210</v>
      </c>
      <c r="B23" s="2">
        <v>7.5</v>
      </c>
      <c r="C23" s="2">
        <v>485</v>
      </c>
      <c r="D23" s="4">
        <v>123</v>
      </c>
      <c r="E23" s="2">
        <v>1805</v>
      </c>
      <c r="F23" s="2">
        <v>360</v>
      </c>
      <c r="G23" s="4">
        <v>341.7</v>
      </c>
      <c r="H23" s="2">
        <v>518</v>
      </c>
      <c r="I23" s="2">
        <v>290</v>
      </c>
      <c r="J23" s="2">
        <v>57</v>
      </c>
      <c r="K23" s="2">
        <v>24</v>
      </c>
      <c r="L23" s="2">
        <v>224</v>
      </c>
      <c r="M23" s="2">
        <v>163</v>
      </c>
      <c r="O23" s="2" t="s">
        <v>1</v>
      </c>
    </row>
    <row r="24" spans="1:15" x14ac:dyDescent="0.2">
      <c r="A24" s="7">
        <f>DATE(90,12,12)</f>
        <v>33219</v>
      </c>
      <c r="B24" s="2">
        <v>4.4000000000000004</v>
      </c>
      <c r="C24" s="4">
        <v>491</v>
      </c>
      <c r="D24" s="4">
        <v>129.5</v>
      </c>
      <c r="E24" s="4">
        <v>1818.5</v>
      </c>
      <c r="F24" s="4">
        <v>362</v>
      </c>
      <c r="G24" s="4">
        <v>341.9</v>
      </c>
      <c r="H24" s="4">
        <v>514</v>
      </c>
      <c r="I24" s="4">
        <v>289.5</v>
      </c>
      <c r="J24" s="4">
        <v>57.5</v>
      </c>
      <c r="L24" s="4">
        <v>253</v>
      </c>
      <c r="M24" s="4">
        <v>163.5</v>
      </c>
      <c r="O24" s="2" t="s">
        <v>1</v>
      </c>
    </row>
    <row r="25" spans="1:15" x14ac:dyDescent="0.2">
      <c r="A25" s="7">
        <f>DATE(90,12,17)</f>
        <v>33224</v>
      </c>
      <c r="B25" s="2">
        <v>3.7</v>
      </c>
      <c r="C25" s="4">
        <v>480.5</v>
      </c>
      <c r="D25" s="4">
        <v>111</v>
      </c>
      <c r="E25" s="4">
        <v>1814.5</v>
      </c>
      <c r="F25" s="4">
        <v>358</v>
      </c>
      <c r="G25" s="4">
        <v>343.5</v>
      </c>
      <c r="H25" s="4">
        <v>515</v>
      </c>
      <c r="I25" s="4">
        <v>290.5</v>
      </c>
      <c r="J25" s="4">
        <v>58</v>
      </c>
      <c r="K25" s="4">
        <v>28</v>
      </c>
      <c r="L25" s="4">
        <v>231</v>
      </c>
      <c r="M25" s="4">
        <v>163.5</v>
      </c>
      <c r="O25" s="2" t="s">
        <v>1</v>
      </c>
    </row>
    <row r="26" spans="1:15" x14ac:dyDescent="0.2">
      <c r="A26" s="7">
        <f>DATE(91,2,19)</f>
        <v>33288</v>
      </c>
      <c r="B26" s="17">
        <v>5</v>
      </c>
      <c r="C26" s="4">
        <v>495.5</v>
      </c>
      <c r="D26" s="4">
        <v>127.75</v>
      </c>
      <c r="E26" s="4">
        <v>1812</v>
      </c>
      <c r="F26" s="4">
        <v>362.5</v>
      </c>
      <c r="G26" s="4">
        <v>340.7</v>
      </c>
      <c r="H26" s="4">
        <v>514.5</v>
      </c>
      <c r="I26" s="4">
        <v>289.5</v>
      </c>
      <c r="J26" s="4">
        <v>59</v>
      </c>
      <c r="K26" s="4">
        <v>23</v>
      </c>
      <c r="L26" s="4">
        <v>231.5</v>
      </c>
      <c r="M26" s="4">
        <v>164</v>
      </c>
      <c r="O26" s="2" t="s">
        <v>1</v>
      </c>
    </row>
    <row r="27" spans="1:15" x14ac:dyDescent="0.2">
      <c r="A27" s="7">
        <f>DATE(91,2,27)</f>
        <v>33296</v>
      </c>
      <c r="B27" s="2">
        <v>9.1</v>
      </c>
      <c r="C27" s="4">
        <v>494.5</v>
      </c>
      <c r="D27" s="4">
        <v>100</v>
      </c>
      <c r="E27" s="4">
        <v>1766.5</v>
      </c>
      <c r="F27" s="4">
        <v>361</v>
      </c>
      <c r="G27" s="4">
        <v>340.75</v>
      </c>
      <c r="H27" s="4">
        <v>508.5</v>
      </c>
      <c r="I27" s="4">
        <v>284.5</v>
      </c>
      <c r="J27" s="4">
        <v>56</v>
      </c>
      <c r="K27" s="4">
        <v>45</v>
      </c>
      <c r="L27" s="4">
        <v>212</v>
      </c>
      <c r="M27" s="4">
        <v>162.5</v>
      </c>
      <c r="O27" s="2" t="s">
        <v>1</v>
      </c>
    </row>
    <row r="28" spans="1:15" x14ac:dyDescent="0.2">
      <c r="A28" s="7">
        <f>DATE(91,3,4)</f>
        <v>33301</v>
      </c>
      <c r="B28" s="2">
        <v>4.7</v>
      </c>
      <c r="C28" s="4">
        <v>505</v>
      </c>
      <c r="D28" s="4">
        <v>129.25</v>
      </c>
      <c r="E28" s="4">
        <v>1806.5</v>
      </c>
      <c r="F28" s="4">
        <v>368</v>
      </c>
      <c r="G28" s="4">
        <v>340.9</v>
      </c>
      <c r="H28" s="4">
        <v>508.5</v>
      </c>
      <c r="I28" s="4">
        <v>290.5</v>
      </c>
      <c r="J28" s="4">
        <v>58</v>
      </c>
      <c r="K28" s="4">
        <v>38</v>
      </c>
      <c r="L28" s="4">
        <v>231</v>
      </c>
      <c r="M28" s="4">
        <v>163</v>
      </c>
      <c r="O28" s="2" t="s">
        <v>1</v>
      </c>
    </row>
    <row r="29" spans="1:15" x14ac:dyDescent="0.2">
      <c r="A29" s="7">
        <f>DATE(91,3,14)</f>
        <v>33311</v>
      </c>
      <c r="B29" s="2">
        <v>7</v>
      </c>
      <c r="C29" s="4">
        <v>505</v>
      </c>
      <c r="D29" s="4">
        <v>146</v>
      </c>
      <c r="E29" s="4">
        <v>1823.5</v>
      </c>
      <c r="F29" s="4">
        <v>361.5</v>
      </c>
      <c r="G29" s="4">
        <v>341.85</v>
      </c>
      <c r="H29" s="4">
        <v>512</v>
      </c>
      <c r="I29" s="4">
        <v>286.5</v>
      </c>
      <c r="J29" s="4">
        <v>58.5</v>
      </c>
      <c r="K29" s="4">
        <v>35</v>
      </c>
      <c r="L29" s="4">
        <v>230.5</v>
      </c>
      <c r="M29" s="4">
        <v>162</v>
      </c>
      <c r="O29" s="2" t="s">
        <v>1</v>
      </c>
    </row>
    <row r="30" spans="1:15" x14ac:dyDescent="0.2">
      <c r="O30" s="2" t="s">
        <v>1</v>
      </c>
    </row>
    <row r="31" spans="1:15" x14ac:dyDescent="0.2">
      <c r="A31" s="19" t="s">
        <v>601</v>
      </c>
      <c r="O31" s="2" t="s">
        <v>1</v>
      </c>
    </row>
    <row r="32" spans="1:15" x14ac:dyDescent="0.2">
      <c r="A32" s="7">
        <f t="shared" ref="A32:M32" si="0">AVERAGE(A6)</f>
        <v>33051</v>
      </c>
      <c r="B32" s="4">
        <f t="shared" si="0"/>
        <v>15.2</v>
      </c>
      <c r="C32" s="4">
        <f t="shared" si="0"/>
        <v>493</v>
      </c>
      <c r="D32" s="4">
        <f t="shared" si="0"/>
        <v>83.5</v>
      </c>
      <c r="E32" s="4">
        <f t="shared" si="0"/>
        <v>1780</v>
      </c>
      <c r="F32" s="4">
        <f t="shared" si="0"/>
        <v>350</v>
      </c>
      <c r="G32" s="4">
        <f t="shared" si="0"/>
        <v>337</v>
      </c>
      <c r="H32" s="4">
        <f t="shared" si="0"/>
        <v>502.5</v>
      </c>
      <c r="I32" s="4">
        <f t="shared" si="0"/>
        <v>284</v>
      </c>
      <c r="J32" s="4">
        <f t="shared" si="0"/>
        <v>57</v>
      </c>
      <c r="K32" s="4">
        <f t="shared" si="0"/>
        <v>22</v>
      </c>
      <c r="L32" s="4">
        <f t="shared" si="0"/>
        <v>230</v>
      </c>
      <c r="M32" s="4">
        <f t="shared" si="0"/>
        <v>161</v>
      </c>
      <c r="O32" s="2" t="s">
        <v>1</v>
      </c>
    </row>
    <row r="33" spans="1:15" x14ac:dyDescent="0.2">
      <c r="A33" s="7">
        <f t="shared" ref="A33:M33" si="1">AVERAGE(A7:A10)</f>
        <v>33067.25</v>
      </c>
      <c r="B33" s="4">
        <f t="shared" si="1"/>
        <v>13.600000000000001</v>
      </c>
      <c r="C33" s="4">
        <f t="shared" si="1"/>
        <v>493.5</v>
      </c>
      <c r="D33" s="4">
        <f t="shared" si="1"/>
        <v>74.125</v>
      </c>
      <c r="E33" s="4">
        <f t="shared" si="1"/>
        <v>1770.875</v>
      </c>
      <c r="F33" s="4">
        <f t="shared" si="1"/>
        <v>350.375</v>
      </c>
      <c r="G33" s="4">
        <f t="shared" si="1"/>
        <v>338.3125</v>
      </c>
      <c r="H33" s="4">
        <f t="shared" si="1"/>
        <v>502.125</v>
      </c>
      <c r="I33" s="4">
        <f t="shared" si="1"/>
        <v>285.5</v>
      </c>
      <c r="J33" s="4">
        <f t="shared" si="1"/>
        <v>57.5</v>
      </c>
      <c r="K33" s="4">
        <f t="shared" si="1"/>
        <v>24.375</v>
      </c>
      <c r="L33" s="4">
        <f t="shared" si="1"/>
        <v>217.125</v>
      </c>
      <c r="M33" s="4">
        <f t="shared" si="1"/>
        <v>162.66666666666666</v>
      </c>
      <c r="O33" s="2" t="s">
        <v>1</v>
      </c>
    </row>
    <row r="34" spans="1:15" x14ac:dyDescent="0.2">
      <c r="A34" s="7">
        <f t="shared" ref="A34:M34" si="2">AVERAGE(A11:A15)</f>
        <v>33102.6</v>
      </c>
      <c r="B34" s="4">
        <f t="shared" si="2"/>
        <v>15.85</v>
      </c>
      <c r="C34" s="4">
        <f t="shared" si="2"/>
        <v>488.9</v>
      </c>
      <c r="D34" s="4">
        <f t="shared" si="2"/>
        <v>81</v>
      </c>
      <c r="E34" s="4">
        <f t="shared" si="2"/>
        <v>1786.1</v>
      </c>
      <c r="F34" s="4">
        <f t="shared" si="2"/>
        <v>349.3</v>
      </c>
      <c r="G34" s="4">
        <f t="shared" si="2"/>
        <v>338.87</v>
      </c>
      <c r="H34" s="4">
        <f t="shared" si="2"/>
        <v>508.125</v>
      </c>
      <c r="I34" s="4">
        <f t="shared" si="2"/>
        <v>286.125</v>
      </c>
      <c r="J34" s="4">
        <f t="shared" si="2"/>
        <v>55.875</v>
      </c>
      <c r="K34" s="4">
        <f t="shared" si="2"/>
        <v>22.333333333333332</v>
      </c>
      <c r="L34" s="4">
        <f t="shared" si="2"/>
        <v>219.375</v>
      </c>
      <c r="M34" s="4">
        <f t="shared" si="2"/>
        <v>162.19999999999999</v>
      </c>
      <c r="O34" s="2" t="s">
        <v>1</v>
      </c>
    </row>
    <row r="35" spans="1:15" x14ac:dyDescent="0.2">
      <c r="A35" s="7">
        <f t="shared" ref="A35:M35" si="3">AVERAGE(A16:A17)</f>
        <v>33123</v>
      </c>
      <c r="B35" s="4">
        <f t="shared" si="3"/>
        <v>16.600000000000001</v>
      </c>
      <c r="C35" s="4">
        <f t="shared" si="3"/>
        <v>468.25</v>
      </c>
      <c r="D35" s="4">
        <f t="shared" si="3"/>
        <v>95.375</v>
      </c>
      <c r="E35" s="4">
        <f t="shared" si="3"/>
        <v>1796.25</v>
      </c>
      <c r="F35" s="4">
        <f t="shared" si="3"/>
        <v>348</v>
      </c>
      <c r="G35" s="4">
        <f t="shared" si="3"/>
        <v>338.57500000000005</v>
      </c>
      <c r="H35" s="4">
        <f t="shared" si="3"/>
        <v>512</v>
      </c>
      <c r="I35" s="4">
        <f t="shared" si="3"/>
        <v>285.5</v>
      </c>
      <c r="J35" s="4">
        <f t="shared" si="3"/>
        <v>55.5</v>
      </c>
      <c r="K35" s="4">
        <f t="shared" si="3"/>
        <v>33.5</v>
      </c>
      <c r="L35" s="4">
        <f t="shared" si="3"/>
        <v>228.5</v>
      </c>
      <c r="M35" s="4">
        <f t="shared" si="3"/>
        <v>161.5</v>
      </c>
      <c r="O35" s="2" t="s">
        <v>1</v>
      </c>
    </row>
    <row r="36" spans="1:15" x14ac:dyDescent="0.2">
      <c r="A36" s="7">
        <f t="shared" ref="A36:M36" si="4">AVERAGE(A18:A19)</f>
        <v>33169</v>
      </c>
      <c r="B36" s="4">
        <f t="shared" si="4"/>
        <v>7</v>
      </c>
      <c r="C36" s="4">
        <f t="shared" si="4"/>
        <v>456.75</v>
      </c>
      <c r="D36" s="4">
        <f t="shared" si="4"/>
        <v>103.75</v>
      </c>
      <c r="E36" s="4">
        <f t="shared" si="4"/>
        <v>1817.25</v>
      </c>
      <c r="F36" s="4">
        <f t="shared" si="4"/>
        <v>356.25</v>
      </c>
      <c r="G36" s="4">
        <f t="shared" si="4"/>
        <v>340.52499999999998</v>
      </c>
      <c r="H36" s="4">
        <f t="shared" si="4"/>
        <v>515</v>
      </c>
      <c r="I36" s="4">
        <f t="shared" si="4"/>
        <v>287.75</v>
      </c>
      <c r="J36" s="4">
        <f t="shared" si="4"/>
        <v>58.5</v>
      </c>
      <c r="K36" s="4">
        <f t="shared" si="4"/>
        <v>23.5</v>
      </c>
      <c r="L36" s="4">
        <f t="shared" si="4"/>
        <v>226</v>
      </c>
      <c r="M36" s="4">
        <f t="shared" si="4"/>
        <v>162.25</v>
      </c>
      <c r="O36" s="2" t="s">
        <v>1</v>
      </c>
    </row>
    <row r="37" spans="1:15" x14ac:dyDescent="0.2">
      <c r="A37" s="7">
        <f t="shared" ref="A37:M37" si="5">AVERAGE(A20:A22)</f>
        <v>33191.333333333336</v>
      </c>
      <c r="B37" s="4">
        <f t="shared" si="5"/>
        <v>6.8999999999999995</v>
      </c>
      <c r="C37" s="4">
        <f t="shared" si="5"/>
        <v>480.83333333333331</v>
      </c>
      <c r="D37" s="4">
        <f t="shared" si="5"/>
        <v>129.58333333333334</v>
      </c>
      <c r="E37" s="4">
        <f t="shared" si="5"/>
        <v>1817.6666666666667</v>
      </c>
      <c r="F37" s="4">
        <f t="shared" si="5"/>
        <v>357.5</v>
      </c>
      <c r="G37" s="4">
        <f t="shared" si="5"/>
        <v>341.35000000000008</v>
      </c>
      <c r="H37" s="4">
        <f t="shared" si="5"/>
        <v>516.75</v>
      </c>
      <c r="I37" s="4">
        <f t="shared" si="5"/>
        <v>289</v>
      </c>
      <c r="J37" s="4">
        <f t="shared" si="5"/>
        <v>61.75</v>
      </c>
      <c r="K37" s="4">
        <f t="shared" si="5"/>
        <v>29</v>
      </c>
      <c r="L37" s="4">
        <f t="shared" si="5"/>
        <v>229.25</v>
      </c>
      <c r="M37" s="4">
        <f t="shared" si="5"/>
        <v>164.83333333333334</v>
      </c>
      <c r="O37" s="2" t="s">
        <v>1</v>
      </c>
    </row>
    <row r="38" spans="1:15" x14ac:dyDescent="0.2">
      <c r="A38" s="7">
        <f t="shared" ref="A38:M38" si="6">AVERAGE(A23:A25)</f>
        <v>33217.666666666664</v>
      </c>
      <c r="B38" s="4">
        <f t="shared" si="6"/>
        <v>5.2</v>
      </c>
      <c r="C38" s="4">
        <f t="shared" si="6"/>
        <v>485.5</v>
      </c>
      <c r="D38" s="4">
        <f t="shared" si="6"/>
        <v>121.16666666666667</v>
      </c>
      <c r="E38" s="4">
        <f t="shared" si="6"/>
        <v>1812.6666666666667</v>
      </c>
      <c r="F38" s="4">
        <f t="shared" si="6"/>
        <v>360</v>
      </c>
      <c r="G38" s="4">
        <f t="shared" si="6"/>
        <v>342.36666666666662</v>
      </c>
      <c r="H38" s="4">
        <f t="shared" si="6"/>
        <v>515.66666666666663</v>
      </c>
      <c r="I38" s="4">
        <f t="shared" si="6"/>
        <v>290</v>
      </c>
      <c r="J38" s="4">
        <f t="shared" si="6"/>
        <v>57.5</v>
      </c>
      <c r="K38" s="4">
        <f t="shared" si="6"/>
        <v>26</v>
      </c>
      <c r="L38" s="4">
        <f t="shared" si="6"/>
        <v>236</v>
      </c>
      <c r="M38" s="4">
        <f t="shared" si="6"/>
        <v>163.33333333333334</v>
      </c>
      <c r="O38" s="2" t="s">
        <v>1</v>
      </c>
    </row>
    <row r="39" spans="1:15" x14ac:dyDescent="0.2">
      <c r="A39" s="7">
        <f t="shared" ref="A39:M39" si="7">AVERAGE(A26:A27)</f>
        <v>33292</v>
      </c>
      <c r="B39" s="4">
        <f t="shared" si="7"/>
        <v>7.05</v>
      </c>
      <c r="C39" s="4">
        <f t="shared" si="7"/>
        <v>495</v>
      </c>
      <c r="D39" s="4">
        <f t="shared" si="7"/>
        <v>113.875</v>
      </c>
      <c r="E39" s="4">
        <f t="shared" si="7"/>
        <v>1789.25</v>
      </c>
      <c r="F39" s="4">
        <f t="shared" si="7"/>
        <v>361.75</v>
      </c>
      <c r="G39" s="4">
        <f t="shared" si="7"/>
        <v>340.72500000000002</v>
      </c>
      <c r="H39" s="4">
        <f t="shared" si="7"/>
        <v>511.5</v>
      </c>
      <c r="I39" s="4">
        <f t="shared" si="7"/>
        <v>287</v>
      </c>
      <c r="J39" s="4">
        <f t="shared" si="7"/>
        <v>57.5</v>
      </c>
      <c r="K39" s="4">
        <f t="shared" si="7"/>
        <v>34</v>
      </c>
      <c r="L39" s="4">
        <f t="shared" si="7"/>
        <v>221.75</v>
      </c>
      <c r="M39" s="4">
        <f t="shared" si="7"/>
        <v>163.25</v>
      </c>
      <c r="O39" s="2" t="s">
        <v>1</v>
      </c>
    </row>
    <row r="40" spans="1:15" x14ac:dyDescent="0.2">
      <c r="A40" s="7">
        <f t="shared" ref="A40:M40" si="8">AVERAGE(A28:A29)</f>
        <v>33306</v>
      </c>
      <c r="B40" s="4">
        <f t="shared" si="8"/>
        <v>5.85</v>
      </c>
      <c r="C40" s="4">
        <f t="shared" si="8"/>
        <v>505</v>
      </c>
      <c r="D40" s="4">
        <f t="shared" si="8"/>
        <v>137.625</v>
      </c>
      <c r="E40" s="4">
        <f t="shared" si="8"/>
        <v>1815</v>
      </c>
      <c r="F40" s="4">
        <f t="shared" si="8"/>
        <v>364.75</v>
      </c>
      <c r="G40" s="4">
        <f t="shared" si="8"/>
        <v>341.375</v>
      </c>
      <c r="H40" s="4">
        <f t="shared" si="8"/>
        <v>510.25</v>
      </c>
      <c r="I40" s="4">
        <f t="shared" si="8"/>
        <v>288.5</v>
      </c>
      <c r="J40" s="4">
        <f t="shared" si="8"/>
        <v>58.25</v>
      </c>
      <c r="K40" s="4">
        <f t="shared" si="8"/>
        <v>36.5</v>
      </c>
      <c r="L40" s="4">
        <f t="shared" si="8"/>
        <v>230.75</v>
      </c>
      <c r="M40" s="4">
        <f t="shared" si="8"/>
        <v>162.5</v>
      </c>
      <c r="O40" s="2" t="s">
        <v>1</v>
      </c>
    </row>
    <row r="41" spans="1:15" x14ac:dyDescent="0.2">
      <c r="O41" s="2" t="s">
        <v>1</v>
      </c>
    </row>
    <row r="42" spans="1:15" x14ac:dyDescent="0.2">
      <c r="A42" s="19" t="s">
        <v>277</v>
      </c>
      <c r="O42" s="2" t="s">
        <v>1</v>
      </c>
    </row>
    <row r="43" spans="1:15" x14ac:dyDescent="0.2">
      <c r="A43" s="7">
        <v>33051</v>
      </c>
      <c r="O43" s="2" t="s">
        <v>1</v>
      </c>
    </row>
    <row r="44" spans="1:15" x14ac:dyDescent="0.2">
      <c r="A44" s="7">
        <v>33067.25</v>
      </c>
      <c r="B44" s="4">
        <v>1.1135528725660044</v>
      </c>
      <c r="C44" s="4">
        <v>7.3824115301167001</v>
      </c>
      <c r="D44" s="4">
        <v>10.349114293825664</v>
      </c>
      <c r="E44" s="4">
        <v>9.4196160572852783</v>
      </c>
      <c r="F44" s="4">
        <v>2.8686524130097508</v>
      </c>
      <c r="G44" s="4">
        <v>0.74651970279870483</v>
      </c>
      <c r="H44" s="4">
        <v>4.6075119822596955</v>
      </c>
      <c r="I44" s="4">
        <v>3.0413812651491097</v>
      </c>
      <c r="J44" s="4">
        <v>3.7638632635454048</v>
      </c>
      <c r="K44" s="4">
        <v>1.9311050377094112</v>
      </c>
      <c r="L44" s="4">
        <v>7.7284647030743869</v>
      </c>
      <c r="M44" s="4">
        <v>1.2583057392117916</v>
      </c>
      <c r="O44" s="2" t="s">
        <v>1</v>
      </c>
    </row>
    <row r="45" spans="1:15" x14ac:dyDescent="0.2">
      <c r="A45" s="7">
        <v>33102.6</v>
      </c>
      <c r="B45" s="4">
        <v>0.94339811320566036</v>
      </c>
      <c r="C45" s="4">
        <v>13.501851724856113</v>
      </c>
      <c r="D45" s="4">
        <v>13.062350477613132</v>
      </c>
      <c r="E45" s="4">
        <v>21.413780609691507</v>
      </c>
      <c r="F45" s="4">
        <v>7.6042751133819451</v>
      </c>
      <c r="G45" s="4">
        <v>0.93848281816983736</v>
      </c>
      <c r="H45" s="4">
        <v>2.2867371223353739</v>
      </c>
      <c r="I45" s="4">
        <v>1.75</v>
      </c>
      <c r="J45" s="4">
        <v>1.3149778198382918</v>
      </c>
      <c r="K45" s="4">
        <v>5.2519837521962431</v>
      </c>
      <c r="L45" s="4">
        <v>3.3509948771471834</v>
      </c>
      <c r="M45" s="4">
        <v>1.036822067666386</v>
      </c>
      <c r="O45" s="2" t="s">
        <v>1</v>
      </c>
    </row>
    <row r="46" spans="1:15" x14ac:dyDescent="0.2">
      <c r="A46" s="7">
        <v>33123</v>
      </c>
      <c r="B46" s="4">
        <v>3.3941125496954281</v>
      </c>
      <c r="C46" s="4">
        <v>6.7175144212722016</v>
      </c>
      <c r="D46" s="4">
        <v>0.5303300858899106</v>
      </c>
      <c r="E46" s="4">
        <v>2.4748737341529163</v>
      </c>
      <c r="F46" s="4">
        <v>0.70710678118654757</v>
      </c>
      <c r="G46" s="4">
        <v>3.5355339059327369E-2</v>
      </c>
      <c r="H46" s="4">
        <v>0</v>
      </c>
      <c r="I46" s="4">
        <v>2.8284271247461903</v>
      </c>
      <c r="J46" s="4">
        <v>0</v>
      </c>
      <c r="K46" s="4">
        <v>9.1923881554251174</v>
      </c>
      <c r="L46" s="4">
        <v>14.849242404917497</v>
      </c>
      <c r="M46" s="4">
        <v>0.70710678118654757</v>
      </c>
    </row>
    <row r="47" spans="1:15" x14ac:dyDescent="0.2">
      <c r="A47" s="7">
        <v>33169</v>
      </c>
      <c r="C47" s="4">
        <v>1.7677669529663689</v>
      </c>
      <c r="D47" s="4">
        <v>7.4246212024587486</v>
      </c>
      <c r="E47" s="4">
        <v>1.7677669529663689</v>
      </c>
      <c r="F47" s="4">
        <v>5.3033008588991066</v>
      </c>
      <c r="G47" s="4">
        <v>1.308147545195113</v>
      </c>
      <c r="H47" s="4">
        <v>1.4142135623730951</v>
      </c>
      <c r="I47" s="4">
        <v>0.35355339059327379</v>
      </c>
      <c r="J47" s="4">
        <v>2.1213203435596424</v>
      </c>
      <c r="K47" s="4">
        <v>3.5355339059327378</v>
      </c>
      <c r="L47" s="4">
        <v>1.4142135623730951</v>
      </c>
      <c r="M47" s="4">
        <v>0.35355339059327379</v>
      </c>
    </row>
    <row r="48" spans="1:15" x14ac:dyDescent="0.2">
      <c r="A48" s="7">
        <v>33191.333333333336</v>
      </c>
      <c r="B48" s="4">
        <v>1.3892443989449805</v>
      </c>
      <c r="C48" s="4">
        <v>6.6017674401127868</v>
      </c>
      <c r="D48" s="4">
        <v>20.078491809230428</v>
      </c>
      <c r="E48" s="4">
        <v>12.897028081435403</v>
      </c>
      <c r="F48" s="4">
        <v>1.5</v>
      </c>
      <c r="G48" s="4">
        <v>1.5256146302392357</v>
      </c>
      <c r="H48" s="4">
        <v>3.1819805153394638</v>
      </c>
      <c r="I48" s="4">
        <v>1.4142135623730951</v>
      </c>
      <c r="J48" s="4">
        <v>5.3033008588991066</v>
      </c>
      <c r="K48" s="4">
        <v>11.324751652906125</v>
      </c>
      <c r="L48" s="4">
        <v>4.5961940777125587</v>
      </c>
      <c r="M48" s="4">
        <v>2.0207259421636903</v>
      </c>
    </row>
    <row r="49" spans="1:13" x14ac:dyDescent="0.2">
      <c r="A49" s="7">
        <v>33217.666666666664</v>
      </c>
      <c r="B49" s="4">
        <v>2.0223748416156684</v>
      </c>
      <c r="C49" s="4">
        <v>5.2678268764263692</v>
      </c>
      <c r="D49" s="4">
        <v>9.3852721502007252</v>
      </c>
      <c r="E49" s="4">
        <v>6.9342146875715738</v>
      </c>
      <c r="F49" s="4">
        <v>2</v>
      </c>
      <c r="G49" s="4">
        <v>0.98657657246324948</v>
      </c>
      <c r="H49" s="4">
        <v>2.0816659994661326</v>
      </c>
      <c r="I49" s="4">
        <v>0.5</v>
      </c>
      <c r="J49" s="4">
        <v>0.5</v>
      </c>
      <c r="K49" s="4">
        <v>2.8284271247461903</v>
      </c>
      <c r="L49" s="4">
        <v>15.132745950421556</v>
      </c>
      <c r="M49" s="4">
        <v>0.28867513459481287</v>
      </c>
    </row>
    <row r="50" spans="1:13" x14ac:dyDescent="0.2">
      <c r="A50" s="7">
        <v>33292</v>
      </c>
      <c r="B50" s="4">
        <v>2.8991378028648449</v>
      </c>
      <c r="C50" s="4">
        <v>0.70710678118654757</v>
      </c>
      <c r="D50" s="4">
        <v>19.622213177926692</v>
      </c>
      <c r="E50" s="4">
        <v>32.173358543987909</v>
      </c>
      <c r="F50" s="4">
        <v>1.0606601717798212</v>
      </c>
      <c r="G50" s="4">
        <v>3.5355339059327369E-2</v>
      </c>
      <c r="H50" s="4">
        <v>4.2426406871192848</v>
      </c>
      <c r="I50" s="4">
        <v>3.5355339059327378</v>
      </c>
      <c r="J50" s="4">
        <v>2.1213203435596424</v>
      </c>
      <c r="K50" s="4">
        <v>15.556349186104045</v>
      </c>
      <c r="L50" s="4">
        <v>13.788582233137676</v>
      </c>
      <c r="M50" s="4">
        <v>1.0606601717798212</v>
      </c>
    </row>
    <row r="51" spans="1:13" x14ac:dyDescent="0.2">
      <c r="A51" s="7">
        <v>33306</v>
      </c>
      <c r="B51" s="4">
        <v>1.6263455967290592</v>
      </c>
      <c r="C51" s="4">
        <v>0</v>
      </c>
      <c r="D51" s="4">
        <v>11.844038584874671</v>
      </c>
      <c r="E51" s="4">
        <v>12.020815280171307</v>
      </c>
      <c r="F51" s="4">
        <v>4.5961940777125587</v>
      </c>
      <c r="G51" s="4">
        <v>0.67175144212722016</v>
      </c>
      <c r="H51" s="4">
        <v>2.4748737341529163</v>
      </c>
      <c r="I51" s="4">
        <v>2.8284271247461903</v>
      </c>
      <c r="J51" s="4">
        <v>0.35355339059327379</v>
      </c>
      <c r="K51" s="4">
        <v>2.1213203435596424</v>
      </c>
      <c r="L51" s="4">
        <v>0.35355339059327379</v>
      </c>
      <c r="M51" s="4">
        <v>0.70710678118654757</v>
      </c>
    </row>
    <row r="53" spans="1:13" x14ac:dyDescent="0.2">
      <c r="A53" s="2" t="s">
        <v>279</v>
      </c>
    </row>
    <row r="54" spans="1:13" x14ac:dyDescent="0.2">
      <c r="A54" s="7">
        <v>33051</v>
      </c>
      <c r="B54" s="4">
        <v>1</v>
      </c>
      <c r="C54" s="4">
        <v>1</v>
      </c>
      <c r="D54" s="4">
        <v>1</v>
      </c>
      <c r="E54" s="4">
        <v>1</v>
      </c>
      <c r="F54" s="4">
        <v>1</v>
      </c>
      <c r="G54" s="4">
        <v>1</v>
      </c>
      <c r="H54" s="4">
        <v>1</v>
      </c>
      <c r="I54" s="4">
        <v>1</v>
      </c>
      <c r="J54" s="4">
        <v>1</v>
      </c>
      <c r="K54" s="4">
        <v>1</v>
      </c>
      <c r="L54" s="4">
        <v>1</v>
      </c>
      <c r="M54" s="4">
        <v>1</v>
      </c>
    </row>
    <row r="55" spans="1:13" x14ac:dyDescent="0.2">
      <c r="A55" s="7">
        <v>33067.25</v>
      </c>
      <c r="B55" s="4">
        <v>4</v>
      </c>
      <c r="C55" s="4">
        <v>4</v>
      </c>
      <c r="D55" s="4">
        <v>4</v>
      </c>
      <c r="E55" s="4">
        <v>4</v>
      </c>
      <c r="F55" s="4">
        <v>4</v>
      </c>
      <c r="G55" s="4">
        <v>4</v>
      </c>
      <c r="H55" s="4">
        <v>4</v>
      </c>
      <c r="I55" s="4">
        <v>3</v>
      </c>
      <c r="J55" s="4">
        <v>4</v>
      </c>
      <c r="K55" s="4">
        <v>4</v>
      </c>
      <c r="L55" s="4">
        <v>4</v>
      </c>
      <c r="M55" s="4">
        <v>3</v>
      </c>
    </row>
    <row r="56" spans="1:13" x14ac:dyDescent="0.2">
      <c r="A56" s="7">
        <v>33102.6</v>
      </c>
      <c r="B56" s="4">
        <v>4</v>
      </c>
      <c r="C56" s="4">
        <v>5</v>
      </c>
      <c r="D56" s="4">
        <v>4</v>
      </c>
      <c r="E56" s="4">
        <v>5</v>
      </c>
      <c r="F56" s="4">
        <v>5</v>
      </c>
      <c r="G56" s="4">
        <v>5</v>
      </c>
      <c r="H56" s="4">
        <v>4</v>
      </c>
      <c r="I56" s="4">
        <v>4</v>
      </c>
      <c r="J56" s="4">
        <v>4</v>
      </c>
      <c r="K56" s="4">
        <v>3</v>
      </c>
      <c r="L56" s="4">
        <v>4</v>
      </c>
      <c r="M56" s="4">
        <v>5</v>
      </c>
    </row>
    <row r="57" spans="1:13" x14ac:dyDescent="0.2">
      <c r="A57" s="7">
        <v>33123</v>
      </c>
      <c r="B57" s="4">
        <v>2</v>
      </c>
      <c r="C57" s="4">
        <v>2</v>
      </c>
      <c r="D57" s="4">
        <v>2</v>
      </c>
      <c r="E57" s="4">
        <v>2</v>
      </c>
      <c r="F57" s="4">
        <v>2</v>
      </c>
      <c r="G57" s="4">
        <v>2</v>
      </c>
      <c r="H57" s="4">
        <v>2</v>
      </c>
      <c r="I57" s="4">
        <v>2</v>
      </c>
      <c r="J57" s="4">
        <v>2</v>
      </c>
      <c r="K57" s="4">
        <v>2</v>
      </c>
      <c r="L57" s="4">
        <v>2</v>
      </c>
      <c r="M57" s="4">
        <v>2</v>
      </c>
    </row>
    <row r="58" spans="1:13" x14ac:dyDescent="0.2">
      <c r="A58" s="7">
        <v>33169</v>
      </c>
      <c r="B58" s="4">
        <v>1</v>
      </c>
      <c r="C58" s="4">
        <v>2</v>
      </c>
      <c r="D58" s="4">
        <v>2</v>
      </c>
      <c r="E58" s="4">
        <v>2</v>
      </c>
      <c r="F58" s="4">
        <v>2</v>
      </c>
      <c r="G58" s="4">
        <v>2</v>
      </c>
      <c r="H58" s="4">
        <v>2</v>
      </c>
      <c r="I58" s="4">
        <v>2</v>
      </c>
      <c r="J58" s="4">
        <v>2</v>
      </c>
      <c r="K58" s="4">
        <v>2</v>
      </c>
      <c r="L58" s="4">
        <v>2</v>
      </c>
      <c r="M58" s="4">
        <v>2</v>
      </c>
    </row>
    <row r="59" spans="1:13" x14ac:dyDescent="0.2">
      <c r="A59" s="7">
        <v>33191.333333333336</v>
      </c>
      <c r="B59" s="4">
        <v>3</v>
      </c>
      <c r="C59" s="4">
        <v>3</v>
      </c>
      <c r="D59" s="4">
        <v>3</v>
      </c>
      <c r="E59" s="4">
        <v>3</v>
      </c>
      <c r="F59" s="4">
        <v>3</v>
      </c>
      <c r="G59" s="4">
        <v>3</v>
      </c>
      <c r="H59" s="4">
        <v>2</v>
      </c>
      <c r="I59" s="4">
        <v>2</v>
      </c>
      <c r="J59" s="4">
        <v>2</v>
      </c>
      <c r="K59" s="4">
        <v>3</v>
      </c>
      <c r="L59" s="4">
        <v>2</v>
      </c>
      <c r="M59" s="4">
        <v>3</v>
      </c>
    </row>
    <row r="60" spans="1:13" x14ac:dyDescent="0.2">
      <c r="A60" s="7">
        <v>33217.666666666664</v>
      </c>
      <c r="B60" s="4">
        <v>3</v>
      </c>
      <c r="C60" s="4">
        <v>3</v>
      </c>
      <c r="D60" s="4">
        <v>3</v>
      </c>
      <c r="E60" s="4">
        <v>3</v>
      </c>
      <c r="F60" s="4">
        <v>3</v>
      </c>
      <c r="G60" s="4">
        <v>3</v>
      </c>
      <c r="H60" s="4">
        <v>3</v>
      </c>
      <c r="I60" s="4">
        <v>3</v>
      </c>
      <c r="J60" s="4">
        <v>3</v>
      </c>
      <c r="K60" s="4">
        <v>2</v>
      </c>
      <c r="L60" s="4">
        <v>3</v>
      </c>
      <c r="M60" s="4">
        <v>3</v>
      </c>
    </row>
    <row r="61" spans="1:13" x14ac:dyDescent="0.2">
      <c r="A61" s="7">
        <v>33292</v>
      </c>
      <c r="B61" s="4">
        <v>2</v>
      </c>
      <c r="C61" s="4">
        <v>2</v>
      </c>
      <c r="D61" s="4">
        <v>2</v>
      </c>
      <c r="E61" s="4">
        <v>2</v>
      </c>
      <c r="F61" s="4">
        <v>2</v>
      </c>
      <c r="G61" s="4">
        <v>2</v>
      </c>
      <c r="H61" s="4">
        <v>2</v>
      </c>
      <c r="I61" s="4">
        <v>2</v>
      </c>
      <c r="J61" s="4">
        <v>2</v>
      </c>
      <c r="K61" s="4">
        <v>2</v>
      </c>
      <c r="L61" s="4">
        <v>2</v>
      </c>
      <c r="M61" s="4">
        <v>2</v>
      </c>
    </row>
    <row r="62" spans="1:13" x14ac:dyDescent="0.2">
      <c r="A62" s="7">
        <v>33306</v>
      </c>
      <c r="B62" s="4">
        <v>2</v>
      </c>
      <c r="C62" s="4">
        <v>2</v>
      </c>
      <c r="D62" s="4">
        <v>2</v>
      </c>
      <c r="E62" s="4">
        <v>2</v>
      </c>
      <c r="F62" s="4">
        <v>2</v>
      </c>
      <c r="G62" s="4">
        <v>2</v>
      </c>
      <c r="H62" s="4">
        <v>2</v>
      </c>
      <c r="I62" s="4">
        <v>2</v>
      </c>
      <c r="J62" s="4">
        <v>2</v>
      </c>
      <c r="K62" s="4">
        <v>2</v>
      </c>
      <c r="L62" s="4">
        <v>2</v>
      </c>
      <c r="M62" s="4">
        <v>2</v>
      </c>
    </row>
    <row r="66" spans="1:13" x14ac:dyDescent="0.2">
      <c r="A66" s="2" t="s">
        <v>1711</v>
      </c>
      <c r="B66" s="8" t="s">
        <v>287</v>
      </c>
      <c r="C66" s="10" t="s">
        <v>117</v>
      </c>
      <c r="D66" s="10" t="s">
        <v>118</v>
      </c>
      <c r="E66" s="10" t="s">
        <v>123</v>
      </c>
      <c r="F66" s="10" t="s">
        <v>134</v>
      </c>
      <c r="G66" s="10" t="s">
        <v>138</v>
      </c>
      <c r="H66" s="10" t="s">
        <v>136</v>
      </c>
      <c r="I66" s="10" t="s">
        <v>130</v>
      </c>
      <c r="J66" s="10" t="s">
        <v>133</v>
      </c>
      <c r="K66" s="10" t="s">
        <v>127</v>
      </c>
      <c r="L66" s="10" t="s">
        <v>121</v>
      </c>
      <c r="M66" s="10" t="s">
        <v>112</v>
      </c>
    </row>
    <row r="67" spans="1:13" x14ac:dyDescent="0.2">
      <c r="B67" s="15" t="s">
        <v>291</v>
      </c>
      <c r="C67" s="10" t="s">
        <v>144</v>
      </c>
      <c r="D67" s="10" t="s">
        <v>266</v>
      </c>
      <c r="E67" s="10" t="s">
        <v>266</v>
      </c>
      <c r="F67" s="10" t="s">
        <v>371</v>
      </c>
      <c r="G67" s="10" t="s">
        <v>266</v>
      </c>
      <c r="H67" s="10" t="s">
        <v>144</v>
      </c>
      <c r="I67" s="10" t="s">
        <v>144</v>
      </c>
      <c r="J67" s="10" t="s">
        <v>144</v>
      </c>
      <c r="K67" s="10" t="s">
        <v>144</v>
      </c>
      <c r="L67" s="10" t="s">
        <v>144</v>
      </c>
      <c r="M67" s="10" t="s">
        <v>144</v>
      </c>
    </row>
    <row r="69" spans="1:13" x14ac:dyDescent="0.2">
      <c r="A69" s="7">
        <f>AVERAGE(A43:A51)</f>
        <v>33168.87222222222</v>
      </c>
      <c r="B69" s="4">
        <f t="shared" ref="B69:M69" si="9">AVERAGE(B6:B29)</f>
        <v>10.695454545454544</v>
      </c>
      <c r="C69" s="4">
        <f t="shared" si="9"/>
        <v>485.85416666666669</v>
      </c>
      <c r="D69" s="4">
        <f t="shared" si="9"/>
        <v>102.5</v>
      </c>
      <c r="E69" s="4">
        <f t="shared" si="9"/>
        <v>1796.6875</v>
      </c>
      <c r="F69" s="4">
        <f t="shared" si="9"/>
        <v>354.66666666666669</v>
      </c>
      <c r="G69" s="4">
        <f t="shared" si="9"/>
        <v>339.92291666666665</v>
      </c>
      <c r="H69" s="4">
        <f t="shared" si="9"/>
        <v>510.06818181818181</v>
      </c>
      <c r="I69" s="4">
        <f t="shared" si="9"/>
        <v>287.16666666666669</v>
      </c>
      <c r="J69" s="4">
        <f t="shared" si="9"/>
        <v>57.545454545454547</v>
      </c>
      <c r="K69" s="4">
        <f t="shared" si="9"/>
        <v>27.642857142857142</v>
      </c>
      <c r="L69" s="4">
        <f t="shared" si="9"/>
        <v>225.29545454545453</v>
      </c>
      <c r="M69" s="4">
        <f t="shared" si="9"/>
        <v>162.7608695652174</v>
      </c>
    </row>
    <row r="70" spans="1:13" x14ac:dyDescent="0.2">
      <c r="B70" s="4">
        <f t="shared" ref="B70:M70" si="10">STDEV(B6:B29)</f>
        <v>4.8405506645350558</v>
      </c>
      <c r="C70" s="4">
        <f t="shared" si="10"/>
        <v>14.303753814590273</v>
      </c>
      <c r="D70" s="4">
        <f t="shared" si="10"/>
        <v>25.139384168345021</v>
      </c>
      <c r="E70" s="4">
        <f t="shared" si="10"/>
        <v>21.805370549078241</v>
      </c>
      <c r="F70" s="4">
        <f t="shared" si="10"/>
        <v>6.8073915496425599</v>
      </c>
      <c r="G70" s="4">
        <f t="shared" si="10"/>
        <v>1.7731070228535981</v>
      </c>
      <c r="H70" s="4">
        <f t="shared" si="10"/>
        <v>5.7431023940223369</v>
      </c>
      <c r="I70" s="4">
        <f t="shared" si="10"/>
        <v>2.4715042652873036</v>
      </c>
      <c r="J70" s="4">
        <f t="shared" si="10"/>
        <v>2.6136504799167066</v>
      </c>
      <c r="K70" s="4">
        <f t="shared" si="10"/>
        <v>7.6976341448896797</v>
      </c>
      <c r="L70" s="4">
        <f t="shared" si="10"/>
        <v>9.7963295980215772</v>
      </c>
      <c r="M70" s="4">
        <f t="shared" si="10"/>
        <v>1.3640644914221953</v>
      </c>
    </row>
    <row r="71" spans="1:13" x14ac:dyDescent="0.2">
      <c r="B71" s="4">
        <f t="shared" ref="B71:M71" si="11">COUNTA(B6:B29)</f>
        <v>22</v>
      </c>
      <c r="C71" s="4">
        <f t="shared" si="11"/>
        <v>24</v>
      </c>
      <c r="D71" s="4">
        <f t="shared" si="11"/>
        <v>23</v>
      </c>
      <c r="E71" s="4">
        <f t="shared" si="11"/>
        <v>24</v>
      </c>
      <c r="F71" s="4">
        <f t="shared" si="11"/>
        <v>24</v>
      </c>
      <c r="G71" s="4">
        <f t="shared" si="11"/>
        <v>24</v>
      </c>
      <c r="H71" s="4">
        <f t="shared" si="11"/>
        <v>22</v>
      </c>
      <c r="I71" s="4">
        <f t="shared" si="11"/>
        <v>21</v>
      </c>
      <c r="J71" s="4">
        <f t="shared" si="11"/>
        <v>22</v>
      </c>
      <c r="K71" s="4">
        <f t="shared" si="11"/>
        <v>21</v>
      </c>
      <c r="L71" s="4">
        <f t="shared" si="11"/>
        <v>22</v>
      </c>
      <c r="M71" s="4">
        <f t="shared" si="11"/>
        <v>23</v>
      </c>
    </row>
  </sheetData>
  <pageMargins left="0.5" right="0.5" top="0.75" bottom="0.75" header="0.5" footer="0.5"/>
  <pageSetup orientation="portrait" horizontalDpi="0" verticalDpi="0" copies="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8"/>
  <sheetViews>
    <sheetView showOutlineSymbols="0" defaultGridColor="0" colorId="9" workbookViewId="0">
      <selection activeCell="A2" sqref="A2"/>
    </sheetView>
  </sheetViews>
  <sheetFormatPr defaultColWidth="8.6640625" defaultRowHeight="15" x14ac:dyDescent="0.2"/>
  <cols>
    <col min="1" max="1" width="10.6640625" style="2" customWidth="1"/>
    <col min="2" max="2" width="6.6640625" style="2" customWidth="1"/>
    <col min="3" max="3" width="5.6640625" style="2" customWidth="1"/>
    <col min="4" max="12" width="8.6640625" style="2" customWidth="1"/>
    <col min="13" max="13" width="8.88671875" style="2" customWidth="1"/>
    <col min="14" max="15" width="8.6640625" style="2" customWidth="1"/>
    <col min="16" max="16384" width="8.6640625" style="2"/>
  </cols>
  <sheetData>
    <row r="1" spans="1:17" ht="18" x14ac:dyDescent="0.25">
      <c r="A1" s="18" t="s">
        <v>421</v>
      </c>
      <c r="Q1" s="2" t="s">
        <v>1</v>
      </c>
    </row>
    <row r="2" spans="1:17" x14ac:dyDescent="0.2">
      <c r="A2" s="2" t="s">
        <v>422</v>
      </c>
      <c r="Q2" s="2" t="s">
        <v>1</v>
      </c>
    </row>
    <row r="3" spans="1:17" x14ac:dyDescent="0.2">
      <c r="A3" s="15" t="s">
        <v>253</v>
      </c>
      <c r="B3" s="8" t="s">
        <v>423</v>
      </c>
      <c r="D3" s="9" t="s">
        <v>146</v>
      </c>
      <c r="E3" s="9" t="s">
        <v>118</v>
      </c>
      <c r="F3" s="9" t="s">
        <v>123</v>
      </c>
      <c r="G3" s="9" t="s">
        <v>134</v>
      </c>
      <c r="H3" s="9" t="s">
        <v>138</v>
      </c>
      <c r="I3" s="9" t="s">
        <v>136</v>
      </c>
      <c r="J3" s="9" t="s">
        <v>130</v>
      </c>
      <c r="K3" s="9" t="s">
        <v>133</v>
      </c>
      <c r="L3" s="9" t="s">
        <v>127</v>
      </c>
      <c r="M3" s="9" t="s">
        <v>121</v>
      </c>
      <c r="N3" s="9" t="s">
        <v>112</v>
      </c>
      <c r="O3" s="9" t="s">
        <v>114</v>
      </c>
      <c r="Q3" s="2" t="s">
        <v>1</v>
      </c>
    </row>
    <row r="4" spans="1:17" x14ac:dyDescent="0.2">
      <c r="D4" s="9" t="s">
        <v>424</v>
      </c>
      <c r="E4" s="9" t="s">
        <v>266</v>
      </c>
      <c r="F4" s="9" t="s">
        <v>266</v>
      </c>
      <c r="G4" s="9" t="s">
        <v>371</v>
      </c>
      <c r="H4" s="9" t="s">
        <v>266</v>
      </c>
      <c r="I4" s="9" t="s">
        <v>144</v>
      </c>
      <c r="J4" s="9" t="s">
        <v>144</v>
      </c>
      <c r="K4" s="9" t="s">
        <v>144</v>
      </c>
      <c r="L4" s="9" t="s">
        <v>144</v>
      </c>
      <c r="M4" s="9" t="s">
        <v>144</v>
      </c>
      <c r="N4" s="9" t="s">
        <v>144</v>
      </c>
      <c r="O4" s="9" t="s">
        <v>144</v>
      </c>
      <c r="Q4" s="2" t="s">
        <v>1</v>
      </c>
    </row>
    <row r="5" spans="1:17" x14ac:dyDescent="0.2">
      <c r="A5" s="19"/>
      <c r="Q5" s="2" t="s">
        <v>1</v>
      </c>
    </row>
    <row r="6" spans="1:17" x14ac:dyDescent="0.2">
      <c r="A6" s="19">
        <f>DATE(91,8,26)</f>
        <v>33476</v>
      </c>
      <c r="B6" s="2">
        <v>1300</v>
      </c>
      <c r="C6" s="2">
        <v>1500</v>
      </c>
      <c r="D6" s="2">
        <v>39</v>
      </c>
      <c r="E6" s="2">
        <v>285</v>
      </c>
      <c r="F6" s="2">
        <v>1820</v>
      </c>
      <c r="G6" s="2">
        <v>341</v>
      </c>
      <c r="H6" s="2">
        <v>330</v>
      </c>
      <c r="I6" s="2">
        <v>536</v>
      </c>
      <c r="J6" s="2">
        <v>292</v>
      </c>
      <c r="K6" s="2">
        <v>59</v>
      </c>
      <c r="L6" s="2">
        <v>28</v>
      </c>
      <c r="M6" s="2">
        <v>189</v>
      </c>
      <c r="N6" s="2">
        <v>104</v>
      </c>
      <c r="O6" s="2">
        <v>18</v>
      </c>
      <c r="Q6" s="2" t="s">
        <v>1</v>
      </c>
    </row>
    <row r="7" spans="1:17" x14ac:dyDescent="0.2">
      <c r="A7" s="19">
        <f>DATE(91,8,27)</f>
        <v>33477</v>
      </c>
      <c r="B7" s="2">
        <v>300</v>
      </c>
      <c r="C7" s="2">
        <v>500</v>
      </c>
      <c r="D7" s="2">
        <v>51</v>
      </c>
      <c r="E7" s="2">
        <v>384</v>
      </c>
      <c r="F7" s="2">
        <v>1880</v>
      </c>
      <c r="G7" s="2">
        <v>349</v>
      </c>
      <c r="H7" s="2">
        <v>336</v>
      </c>
      <c r="I7" s="2">
        <v>588</v>
      </c>
      <c r="J7" s="2">
        <v>310</v>
      </c>
      <c r="K7" s="2">
        <v>73</v>
      </c>
      <c r="L7" s="2">
        <v>26</v>
      </c>
      <c r="M7" s="2">
        <v>389</v>
      </c>
      <c r="N7" s="2">
        <v>101</v>
      </c>
      <c r="O7" s="2">
        <v>66</v>
      </c>
      <c r="Q7" s="2" t="s">
        <v>1</v>
      </c>
    </row>
    <row r="8" spans="1:17" x14ac:dyDescent="0.2">
      <c r="A8" s="19">
        <f>DATE(91,8,27)</f>
        <v>33477</v>
      </c>
      <c r="B8" s="2">
        <v>1300</v>
      </c>
      <c r="C8" s="2">
        <v>1500</v>
      </c>
      <c r="D8" s="2">
        <v>56</v>
      </c>
      <c r="E8" s="2">
        <v>281</v>
      </c>
      <c r="F8" s="2">
        <v>1902</v>
      </c>
      <c r="G8" s="2">
        <v>341</v>
      </c>
      <c r="H8" s="2">
        <v>335</v>
      </c>
      <c r="I8" s="2">
        <v>569</v>
      </c>
      <c r="J8" s="2">
        <v>303</v>
      </c>
      <c r="K8" s="2">
        <v>71</v>
      </c>
      <c r="L8" s="2">
        <v>36</v>
      </c>
      <c r="M8" s="2">
        <v>312</v>
      </c>
      <c r="N8" s="2">
        <v>103</v>
      </c>
      <c r="O8" s="2">
        <v>54</v>
      </c>
      <c r="Q8" s="2" t="s">
        <v>1</v>
      </c>
    </row>
    <row r="9" spans="1:17" x14ac:dyDescent="0.2">
      <c r="A9" s="19">
        <f>DATE(91,8,28)</f>
        <v>33478</v>
      </c>
      <c r="B9" s="2">
        <v>300</v>
      </c>
      <c r="C9" s="2">
        <v>500</v>
      </c>
      <c r="D9" s="2">
        <v>58</v>
      </c>
      <c r="E9" s="2">
        <v>256</v>
      </c>
      <c r="F9" s="2">
        <v>1873</v>
      </c>
      <c r="G9" s="2">
        <v>370</v>
      </c>
      <c r="H9" s="2">
        <v>335</v>
      </c>
      <c r="I9" s="2">
        <v>564</v>
      </c>
      <c r="J9" s="2">
        <v>295</v>
      </c>
      <c r="K9" s="2">
        <v>59</v>
      </c>
      <c r="L9" s="2">
        <v>43</v>
      </c>
      <c r="M9" s="2">
        <v>245</v>
      </c>
      <c r="N9" s="2">
        <v>103</v>
      </c>
      <c r="O9" s="2">
        <v>39</v>
      </c>
      <c r="Q9" s="2" t="s">
        <v>1</v>
      </c>
    </row>
    <row r="10" spans="1:17" x14ac:dyDescent="0.2">
      <c r="A10" s="19">
        <f>DATE(91,8,28)</f>
        <v>33478</v>
      </c>
      <c r="B10" s="2">
        <v>1300</v>
      </c>
      <c r="C10" s="2">
        <v>1500</v>
      </c>
      <c r="D10" s="2">
        <v>61</v>
      </c>
      <c r="E10" s="2">
        <v>229</v>
      </c>
      <c r="F10" s="2">
        <v>1841</v>
      </c>
      <c r="G10" s="2">
        <v>344</v>
      </c>
      <c r="H10" s="2">
        <v>333</v>
      </c>
      <c r="I10" s="2">
        <v>537</v>
      </c>
      <c r="J10" s="2">
        <v>288</v>
      </c>
      <c r="K10" s="2">
        <v>61</v>
      </c>
      <c r="L10" s="2">
        <v>39</v>
      </c>
      <c r="M10" s="2">
        <v>239</v>
      </c>
      <c r="N10" s="2">
        <v>102</v>
      </c>
      <c r="O10" s="2">
        <v>31</v>
      </c>
      <c r="Q10" s="2" t="s">
        <v>1</v>
      </c>
    </row>
    <row r="11" spans="1:17" x14ac:dyDescent="0.2">
      <c r="A11" s="19">
        <f>DATE(91,8,29)</f>
        <v>33479</v>
      </c>
      <c r="B11" s="2">
        <v>300</v>
      </c>
      <c r="C11" s="2">
        <v>500</v>
      </c>
      <c r="D11" s="2">
        <v>32</v>
      </c>
      <c r="E11" s="2">
        <v>216</v>
      </c>
      <c r="F11" s="2">
        <v>1884</v>
      </c>
      <c r="G11" s="2">
        <v>385</v>
      </c>
      <c r="H11" s="2">
        <v>330</v>
      </c>
      <c r="I11" s="2">
        <v>542</v>
      </c>
      <c r="J11" s="2">
        <v>281</v>
      </c>
      <c r="K11" s="2">
        <v>58</v>
      </c>
      <c r="L11" s="2">
        <v>59</v>
      </c>
      <c r="M11" s="2">
        <v>216</v>
      </c>
      <c r="N11" s="2">
        <v>101</v>
      </c>
      <c r="O11" s="2">
        <v>35</v>
      </c>
      <c r="Q11" s="2" t="s">
        <v>1</v>
      </c>
    </row>
    <row r="12" spans="1:17" x14ac:dyDescent="0.2">
      <c r="A12" s="19">
        <f>DATE(91,8,29)</f>
        <v>33479</v>
      </c>
      <c r="B12" s="2">
        <v>1300</v>
      </c>
      <c r="C12" s="2">
        <v>1500</v>
      </c>
      <c r="D12" s="2">
        <v>47</v>
      </c>
      <c r="E12" s="2">
        <v>187</v>
      </c>
      <c r="F12" s="2">
        <v>1819</v>
      </c>
      <c r="G12" s="2">
        <v>351</v>
      </c>
      <c r="H12" s="2">
        <v>328</v>
      </c>
      <c r="I12" s="2">
        <v>530</v>
      </c>
      <c r="J12" s="2">
        <v>292</v>
      </c>
      <c r="K12" s="2">
        <v>64</v>
      </c>
      <c r="L12" s="2">
        <v>33</v>
      </c>
      <c r="M12" s="2">
        <v>187</v>
      </c>
      <c r="N12" s="2">
        <v>107</v>
      </c>
      <c r="O12" s="2">
        <v>16</v>
      </c>
      <c r="Q12" s="2" t="s">
        <v>1</v>
      </c>
    </row>
    <row r="13" spans="1:17" x14ac:dyDescent="0.2">
      <c r="A13" s="19">
        <f>DATE(91,8,30)</f>
        <v>33480</v>
      </c>
      <c r="B13" s="2">
        <v>300</v>
      </c>
      <c r="C13" s="2">
        <v>500</v>
      </c>
      <c r="D13" s="2">
        <v>46</v>
      </c>
      <c r="E13" s="2">
        <v>249</v>
      </c>
      <c r="F13" s="2">
        <v>1799</v>
      </c>
      <c r="G13" s="2">
        <v>369</v>
      </c>
      <c r="H13" s="2">
        <v>330</v>
      </c>
      <c r="I13" s="2">
        <v>545</v>
      </c>
      <c r="J13" s="2">
        <v>300</v>
      </c>
      <c r="K13" s="2">
        <v>64</v>
      </c>
      <c r="L13" s="2">
        <v>34</v>
      </c>
      <c r="M13" s="2">
        <v>217</v>
      </c>
      <c r="N13" s="2">
        <v>105</v>
      </c>
      <c r="Q13" s="2" t="s">
        <v>1</v>
      </c>
    </row>
    <row r="14" spans="1:17" x14ac:dyDescent="0.2">
      <c r="A14" s="19">
        <f>DATE(91,8,30)</f>
        <v>33480</v>
      </c>
      <c r="B14" s="2">
        <v>1300</v>
      </c>
      <c r="C14" s="2">
        <v>1500</v>
      </c>
      <c r="D14" s="2">
        <v>104</v>
      </c>
      <c r="E14" s="2">
        <v>284</v>
      </c>
      <c r="F14" s="2">
        <v>1867</v>
      </c>
      <c r="G14" s="2">
        <v>357</v>
      </c>
      <c r="H14" s="2">
        <v>326</v>
      </c>
      <c r="I14" s="2">
        <v>570</v>
      </c>
      <c r="J14" s="2">
        <v>300</v>
      </c>
      <c r="K14" s="2">
        <v>82</v>
      </c>
      <c r="L14" s="2">
        <v>37</v>
      </c>
      <c r="M14" s="2">
        <v>301</v>
      </c>
      <c r="N14" s="2">
        <v>104</v>
      </c>
      <c r="O14" s="2">
        <v>38</v>
      </c>
      <c r="Q14" s="2" t="s">
        <v>1</v>
      </c>
    </row>
    <row r="15" spans="1:17" x14ac:dyDescent="0.2">
      <c r="A15" s="19">
        <f>DATE(91,8,31)</f>
        <v>33481</v>
      </c>
      <c r="B15" s="2">
        <v>300</v>
      </c>
      <c r="C15" s="2">
        <v>500</v>
      </c>
      <c r="D15" s="2">
        <v>58</v>
      </c>
      <c r="E15" s="2">
        <v>348</v>
      </c>
      <c r="F15" s="2">
        <v>1862</v>
      </c>
      <c r="G15" s="2">
        <v>383</v>
      </c>
      <c r="H15" s="2">
        <v>330</v>
      </c>
      <c r="I15" s="2">
        <v>583</v>
      </c>
      <c r="J15" s="2">
        <v>302</v>
      </c>
      <c r="K15" s="2">
        <v>76</v>
      </c>
      <c r="L15" s="2">
        <v>43</v>
      </c>
      <c r="M15" s="2">
        <v>306</v>
      </c>
      <c r="N15" s="2">
        <v>103</v>
      </c>
      <c r="Q15" s="2" t="s">
        <v>1</v>
      </c>
    </row>
    <row r="16" spans="1:17" x14ac:dyDescent="0.2">
      <c r="A16" s="19">
        <f>DATE(91,9,2)</f>
        <v>33483</v>
      </c>
      <c r="B16" s="2">
        <v>1300</v>
      </c>
      <c r="C16" s="2">
        <v>1500</v>
      </c>
      <c r="D16" s="2">
        <v>21</v>
      </c>
      <c r="E16" s="2">
        <v>121</v>
      </c>
      <c r="F16" s="2">
        <v>1820</v>
      </c>
      <c r="G16" s="2">
        <v>339</v>
      </c>
      <c r="H16" s="2">
        <v>332</v>
      </c>
      <c r="I16" s="2">
        <v>578</v>
      </c>
      <c r="J16" s="2">
        <v>279</v>
      </c>
      <c r="K16" s="2">
        <v>60</v>
      </c>
      <c r="L16" s="2">
        <v>30</v>
      </c>
      <c r="M16" s="2">
        <v>172</v>
      </c>
      <c r="N16" s="2">
        <v>104</v>
      </c>
      <c r="O16" s="2">
        <v>11</v>
      </c>
      <c r="Q16" s="2" t="s">
        <v>1</v>
      </c>
    </row>
    <row r="17" spans="1:17" x14ac:dyDescent="0.2">
      <c r="A17" s="19">
        <f>DATE(91,9,3)</f>
        <v>33484</v>
      </c>
      <c r="B17" s="2">
        <v>300</v>
      </c>
      <c r="C17" s="2">
        <v>500</v>
      </c>
      <c r="D17" s="2">
        <v>23</v>
      </c>
      <c r="E17" s="2">
        <v>170</v>
      </c>
      <c r="F17" s="2">
        <v>1826</v>
      </c>
      <c r="G17" s="2">
        <v>356</v>
      </c>
      <c r="H17" s="2">
        <v>325</v>
      </c>
      <c r="I17" s="2">
        <v>534</v>
      </c>
      <c r="J17" s="2">
        <v>279</v>
      </c>
      <c r="K17" s="2">
        <v>59</v>
      </c>
      <c r="L17" s="2">
        <v>30</v>
      </c>
      <c r="M17" s="2">
        <v>180</v>
      </c>
      <c r="N17" s="2">
        <v>102</v>
      </c>
      <c r="O17" s="2">
        <v>14</v>
      </c>
      <c r="Q17" s="2" t="s">
        <v>1</v>
      </c>
    </row>
    <row r="18" spans="1:17" x14ac:dyDescent="0.2">
      <c r="A18" s="19">
        <f>DATE(91,9,3)</f>
        <v>33484</v>
      </c>
      <c r="B18" s="2">
        <v>300</v>
      </c>
      <c r="C18" s="2">
        <v>1500</v>
      </c>
      <c r="D18" s="2">
        <v>47</v>
      </c>
      <c r="E18" s="2">
        <v>157</v>
      </c>
      <c r="F18" s="2">
        <v>1831</v>
      </c>
      <c r="G18" s="2">
        <v>340</v>
      </c>
      <c r="H18" s="2">
        <v>334</v>
      </c>
      <c r="I18" s="2">
        <v>537</v>
      </c>
      <c r="J18" s="2">
        <v>294</v>
      </c>
      <c r="K18" s="2">
        <v>62</v>
      </c>
      <c r="L18" s="2">
        <v>37</v>
      </c>
      <c r="M18" s="2">
        <v>191</v>
      </c>
      <c r="N18" s="2">
        <v>109</v>
      </c>
      <c r="O18" s="2">
        <v>10</v>
      </c>
      <c r="Q18" s="2" t="s">
        <v>1</v>
      </c>
    </row>
    <row r="19" spans="1:17" x14ac:dyDescent="0.2">
      <c r="A19" s="19">
        <f>DATE(91,9,4)</f>
        <v>33485</v>
      </c>
      <c r="B19" s="2">
        <v>300</v>
      </c>
      <c r="C19" s="2">
        <v>500</v>
      </c>
      <c r="D19" s="2">
        <v>46</v>
      </c>
      <c r="E19" s="2">
        <v>283</v>
      </c>
      <c r="F19" s="2">
        <v>1890</v>
      </c>
      <c r="G19" s="2">
        <v>354</v>
      </c>
      <c r="H19" s="2">
        <v>332</v>
      </c>
      <c r="I19" s="2">
        <v>593</v>
      </c>
      <c r="J19" s="2">
        <v>302</v>
      </c>
      <c r="K19" s="2">
        <v>76</v>
      </c>
      <c r="L19" s="2">
        <v>27</v>
      </c>
      <c r="M19" s="2">
        <v>365</v>
      </c>
      <c r="N19" s="2">
        <v>111</v>
      </c>
      <c r="O19" s="2">
        <v>120</v>
      </c>
      <c r="Q19" s="2" t="s">
        <v>1</v>
      </c>
    </row>
    <row r="20" spans="1:17" x14ac:dyDescent="0.2">
      <c r="A20" s="19">
        <f>DATE(91,9,4)</f>
        <v>33485</v>
      </c>
      <c r="B20" s="2">
        <v>1300</v>
      </c>
      <c r="C20" s="2">
        <v>1500</v>
      </c>
      <c r="D20" s="2">
        <v>39</v>
      </c>
      <c r="E20" s="2">
        <v>241</v>
      </c>
      <c r="F20" s="2">
        <v>1924</v>
      </c>
      <c r="G20" s="2">
        <v>349</v>
      </c>
      <c r="H20" s="2">
        <v>330</v>
      </c>
      <c r="I20" s="2">
        <v>590</v>
      </c>
      <c r="J20" s="2">
        <v>300</v>
      </c>
      <c r="K20" s="2">
        <v>79</v>
      </c>
      <c r="L20" s="2">
        <v>43</v>
      </c>
      <c r="M20" s="2">
        <v>320</v>
      </c>
      <c r="N20" s="2">
        <v>107</v>
      </c>
      <c r="O20" s="2">
        <v>64</v>
      </c>
      <c r="Q20" s="2" t="s">
        <v>1</v>
      </c>
    </row>
    <row r="21" spans="1:17" x14ac:dyDescent="0.2">
      <c r="A21" s="19">
        <f>DATE(91,9,5)</f>
        <v>33486</v>
      </c>
      <c r="B21" s="2">
        <v>300</v>
      </c>
      <c r="C21" s="2">
        <v>500</v>
      </c>
      <c r="D21" s="2">
        <v>39</v>
      </c>
      <c r="E21" s="2">
        <v>194</v>
      </c>
      <c r="F21" s="2">
        <v>1856</v>
      </c>
      <c r="G21" s="2">
        <v>390</v>
      </c>
      <c r="H21" s="2">
        <v>329</v>
      </c>
      <c r="I21" s="2">
        <v>555</v>
      </c>
      <c r="J21" s="2">
        <v>287</v>
      </c>
      <c r="K21" s="2">
        <v>61</v>
      </c>
      <c r="L21" s="2">
        <v>53</v>
      </c>
      <c r="M21" s="2">
        <v>203</v>
      </c>
      <c r="N21" s="2">
        <v>106</v>
      </c>
      <c r="O21" s="2">
        <v>15</v>
      </c>
      <c r="Q21" s="2" t="s">
        <v>1</v>
      </c>
    </row>
    <row r="22" spans="1:17" x14ac:dyDescent="0.2">
      <c r="A22" s="19">
        <f>DATE(91,9,5)</f>
        <v>33486</v>
      </c>
      <c r="B22" s="2">
        <v>1300</v>
      </c>
      <c r="C22" s="2">
        <v>1500</v>
      </c>
      <c r="D22" s="2">
        <v>41</v>
      </c>
      <c r="E22" s="2">
        <v>141</v>
      </c>
      <c r="F22" s="2">
        <v>1834</v>
      </c>
      <c r="G22" s="2">
        <v>346</v>
      </c>
      <c r="H22" s="2">
        <v>333</v>
      </c>
      <c r="I22" s="2">
        <v>543</v>
      </c>
      <c r="J22" s="2">
        <v>291</v>
      </c>
      <c r="K22" s="2">
        <v>61</v>
      </c>
      <c r="L22" s="2">
        <v>39</v>
      </c>
      <c r="M22" s="2">
        <v>193</v>
      </c>
      <c r="N22" s="2">
        <v>106</v>
      </c>
      <c r="O22" s="2">
        <v>6</v>
      </c>
      <c r="Q22" s="2" t="s">
        <v>1</v>
      </c>
    </row>
    <row r="23" spans="1:17" x14ac:dyDescent="0.2">
      <c r="A23" s="19">
        <f>DATE(91,9,6)</f>
        <v>33487</v>
      </c>
      <c r="B23" s="2">
        <v>300</v>
      </c>
      <c r="C23" s="2">
        <v>500</v>
      </c>
      <c r="D23" s="2">
        <v>29</v>
      </c>
      <c r="E23" s="2">
        <v>155</v>
      </c>
      <c r="F23" s="2">
        <v>1825</v>
      </c>
      <c r="G23" s="2">
        <v>361</v>
      </c>
      <c r="H23" s="2">
        <v>330</v>
      </c>
      <c r="I23" s="2">
        <v>571</v>
      </c>
      <c r="J23" s="2">
        <v>290</v>
      </c>
      <c r="K23" s="2">
        <v>59</v>
      </c>
      <c r="L23" s="2">
        <v>34</v>
      </c>
      <c r="M23" s="2">
        <v>185</v>
      </c>
      <c r="N23" s="2">
        <v>108</v>
      </c>
      <c r="O23" s="2">
        <v>5</v>
      </c>
      <c r="Q23" s="2" t="s">
        <v>1</v>
      </c>
    </row>
    <row r="24" spans="1:17" x14ac:dyDescent="0.2">
      <c r="A24" s="19">
        <f>DATE(91,9,6)</f>
        <v>33487</v>
      </c>
      <c r="B24" s="2">
        <v>1300</v>
      </c>
      <c r="C24" s="2">
        <v>1500</v>
      </c>
      <c r="D24" s="2">
        <v>35</v>
      </c>
      <c r="E24" s="2">
        <v>130</v>
      </c>
      <c r="F24" s="2">
        <v>1823</v>
      </c>
      <c r="G24" s="2">
        <v>343</v>
      </c>
      <c r="H24" s="2">
        <v>326</v>
      </c>
      <c r="I24" s="2">
        <v>553</v>
      </c>
      <c r="J24" s="2">
        <v>352</v>
      </c>
      <c r="K24" s="2">
        <v>57</v>
      </c>
      <c r="L24" s="2">
        <v>35</v>
      </c>
      <c r="M24" s="2">
        <v>184</v>
      </c>
      <c r="N24" s="2">
        <v>106</v>
      </c>
      <c r="O24" s="2">
        <v>4</v>
      </c>
      <c r="Q24" s="2" t="s">
        <v>1</v>
      </c>
    </row>
    <row r="25" spans="1:17" x14ac:dyDescent="0.2">
      <c r="A25" s="19">
        <f>DATE(91,9,7)</f>
        <v>33488</v>
      </c>
      <c r="B25" s="2">
        <v>300</v>
      </c>
      <c r="C25" s="2">
        <v>500</v>
      </c>
      <c r="D25" s="2">
        <v>21</v>
      </c>
      <c r="E25" s="2">
        <v>136</v>
      </c>
      <c r="F25" s="2">
        <v>1836</v>
      </c>
      <c r="G25" s="2">
        <v>372</v>
      </c>
      <c r="H25" s="2">
        <v>325</v>
      </c>
      <c r="I25" s="2">
        <v>546</v>
      </c>
      <c r="J25" s="2">
        <v>286</v>
      </c>
      <c r="K25" s="2">
        <v>61</v>
      </c>
      <c r="L25" s="2">
        <v>36</v>
      </c>
      <c r="M25" s="2">
        <v>184</v>
      </c>
      <c r="N25" s="2">
        <v>103</v>
      </c>
      <c r="O25" s="2">
        <v>7</v>
      </c>
      <c r="Q25" s="2" t="s">
        <v>1</v>
      </c>
    </row>
    <row r="26" spans="1:17" x14ac:dyDescent="0.2">
      <c r="A26" s="19">
        <f>DATE(91,9,9)</f>
        <v>33490</v>
      </c>
      <c r="B26" s="2">
        <v>1300</v>
      </c>
      <c r="C26" s="2">
        <v>1500</v>
      </c>
      <c r="D26" s="2">
        <v>32</v>
      </c>
      <c r="E26" s="2">
        <v>164</v>
      </c>
      <c r="F26" s="2">
        <v>1822</v>
      </c>
      <c r="G26" s="2">
        <v>342</v>
      </c>
      <c r="H26" s="2">
        <v>333</v>
      </c>
      <c r="I26" s="2">
        <v>541</v>
      </c>
      <c r="J26" s="2">
        <v>294</v>
      </c>
      <c r="K26" s="2">
        <v>62</v>
      </c>
      <c r="L26" s="2">
        <v>39</v>
      </c>
      <c r="M26" s="2">
        <v>187</v>
      </c>
      <c r="N26" s="2">
        <v>107</v>
      </c>
      <c r="O26" s="2">
        <v>10</v>
      </c>
      <c r="Q26" s="2" t="s">
        <v>1</v>
      </c>
    </row>
    <row r="27" spans="1:17" x14ac:dyDescent="0.2">
      <c r="A27" s="19">
        <f>DATE(91,9,10)</f>
        <v>33491</v>
      </c>
      <c r="B27" s="2">
        <v>300</v>
      </c>
      <c r="C27" s="2">
        <v>500</v>
      </c>
      <c r="D27" s="2">
        <v>37</v>
      </c>
      <c r="E27" s="2">
        <v>148</v>
      </c>
      <c r="F27" s="2">
        <v>1821</v>
      </c>
      <c r="G27" s="2">
        <v>359</v>
      </c>
      <c r="H27" s="2">
        <v>336</v>
      </c>
      <c r="I27" s="2">
        <v>548</v>
      </c>
      <c r="J27" s="2">
        <v>293</v>
      </c>
      <c r="K27" s="2">
        <v>58</v>
      </c>
      <c r="L27" s="2">
        <v>36</v>
      </c>
      <c r="M27" s="2">
        <v>179</v>
      </c>
      <c r="N27" s="2">
        <v>107</v>
      </c>
      <c r="O27" s="2">
        <v>9</v>
      </c>
      <c r="Q27" s="2" t="s">
        <v>1</v>
      </c>
    </row>
    <row r="28" spans="1:17" x14ac:dyDescent="0.2">
      <c r="A28" s="19"/>
      <c r="Q28" s="2" t="s">
        <v>1</v>
      </c>
    </row>
    <row r="29" spans="1:17" x14ac:dyDescent="0.2">
      <c r="A29" s="19"/>
      <c r="Q29" s="2" t="s">
        <v>1</v>
      </c>
    </row>
    <row r="30" spans="1:17" x14ac:dyDescent="0.2">
      <c r="A30" s="19"/>
      <c r="D30" s="9" t="s">
        <v>146</v>
      </c>
      <c r="E30" s="9" t="s">
        <v>118</v>
      </c>
      <c r="F30" s="9" t="s">
        <v>123</v>
      </c>
      <c r="G30" s="9" t="s">
        <v>134</v>
      </c>
      <c r="H30" s="9" t="s">
        <v>138</v>
      </c>
      <c r="I30" s="9" t="s">
        <v>136</v>
      </c>
      <c r="J30" s="9" t="s">
        <v>130</v>
      </c>
      <c r="K30" s="9" t="s">
        <v>133</v>
      </c>
      <c r="L30" s="9" t="s">
        <v>127</v>
      </c>
      <c r="M30" s="9" t="s">
        <v>121</v>
      </c>
      <c r="N30" s="9" t="s">
        <v>112</v>
      </c>
      <c r="O30" s="9" t="s">
        <v>114</v>
      </c>
      <c r="Q30" s="2" t="s">
        <v>1</v>
      </c>
    </row>
    <row r="31" spans="1:17" x14ac:dyDescent="0.2">
      <c r="A31" s="19"/>
      <c r="D31" s="9" t="s">
        <v>424</v>
      </c>
      <c r="E31" s="9" t="s">
        <v>266</v>
      </c>
      <c r="F31" s="9" t="s">
        <v>266</v>
      </c>
      <c r="G31" s="9" t="s">
        <v>371</v>
      </c>
      <c r="H31" s="9" t="s">
        <v>266</v>
      </c>
      <c r="I31" s="9" t="s">
        <v>144</v>
      </c>
      <c r="J31" s="9" t="s">
        <v>144</v>
      </c>
      <c r="K31" s="9" t="s">
        <v>144</v>
      </c>
      <c r="L31" s="9" t="s">
        <v>144</v>
      </c>
      <c r="M31" s="9" t="s">
        <v>144</v>
      </c>
      <c r="N31" s="9" t="s">
        <v>144</v>
      </c>
      <c r="O31" s="9" t="s">
        <v>144</v>
      </c>
      <c r="Q31" s="2" t="s">
        <v>1</v>
      </c>
    </row>
    <row r="32" spans="1:17" x14ac:dyDescent="0.2">
      <c r="A32" s="19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Q32" s="2" t="s">
        <v>1</v>
      </c>
    </row>
    <row r="33" spans="1:17" x14ac:dyDescent="0.2">
      <c r="A33" s="19"/>
      <c r="B33" s="2" t="s">
        <v>363</v>
      </c>
      <c r="D33" s="17">
        <f t="shared" ref="D33:O33" si="0">AVERAGE(D6:D27)</f>
        <v>43.727272727272727</v>
      </c>
      <c r="E33" s="17">
        <f t="shared" si="0"/>
        <v>216.31818181818181</v>
      </c>
      <c r="F33" s="17">
        <f t="shared" si="0"/>
        <v>1847.9545454545455</v>
      </c>
      <c r="G33" s="17">
        <f t="shared" si="0"/>
        <v>356.40909090909093</v>
      </c>
      <c r="H33" s="17">
        <f t="shared" si="0"/>
        <v>330.81818181818181</v>
      </c>
      <c r="I33" s="17">
        <f t="shared" si="0"/>
        <v>556.9545454545455</v>
      </c>
      <c r="J33" s="17">
        <f t="shared" si="0"/>
        <v>295.90909090909093</v>
      </c>
      <c r="K33" s="17">
        <f t="shared" si="0"/>
        <v>64.63636363636364</v>
      </c>
      <c r="L33" s="17">
        <f t="shared" si="0"/>
        <v>37.136363636363633</v>
      </c>
      <c r="M33" s="17">
        <f t="shared" si="0"/>
        <v>233.81818181818181</v>
      </c>
      <c r="N33" s="17">
        <f t="shared" si="0"/>
        <v>104.95454545454545</v>
      </c>
      <c r="O33" s="17">
        <f t="shared" si="0"/>
        <v>28.6</v>
      </c>
      <c r="Q33" s="2" t="s">
        <v>1</v>
      </c>
    </row>
    <row r="34" spans="1:17" x14ac:dyDescent="0.2">
      <c r="A34" s="19"/>
      <c r="B34" s="2" t="s">
        <v>364</v>
      </c>
      <c r="D34" s="17">
        <f t="shared" ref="D34:O34" si="1">STDEV(D6:D27)</f>
        <v>17.89435084622497</v>
      </c>
      <c r="E34" s="17">
        <f t="shared" si="1"/>
        <v>73.563957507435958</v>
      </c>
      <c r="F34" s="17">
        <f t="shared" si="1"/>
        <v>32.771179662169878</v>
      </c>
      <c r="G34" s="17">
        <f t="shared" si="1"/>
        <v>15.598104557954017</v>
      </c>
      <c r="H34" s="17">
        <f t="shared" si="1"/>
        <v>3.4175508305881395</v>
      </c>
      <c r="I34" s="17">
        <f t="shared" si="1"/>
        <v>20.193061686127248</v>
      </c>
      <c r="J34" s="17">
        <f t="shared" si="1"/>
        <v>14.89617749276988</v>
      </c>
      <c r="K34" s="17">
        <f t="shared" si="1"/>
        <v>7.6814275368793998</v>
      </c>
      <c r="L34" s="17">
        <f t="shared" si="1"/>
        <v>7.8697458937948168</v>
      </c>
      <c r="M34" s="17">
        <f t="shared" si="1"/>
        <v>66.625203556295034</v>
      </c>
      <c r="N34" s="17">
        <f t="shared" si="1"/>
        <v>2.663282484655654</v>
      </c>
      <c r="O34" s="17">
        <f t="shared" si="1"/>
        <v>29.099466444737796</v>
      </c>
      <c r="Q34" s="2" t="s">
        <v>1</v>
      </c>
    </row>
    <row r="35" spans="1:17" x14ac:dyDescent="0.2">
      <c r="A35" s="19"/>
      <c r="B35" s="2" t="s">
        <v>365</v>
      </c>
      <c r="D35" s="4">
        <f t="shared" ref="D35:O35" si="2">COUNTA(D6:D27)</f>
        <v>22</v>
      </c>
      <c r="E35" s="4">
        <f t="shared" si="2"/>
        <v>22</v>
      </c>
      <c r="F35" s="4">
        <f t="shared" si="2"/>
        <v>22</v>
      </c>
      <c r="G35" s="4">
        <f t="shared" si="2"/>
        <v>22</v>
      </c>
      <c r="H35" s="4">
        <f t="shared" si="2"/>
        <v>22</v>
      </c>
      <c r="I35" s="4">
        <f t="shared" si="2"/>
        <v>22</v>
      </c>
      <c r="J35" s="4">
        <f t="shared" si="2"/>
        <v>22</v>
      </c>
      <c r="K35" s="4">
        <f t="shared" si="2"/>
        <v>22</v>
      </c>
      <c r="L35" s="4">
        <f t="shared" si="2"/>
        <v>22</v>
      </c>
      <c r="M35" s="4">
        <f t="shared" si="2"/>
        <v>22</v>
      </c>
      <c r="N35" s="4">
        <f t="shared" si="2"/>
        <v>22</v>
      </c>
      <c r="O35" s="4">
        <f t="shared" si="2"/>
        <v>20</v>
      </c>
      <c r="Q35" s="2" t="s">
        <v>1</v>
      </c>
    </row>
    <row r="36" spans="1:17" x14ac:dyDescent="0.2">
      <c r="A36" s="19"/>
      <c r="Q36" s="2" t="s">
        <v>1</v>
      </c>
    </row>
    <row r="37" spans="1:17" x14ac:dyDescent="0.2">
      <c r="A37" s="19"/>
      <c r="Q37" s="2" t="s">
        <v>1</v>
      </c>
    </row>
    <row r="38" spans="1:17" x14ac:dyDescent="0.2">
      <c r="A38" s="19"/>
      <c r="Q38" s="2" t="s">
        <v>1</v>
      </c>
    </row>
    <row r="39" spans="1:17" x14ac:dyDescent="0.2">
      <c r="A39" s="19"/>
      <c r="Q39" s="2" t="s">
        <v>1</v>
      </c>
    </row>
    <row r="40" spans="1:17" x14ac:dyDescent="0.2">
      <c r="A40" s="19"/>
      <c r="Q40" s="2" t="s">
        <v>1</v>
      </c>
    </row>
    <row r="41" spans="1:17" x14ac:dyDescent="0.2">
      <c r="A41" s="19"/>
      <c r="Q41" s="2" t="s">
        <v>1</v>
      </c>
    </row>
    <row r="42" spans="1:17" x14ac:dyDescent="0.2">
      <c r="A42" s="19"/>
      <c r="Q42" s="2" t="s">
        <v>1</v>
      </c>
    </row>
    <row r="43" spans="1:17" x14ac:dyDescent="0.2">
      <c r="A43" s="19"/>
      <c r="Q43" s="2" t="s">
        <v>1</v>
      </c>
    </row>
    <row r="44" spans="1:17" x14ac:dyDescent="0.2">
      <c r="A44" s="19"/>
      <c r="Q44" s="2" t="s">
        <v>1</v>
      </c>
    </row>
    <row r="45" spans="1:17" x14ac:dyDescent="0.2">
      <c r="A45" s="19"/>
      <c r="Q45" s="2" t="s">
        <v>1</v>
      </c>
    </row>
    <row r="46" spans="1:17" x14ac:dyDescent="0.2">
      <c r="A46" s="19"/>
    </row>
    <row r="47" spans="1:17" x14ac:dyDescent="0.2">
      <c r="A47" s="19"/>
    </row>
    <row r="48" spans="1:17" x14ac:dyDescent="0.2">
      <c r="A48" s="19"/>
    </row>
    <row r="49" spans="1:1" x14ac:dyDescent="0.2">
      <c r="A49" s="19"/>
    </row>
    <row r="50" spans="1:1" x14ac:dyDescent="0.2">
      <c r="A50" s="19"/>
    </row>
    <row r="51" spans="1:1" x14ac:dyDescent="0.2">
      <c r="A51" s="19"/>
    </row>
    <row r="52" spans="1:1" x14ac:dyDescent="0.2">
      <c r="A52" s="19"/>
    </row>
    <row r="53" spans="1:1" x14ac:dyDescent="0.2">
      <c r="A53" s="19"/>
    </row>
    <row r="54" spans="1:1" x14ac:dyDescent="0.2">
      <c r="A54" s="19"/>
    </row>
    <row r="55" spans="1:1" x14ac:dyDescent="0.2">
      <c r="A55" s="19"/>
    </row>
    <row r="56" spans="1:1" x14ac:dyDescent="0.2">
      <c r="A56" s="19"/>
    </row>
    <row r="57" spans="1:1" x14ac:dyDescent="0.2">
      <c r="A57" s="19"/>
    </row>
    <row r="58" spans="1:1" x14ac:dyDescent="0.2">
      <c r="A58" s="19"/>
    </row>
  </sheetData>
  <pageMargins left="0.5" right="0.5" top="0.75" bottom="0.75" header="0.5" footer="0.5"/>
  <pageSetup orientation="portrait" horizontalDpi="0" verticalDpi="0" copies="0"/>
  <headerFooter alignWithMargins="0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65"/>
  <sheetViews>
    <sheetView showOutlineSymbols="0" defaultGridColor="0" colorId="9" workbookViewId="0">
      <selection activeCell="E23" sqref="E23"/>
    </sheetView>
  </sheetViews>
  <sheetFormatPr defaultColWidth="8.6640625" defaultRowHeight="15" x14ac:dyDescent="0.2"/>
  <cols>
    <col min="1" max="16384" width="8.6640625" style="2"/>
  </cols>
  <sheetData>
    <row r="2" spans="1:8" ht="18" x14ac:dyDescent="0.25">
      <c r="A2" s="18" t="s">
        <v>1937</v>
      </c>
    </row>
    <row r="4" spans="1:8" x14ac:dyDescent="0.2">
      <c r="A4" s="15" t="s">
        <v>253</v>
      </c>
      <c r="B4" s="8" t="s">
        <v>118</v>
      </c>
      <c r="E4" s="2" t="s">
        <v>601</v>
      </c>
    </row>
    <row r="5" spans="1:8" x14ac:dyDescent="0.2">
      <c r="B5" s="8" t="s">
        <v>266</v>
      </c>
      <c r="C5" s="8" t="s">
        <v>1938</v>
      </c>
      <c r="F5" s="2" t="s">
        <v>118</v>
      </c>
      <c r="G5" s="2" t="s">
        <v>1078</v>
      </c>
      <c r="H5" s="2" t="s">
        <v>365</v>
      </c>
    </row>
    <row r="8" spans="1:8" x14ac:dyDescent="0.2">
      <c r="A8" s="7">
        <f>DATE(82,8,8)</f>
        <v>30171</v>
      </c>
      <c r="B8" s="17">
        <v>189.9</v>
      </c>
      <c r="C8" s="17">
        <v>4.4000000000000004</v>
      </c>
      <c r="D8" s="17"/>
      <c r="E8" s="7">
        <f>AVERAGE(A8:A17)</f>
        <v>30179.8</v>
      </c>
      <c r="F8" s="4">
        <f>AVERAGE(B8:B17)</f>
        <v>133.57000000000002</v>
      </c>
      <c r="G8" s="4">
        <v>29.760564884125138</v>
      </c>
      <c r="H8" s="4">
        <v>10</v>
      </c>
    </row>
    <row r="9" spans="1:8" x14ac:dyDescent="0.2">
      <c r="A9" s="7">
        <f>DATE(82,8,10)</f>
        <v>30173</v>
      </c>
      <c r="B9" s="17">
        <v>115.2</v>
      </c>
      <c r="C9" s="17">
        <v>0.4</v>
      </c>
      <c r="D9" s="17"/>
      <c r="E9" s="7">
        <f>AVERAGE(A18:A22)</f>
        <v>30205</v>
      </c>
      <c r="F9" s="4">
        <f>AVERAGE(B18:B22)</f>
        <v>173.56</v>
      </c>
      <c r="G9" s="4">
        <v>22.235849432841551</v>
      </c>
      <c r="H9" s="4">
        <v>5</v>
      </c>
    </row>
    <row r="10" spans="1:8" x14ac:dyDescent="0.2">
      <c r="A10" s="7">
        <f>DATE(82,8,11)</f>
        <v>30174</v>
      </c>
      <c r="B10" s="17">
        <v>100.6</v>
      </c>
      <c r="C10" s="17">
        <v>2.8</v>
      </c>
      <c r="D10" s="17"/>
      <c r="E10" s="7">
        <f>AVERAGE(A23:A26)</f>
        <v>30237.75</v>
      </c>
      <c r="F10" s="4">
        <f>AVERAGE(B23:B26)</f>
        <v>133.92500000000001</v>
      </c>
      <c r="G10" s="4">
        <v>50.380245797997716</v>
      </c>
      <c r="H10" s="4">
        <v>4</v>
      </c>
    </row>
    <row r="11" spans="1:8" x14ac:dyDescent="0.2">
      <c r="A11" s="7">
        <f>DATE(82,8,12)</f>
        <v>30175</v>
      </c>
      <c r="B11" s="17">
        <v>140.6</v>
      </c>
      <c r="C11" s="17"/>
      <c r="D11" s="17"/>
      <c r="E11" s="7">
        <v>30270</v>
      </c>
      <c r="F11" s="4"/>
      <c r="G11" s="4"/>
      <c r="H11" s="4"/>
    </row>
    <row r="12" spans="1:8" x14ac:dyDescent="0.2">
      <c r="A12" s="7">
        <f>DATE(82,8,13)</f>
        <v>30176</v>
      </c>
      <c r="B12" s="17">
        <v>140.6</v>
      </c>
      <c r="C12" s="17">
        <v>13</v>
      </c>
      <c r="D12" s="17"/>
      <c r="E12" s="7">
        <f>AVERAGE(A27)</f>
        <v>30299</v>
      </c>
      <c r="F12" s="4">
        <f>AVERAGE(B27)</f>
        <v>207.4</v>
      </c>
      <c r="G12" s="4"/>
      <c r="H12" s="4">
        <v>1</v>
      </c>
    </row>
    <row r="13" spans="1:8" x14ac:dyDescent="0.2">
      <c r="A13" s="7">
        <f>DATE(82,8,16)</f>
        <v>30179</v>
      </c>
      <c r="B13" s="17">
        <v>136.19999999999999</v>
      </c>
      <c r="C13" s="17">
        <v>1.6</v>
      </c>
      <c r="D13" s="17"/>
      <c r="E13" s="7">
        <f>AVERAGE(A28)</f>
        <v>30341</v>
      </c>
      <c r="F13" s="4">
        <f>AVERAGE(B28)</f>
        <v>300.8</v>
      </c>
      <c r="G13" s="4"/>
      <c r="H13" s="4">
        <v>1</v>
      </c>
    </row>
    <row r="14" spans="1:8" x14ac:dyDescent="0.2">
      <c r="A14" s="7">
        <f>DATE(82,8,19)</f>
        <v>30182</v>
      </c>
      <c r="B14" s="17">
        <v>119</v>
      </c>
      <c r="C14" s="17"/>
      <c r="D14" s="17"/>
      <c r="E14" s="7">
        <f>AVERAGE(A29:A39)</f>
        <v>30362.545454545456</v>
      </c>
      <c r="F14" s="4">
        <f>AVERAGE(B29:B39)</f>
        <v>220.13636363636363</v>
      </c>
      <c r="G14" s="4">
        <v>56.964994035412182</v>
      </c>
      <c r="H14" s="4">
        <v>11</v>
      </c>
    </row>
    <row r="15" spans="1:8" x14ac:dyDescent="0.2">
      <c r="A15" s="7">
        <f>DATE(82,8,23)</f>
        <v>30186</v>
      </c>
      <c r="B15" s="17">
        <v>176.2</v>
      </c>
      <c r="C15" s="17"/>
      <c r="D15" s="17"/>
      <c r="E15" s="7">
        <f>AVERAGE(A40:A52)</f>
        <v>30385.076923076922</v>
      </c>
      <c r="F15" s="4">
        <f>AVERAGE(B40:B52)</f>
        <v>174.42307692307693</v>
      </c>
      <c r="G15" s="4">
        <v>26.021470424957215</v>
      </c>
      <c r="H15" s="4">
        <v>13</v>
      </c>
    </row>
    <row r="16" spans="1:8" x14ac:dyDescent="0.2">
      <c r="A16" s="7">
        <f>DATE(82,8,26)</f>
        <v>30189</v>
      </c>
      <c r="B16" s="17">
        <v>107.9</v>
      </c>
      <c r="C16" s="17">
        <v>5.5</v>
      </c>
      <c r="D16" s="17"/>
      <c r="E16" s="7">
        <v>30421</v>
      </c>
      <c r="F16" s="4"/>
      <c r="G16" s="4"/>
      <c r="H16" s="4"/>
    </row>
    <row r="17" spans="1:8" x14ac:dyDescent="0.2">
      <c r="A17" s="7">
        <f>DATE(82,8,30)</f>
        <v>30193</v>
      </c>
      <c r="B17" s="17">
        <v>109.5</v>
      </c>
      <c r="C17" s="17">
        <v>1.4</v>
      </c>
      <c r="D17" s="17"/>
      <c r="E17" s="7">
        <f>AVERAGE(A53:A54)</f>
        <v>30465</v>
      </c>
      <c r="F17" s="4">
        <f>AVERAGE(B53:B54)</f>
        <v>164.55</v>
      </c>
      <c r="G17" s="4">
        <v>11.950104602052653</v>
      </c>
      <c r="H17" s="4">
        <v>2</v>
      </c>
    </row>
    <row r="18" spans="1:8" x14ac:dyDescent="0.2">
      <c r="A18" s="7">
        <f>DATE(82,9,2)</f>
        <v>30196</v>
      </c>
      <c r="B18" s="17">
        <v>176</v>
      </c>
      <c r="C18" s="17"/>
      <c r="D18" s="17"/>
      <c r="E18" s="7">
        <f>AVERAGE(A55:A58)</f>
        <v>30482.5</v>
      </c>
      <c r="F18" s="4">
        <f>AVERAGE(B55:B58)</f>
        <v>139.72500000000002</v>
      </c>
      <c r="G18" s="4">
        <v>33.133002178090251</v>
      </c>
      <c r="H18" s="4">
        <v>4</v>
      </c>
    </row>
    <row r="19" spans="1:8" x14ac:dyDescent="0.2">
      <c r="A19" s="7">
        <f>DATE(82,9,9)</f>
        <v>30203</v>
      </c>
      <c r="B19" s="17">
        <v>137.5</v>
      </c>
      <c r="C19" s="17">
        <v>10</v>
      </c>
      <c r="D19" s="17"/>
      <c r="E19" s="7">
        <f>AVERAGE(A59:A60)</f>
        <v>30506</v>
      </c>
      <c r="F19" s="4">
        <f>AVERAGE(B59:B60)</f>
        <v>162.65</v>
      </c>
      <c r="G19" s="4">
        <v>81.953675939520863</v>
      </c>
      <c r="H19" s="4">
        <v>2</v>
      </c>
    </row>
    <row r="20" spans="1:8" x14ac:dyDescent="0.2">
      <c r="A20" s="7">
        <f>DATE(82,9,10)</f>
        <v>30204</v>
      </c>
      <c r="B20" s="17">
        <v>194.6</v>
      </c>
      <c r="C20" s="17">
        <v>2.6</v>
      </c>
      <c r="D20" s="17"/>
      <c r="E20" s="7">
        <f>AVERAGE(A61:A62)</f>
        <v>30538</v>
      </c>
      <c r="F20" s="4">
        <f>AVERAGE(B61:B62)</f>
        <v>79.599999999999994</v>
      </c>
      <c r="G20" s="4">
        <v>0.56568542494923801</v>
      </c>
      <c r="H20" s="4">
        <v>2</v>
      </c>
    </row>
    <row r="21" spans="1:8" x14ac:dyDescent="0.2">
      <c r="A21" s="7">
        <f>DATE(82,9,13)</f>
        <v>30207</v>
      </c>
      <c r="B21" s="17">
        <v>171.2</v>
      </c>
      <c r="C21" s="17">
        <v>0.2</v>
      </c>
      <c r="D21" s="17"/>
    </row>
    <row r="22" spans="1:8" x14ac:dyDescent="0.2">
      <c r="A22" s="7">
        <f>DATE(82,9,21)</f>
        <v>30215</v>
      </c>
      <c r="B22" s="17">
        <v>188.5</v>
      </c>
      <c r="C22" s="17">
        <v>7.8</v>
      </c>
      <c r="D22" s="17"/>
    </row>
    <row r="23" spans="1:8" x14ac:dyDescent="0.2">
      <c r="A23" s="7">
        <f>DATE(82,10,1)</f>
        <v>30225</v>
      </c>
      <c r="B23" s="17">
        <v>206.4</v>
      </c>
      <c r="C23" s="17">
        <v>3.7</v>
      </c>
      <c r="D23" s="17"/>
    </row>
    <row r="24" spans="1:8" x14ac:dyDescent="0.2">
      <c r="A24" s="7">
        <f>DATE(82,10,5)</f>
        <v>30229</v>
      </c>
      <c r="B24" s="17">
        <v>122.3</v>
      </c>
      <c r="C24" s="17">
        <v>11.8</v>
      </c>
      <c r="D24" s="17"/>
    </row>
    <row r="25" spans="1:8" x14ac:dyDescent="0.2">
      <c r="A25" s="7">
        <f>DATE(82,10,22)</f>
        <v>30246</v>
      </c>
      <c r="B25" s="17">
        <v>89.8</v>
      </c>
      <c r="C25" s="17">
        <v>1.5</v>
      </c>
      <c r="D25" s="17"/>
    </row>
    <row r="26" spans="1:8" x14ac:dyDescent="0.2">
      <c r="A26" s="7">
        <f>DATE(82,10,27)</f>
        <v>30251</v>
      </c>
      <c r="B26" s="17">
        <v>117.2</v>
      </c>
      <c r="C26" s="17">
        <v>2</v>
      </c>
      <c r="D26" s="17"/>
    </row>
    <row r="27" spans="1:8" x14ac:dyDescent="0.2">
      <c r="A27" s="7">
        <f>DATE(82,12,14)</f>
        <v>30299</v>
      </c>
      <c r="B27" s="17">
        <v>207.4</v>
      </c>
      <c r="C27" s="17">
        <v>2.2000000000000002</v>
      </c>
      <c r="D27" s="17"/>
    </row>
    <row r="28" spans="1:8" x14ac:dyDescent="0.2">
      <c r="A28" s="7">
        <f>DATE(83,1,25)</f>
        <v>30341</v>
      </c>
      <c r="B28" s="17">
        <v>300.8</v>
      </c>
      <c r="C28" s="17">
        <v>1.7</v>
      </c>
      <c r="D28" s="17"/>
    </row>
    <row r="29" spans="1:8" x14ac:dyDescent="0.2">
      <c r="A29" s="7">
        <f>DATE(83,2,3)</f>
        <v>30350</v>
      </c>
      <c r="B29" s="17">
        <v>303.8</v>
      </c>
      <c r="C29" s="17">
        <v>0.8</v>
      </c>
      <c r="D29" s="17"/>
    </row>
    <row r="30" spans="1:8" x14ac:dyDescent="0.2">
      <c r="A30" s="7">
        <f>DATE(83,2,4)</f>
        <v>30351</v>
      </c>
      <c r="B30" s="17">
        <v>181.7</v>
      </c>
      <c r="C30" s="17">
        <v>4.2</v>
      </c>
      <c r="D30" s="17"/>
    </row>
    <row r="31" spans="1:8" x14ac:dyDescent="0.2">
      <c r="A31" s="7">
        <f>DATE(83,2,9)</f>
        <v>30356</v>
      </c>
      <c r="B31" s="17">
        <v>178</v>
      </c>
      <c r="C31" s="17">
        <v>7.7</v>
      </c>
      <c r="D31" s="17"/>
    </row>
    <row r="32" spans="1:8" x14ac:dyDescent="0.2">
      <c r="A32" s="7">
        <f>DATE(83,2,10)</f>
        <v>30357</v>
      </c>
      <c r="B32" s="17">
        <v>156.5</v>
      </c>
      <c r="C32" s="17">
        <v>0.47</v>
      </c>
      <c r="D32" s="17"/>
    </row>
    <row r="33" spans="1:4" x14ac:dyDescent="0.2">
      <c r="A33" s="7">
        <f>DATE(83,2,20)</f>
        <v>30367</v>
      </c>
      <c r="B33" s="17">
        <v>206</v>
      </c>
      <c r="C33" s="17">
        <v>10</v>
      </c>
      <c r="D33" s="17"/>
    </row>
    <row r="34" spans="1:4" x14ac:dyDescent="0.2">
      <c r="A34" s="7">
        <f>DATE(83,2,21)</f>
        <v>30368</v>
      </c>
      <c r="B34" s="17">
        <v>280.7</v>
      </c>
      <c r="C34" s="17">
        <v>9.4</v>
      </c>
      <c r="D34" s="17"/>
    </row>
    <row r="35" spans="1:4" x14ac:dyDescent="0.2">
      <c r="A35" s="7">
        <f>DATE(83,2,20)</f>
        <v>30367</v>
      </c>
      <c r="B35" s="17">
        <v>197</v>
      </c>
      <c r="C35" s="17"/>
      <c r="D35" s="17"/>
    </row>
    <row r="36" spans="1:4" x14ac:dyDescent="0.2">
      <c r="A36" s="7">
        <f>DATE(83,2,20)</f>
        <v>30367</v>
      </c>
      <c r="B36" s="17">
        <v>214</v>
      </c>
      <c r="C36" s="17"/>
      <c r="D36" s="17"/>
    </row>
    <row r="37" spans="1:4" x14ac:dyDescent="0.2">
      <c r="A37" s="7">
        <f>DATE(83,2,21)</f>
        <v>30368</v>
      </c>
      <c r="B37" s="17">
        <v>290</v>
      </c>
      <c r="C37" s="17"/>
      <c r="D37" s="17"/>
    </row>
    <row r="38" spans="1:4" x14ac:dyDescent="0.2">
      <c r="A38" s="7">
        <f>DATE(83,2,21)</f>
        <v>30368</v>
      </c>
      <c r="B38" s="17">
        <v>272</v>
      </c>
      <c r="C38" s="17"/>
      <c r="D38" s="17"/>
    </row>
    <row r="39" spans="1:4" x14ac:dyDescent="0.2">
      <c r="A39" s="7">
        <f>DATE(83,2,22)</f>
        <v>30369</v>
      </c>
      <c r="B39" s="17">
        <v>141.80000000000001</v>
      </c>
      <c r="C39" s="17">
        <v>0.7</v>
      </c>
      <c r="D39" s="17"/>
    </row>
    <row r="40" spans="1:4" x14ac:dyDescent="0.2">
      <c r="A40" s="7">
        <f>DATE(83,3,1)</f>
        <v>30376</v>
      </c>
      <c r="B40" s="17">
        <v>167.8</v>
      </c>
      <c r="C40" s="17">
        <v>1.1000000000000001</v>
      </c>
      <c r="D40" s="17"/>
    </row>
    <row r="41" spans="1:4" x14ac:dyDescent="0.2">
      <c r="A41" s="7">
        <f>DATE(83,3,3)</f>
        <v>30378</v>
      </c>
      <c r="B41" s="17">
        <v>140.4</v>
      </c>
      <c r="C41" s="17">
        <v>3</v>
      </c>
      <c r="D41" s="17"/>
    </row>
    <row r="42" spans="1:4" x14ac:dyDescent="0.2">
      <c r="A42" s="7">
        <f>DATE(83,3,5)</f>
        <v>30380</v>
      </c>
      <c r="B42" s="17">
        <v>142.80000000000001</v>
      </c>
      <c r="C42" s="17">
        <v>0.8</v>
      </c>
      <c r="D42" s="17"/>
    </row>
    <row r="43" spans="1:4" x14ac:dyDescent="0.2">
      <c r="A43" s="7">
        <f>DATE(83,3,6)</f>
        <v>30381</v>
      </c>
      <c r="B43" s="17">
        <v>162.5</v>
      </c>
      <c r="C43" s="17">
        <v>2.7</v>
      </c>
      <c r="D43" s="17"/>
    </row>
    <row r="44" spans="1:4" x14ac:dyDescent="0.2">
      <c r="A44" s="7">
        <f>DATE(83,3,6)</f>
        <v>30381</v>
      </c>
      <c r="B44" s="17">
        <v>226.2</v>
      </c>
      <c r="C44" s="17">
        <v>0.8</v>
      </c>
      <c r="D44" s="17"/>
    </row>
    <row r="45" spans="1:4" x14ac:dyDescent="0.2">
      <c r="A45" s="7">
        <f>DATE(83,3,7)</f>
        <v>30382</v>
      </c>
      <c r="B45" s="17">
        <v>170.2</v>
      </c>
      <c r="C45" s="17">
        <v>2.2999999999999998</v>
      </c>
      <c r="D45" s="17"/>
    </row>
    <row r="46" spans="1:4" x14ac:dyDescent="0.2">
      <c r="A46" s="7">
        <f>DATE(83,3,10)</f>
        <v>30385</v>
      </c>
      <c r="B46" s="17">
        <v>139.6</v>
      </c>
      <c r="C46" s="17">
        <v>1.1000000000000001</v>
      </c>
      <c r="D46" s="17"/>
    </row>
    <row r="47" spans="1:4" x14ac:dyDescent="0.2">
      <c r="A47" s="7">
        <f>DATE(83,3,14)</f>
        <v>30389</v>
      </c>
      <c r="B47" s="17">
        <v>198</v>
      </c>
      <c r="C47" s="17"/>
      <c r="D47" s="17"/>
    </row>
    <row r="48" spans="1:4" x14ac:dyDescent="0.2">
      <c r="A48" s="7">
        <f>DATE(83,3,15)</f>
        <v>30390</v>
      </c>
      <c r="B48" s="17">
        <v>181</v>
      </c>
      <c r="C48" s="17"/>
      <c r="D48" s="17"/>
    </row>
    <row r="49" spans="1:4" x14ac:dyDescent="0.2">
      <c r="A49" s="7">
        <f>DATE(83,3,15)</f>
        <v>30390</v>
      </c>
      <c r="B49" s="17">
        <v>183</v>
      </c>
      <c r="C49" s="17"/>
      <c r="D49" s="17"/>
    </row>
    <row r="50" spans="1:4" x14ac:dyDescent="0.2">
      <c r="A50" s="7">
        <f>DATE(83,3,16)</f>
        <v>30391</v>
      </c>
      <c r="B50" s="17">
        <v>173</v>
      </c>
      <c r="C50" s="17"/>
      <c r="D50" s="17"/>
    </row>
    <row r="51" spans="1:4" x14ac:dyDescent="0.2">
      <c r="A51" s="7">
        <f>DATE(83,3,16)</f>
        <v>30391</v>
      </c>
      <c r="B51" s="17">
        <v>174</v>
      </c>
      <c r="C51" s="17"/>
      <c r="D51" s="17"/>
    </row>
    <row r="52" spans="1:4" x14ac:dyDescent="0.2">
      <c r="A52" s="7">
        <f>DATE(83,3,17)</f>
        <v>30392</v>
      </c>
      <c r="B52" s="17">
        <v>209</v>
      </c>
      <c r="C52" s="17"/>
      <c r="D52" s="17"/>
    </row>
    <row r="53" spans="1:4" x14ac:dyDescent="0.2">
      <c r="A53" s="7">
        <f>DATE(83,5,27)</f>
        <v>30463</v>
      </c>
      <c r="B53" s="17">
        <v>173</v>
      </c>
      <c r="C53" s="17">
        <v>0.1</v>
      </c>
      <c r="D53" s="17"/>
    </row>
    <row r="54" spans="1:4" x14ac:dyDescent="0.2">
      <c r="A54" s="7">
        <f>DATE(83,5,31)</f>
        <v>30467</v>
      </c>
      <c r="B54" s="17">
        <v>156.1</v>
      </c>
      <c r="C54" s="17">
        <v>0</v>
      </c>
      <c r="D54" s="17"/>
    </row>
    <row r="55" spans="1:4" x14ac:dyDescent="0.2">
      <c r="A55" s="7">
        <f>DATE(83,6,2)</f>
        <v>30469</v>
      </c>
      <c r="B55" s="17">
        <v>128.19999999999999</v>
      </c>
      <c r="C55" s="17">
        <v>0.6</v>
      </c>
      <c r="D55" s="17"/>
    </row>
    <row r="56" spans="1:4" x14ac:dyDescent="0.2">
      <c r="A56" s="7">
        <f>DATE(83,6,9)</f>
        <v>30476</v>
      </c>
      <c r="B56" s="17">
        <v>106.4</v>
      </c>
      <c r="C56" s="17">
        <v>0.1</v>
      </c>
      <c r="D56" s="17"/>
    </row>
    <row r="57" spans="1:4" x14ac:dyDescent="0.2">
      <c r="A57" s="7">
        <f>DATE(83,6,23)</f>
        <v>30490</v>
      </c>
      <c r="B57" s="17">
        <v>185</v>
      </c>
      <c r="C57" s="17">
        <v>1.5</v>
      </c>
      <c r="D57" s="17"/>
    </row>
    <row r="58" spans="1:4" x14ac:dyDescent="0.2">
      <c r="A58" s="7">
        <f>DATE(83,6,28)</f>
        <v>30495</v>
      </c>
      <c r="B58" s="17">
        <v>139.30000000000001</v>
      </c>
      <c r="C58" s="17">
        <v>0.9</v>
      </c>
      <c r="D58" s="17"/>
    </row>
    <row r="59" spans="1:4" x14ac:dyDescent="0.2">
      <c r="A59" s="7">
        <f>DATE(83,7,12)</f>
        <v>30509</v>
      </c>
      <c r="B59" s="17">
        <v>220.6</v>
      </c>
      <c r="C59" s="17">
        <v>0.1</v>
      </c>
      <c r="D59" s="17"/>
    </row>
    <row r="60" spans="1:4" x14ac:dyDescent="0.2">
      <c r="A60" s="7">
        <f>DATE(83,7,6)</f>
        <v>30503</v>
      </c>
      <c r="B60" s="17">
        <v>104.7</v>
      </c>
      <c r="C60" s="17">
        <v>0.7</v>
      </c>
      <c r="D60" s="17"/>
    </row>
    <row r="61" spans="1:4" x14ac:dyDescent="0.2">
      <c r="A61" s="7">
        <f>DATE(83,8,10)</f>
        <v>30538</v>
      </c>
      <c r="B61" s="17">
        <v>80</v>
      </c>
      <c r="C61" s="17">
        <v>0</v>
      </c>
      <c r="D61" s="17"/>
    </row>
    <row r="62" spans="1:4" x14ac:dyDescent="0.2">
      <c r="A62" s="7">
        <f>DATE(83,8,10)</f>
        <v>30538</v>
      </c>
      <c r="B62" s="17">
        <v>79.2</v>
      </c>
      <c r="C62" s="17">
        <v>1.2</v>
      </c>
      <c r="D62" s="17"/>
    </row>
    <row r="63" spans="1:4" x14ac:dyDescent="0.2">
      <c r="A63" s="19"/>
      <c r="B63" s="17"/>
      <c r="C63" s="17"/>
      <c r="D63" s="17"/>
    </row>
    <row r="64" spans="1:4" x14ac:dyDescent="0.2">
      <c r="A64" s="19"/>
      <c r="B64" s="17"/>
      <c r="C64" s="17"/>
      <c r="D64" s="17"/>
    </row>
    <row r="65" spans="1:4" x14ac:dyDescent="0.2">
      <c r="A65" s="19"/>
      <c r="B65" s="17"/>
      <c r="C65" s="17"/>
      <c r="D65" s="17"/>
    </row>
  </sheetData>
  <pageMargins left="0.5" right="0.5" top="0.75" bottom="0.75" header="0.5" footer="0.5"/>
  <pageSetup orientation="portrait" horizontalDpi="0" verticalDpi="0" copies="0"/>
  <headerFooter alignWithMargins="0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8"/>
  <sheetViews>
    <sheetView showOutlineSymbols="0" defaultGridColor="0" colorId="9" workbookViewId="0">
      <selection activeCell="J33" sqref="J33"/>
    </sheetView>
  </sheetViews>
  <sheetFormatPr defaultColWidth="8.6640625" defaultRowHeight="15" x14ac:dyDescent="0.2"/>
  <cols>
    <col min="1" max="16384" width="8.6640625" style="2"/>
  </cols>
  <sheetData>
    <row r="1" spans="1:23" ht="18" x14ac:dyDescent="0.25">
      <c r="A1" s="18" t="s">
        <v>1939</v>
      </c>
      <c r="W1" s="2" t="s">
        <v>1</v>
      </c>
    </row>
    <row r="2" spans="1:23" x14ac:dyDescent="0.2">
      <c r="A2" s="2" t="s">
        <v>1940</v>
      </c>
      <c r="W2" s="2" t="s">
        <v>1</v>
      </c>
    </row>
    <row r="3" spans="1:23" x14ac:dyDescent="0.2">
      <c r="A3" s="2" t="s">
        <v>1941</v>
      </c>
      <c r="D3" s="2" t="s">
        <v>1942</v>
      </c>
      <c r="W3" s="2" t="s">
        <v>1</v>
      </c>
    </row>
    <row r="4" spans="1:23" x14ac:dyDescent="0.2">
      <c r="A4" s="2" t="s">
        <v>1943</v>
      </c>
      <c r="W4" s="2" t="s">
        <v>1</v>
      </c>
    </row>
    <row r="5" spans="1:23" x14ac:dyDescent="0.2">
      <c r="A5" s="2" t="s">
        <v>289</v>
      </c>
      <c r="B5" s="2" t="s">
        <v>285</v>
      </c>
      <c r="C5" s="15" t="s">
        <v>253</v>
      </c>
      <c r="D5" s="2" t="s">
        <v>286</v>
      </c>
      <c r="F5" s="2" t="s">
        <v>1944</v>
      </c>
      <c r="G5" s="2" t="s">
        <v>1945</v>
      </c>
      <c r="H5" s="2" t="s">
        <v>287</v>
      </c>
      <c r="I5" s="2" t="s">
        <v>624</v>
      </c>
      <c r="J5" s="8" t="s">
        <v>116</v>
      </c>
      <c r="K5" s="8" t="s">
        <v>117</v>
      </c>
      <c r="L5" s="8" t="s">
        <v>118</v>
      </c>
      <c r="M5" s="8" t="s">
        <v>143</v>
      </c>
      <c r="N5" s="8" t="s">
        <v>123</v>
      </c>
      <c r="O5" s="8" t="s">
        <v>134</v>
      </c>
      <c r="P5" s="8" t="s">
        <v>138</v>
      </c>
      <c r="Q5" s="8" t="s">
        <v>136</v>
      </c>
      <c r="R5" s="8" t="s">
        <v>130</v>
      </c>
      <c r="S5" s="8" t="s">
        <v>115</v>
      </c>
      <c r="T5" s="8" t="s">
        <v>121</v>
      </c>
      <c r="U5" s="8" t="s">
        <v>112</v>
      </c>
      <c r="W5" s="2" t="s">
        <v>1</v>
      </c>
    </row>
    <row r="6" spans="1:23" x14ac:dyDescent="0.2">
      <c r="B6" s="2" t="s">
        <v>290</v>
      </c>
      <c r="F6" s="2" t="s">
        <v>1946</v>
      </c>
      <c r="G6" s="2" t="s">
        <v>1947</v>
      </c>
      <c r="H6" s="2" t="s">
        <v>291</v>
      </c>
      <c r="J6" s="8" t="s">
        <v>635</v>
      </c>
      <c r="K6" s="8" t="s">
        <v>266</v>
      </c>
      <c r="L6" s="8" t="s">
        <v>266</v>
      </c>
      <c r="M6" s="8" t="s">
        <v>266</v>
      </c>
      <c r="N6" s="8" t="s">
        <v>266</v>
      </c>
      <c r="O6" s="8" t="s">
        <v>371</v>
      </c>
      <c r="P6" s="8" t="s">
        <v>266</v>
      </c>
      <c r="Q6" s="8" t="s">
        <v>144</v>
      </c>
      <c r="R6" s="8" t="s">
        <v>144</v>
      </c>
      <c r="S6" s="8" t="s">
        <v>144</v>
      </c>
      <c r="T6" s="8" t="s">
        <v>144</v>
      </c>
      <c r="U6" s="8" t="s">
        <v>144</v>
      </c>
      <c r="W6" s="2" t="s">
        <v>1</v>
      </c>
    </row>
    <row r="7" spans="1:23" x14ac:dyDescent="0.2">
      <c r="W7" s="2" t="s">
        <v>1</v>
      </c>
    </row>
    <row r="8" spans="1:23" x14ac:dyDescent="0.2">
      <c r="A8" s="8" t="s">
        <v>1948</v>
      </c>
      <c r="B8" s="2" t="s">
        <v>417</v>
      </c>
      <c r="C8" s="7">
        <f>DATE(85,8,5)</f>
        <v>31264</v>
      </c>
      <c r="D8" s="2">
        <v>820</v>
      </c>
      <c r="F8" s="2" t="s">
        <v>1949</v>
      </c>
      <c r="G8" s="2" t="s">
        <v>1950</v>
      </c>
      <c r="H8" s="17">
        <v>23.4</v>
      </c>
      <c r="I8" s="2" t="s">
        <v>1951</v>
      </c>
      <c r="J8" s="2">
        <v>2.5</v>
      </c>
      <c r="K8" s="2">
        <v>434</v>
      </c>
      <c r="L8" s="2">
        <v>138</v>
      </c>
      <c r="M8" s="2">
        <v>140</v>
      </c>
      <c r="N8" s="2">
        <v>2132</v>
      </c>
      <c r="O8" s="2">
        <v>367</v>
      </c>
      <c r="P8" s="2">
        <v>339</v>
      </c>
      <c r="Q8" s="2">
        <v>386</v>
      </c>
      <c r="R8" s="2">
        <v>227</v>
      </c>
      <c r="S8" s="2">
        <v>666</v>
      </c>
      <c r="T8" s="2">
        <v>148</v>
      </c>
      <c r="U8" s="2">
        <v>155</v>
      </c>
      <c r="W8" s="2" t="s">
        <v>1</v>
      </c>
    </row>
    <row r="9" spans="1:23" x14ac:dyDescent="0.2">
      <c r="A9" s="8" t="s">
        <v>1952</v>
      </c>
      <c r="B9" s="2" t="s">
        <v>1953</v>
      </c>
      <c r="C9" s="7">
        <f>DATE(85,8,5)</f>
        <v>31264</v>
      </c>
      <c r="F9" s="2" t="s">
        <v>1949</v>
      </c>
      <c r="G9" s="2" t="s">
        <v>1954</v>
      </c>
      <c r="H9" s="17">
        <v>28.9</v>
      </c>
      <c r="I9" s="2" t="s">
        <v>1951</v>
      </c>
      <c r="J9" s="2">
        <v>3.4</v>
      </c>
      <c r="K9" s="2">
        <v>460</v>
      </c>
      <c r="L9" s="2">
        <v>156</v>
      </c>
      <c r="M9" s="2">
        <v>155</v>
      </c>
      <c r="N9" s="2">
        <v>1778</v>
      </c>
      <c r="O9" s="2">
        <v>344</v>
      </c>
      <c r="P9" s="2">
        <v>339</v>
      </c>
      <c r="Q9" s="2">
        <v>387</v>
      </c>
      <c r="R9" s="2">
        <v>221</v>
      </c>
      <c r="S9" s="2">
        <v>679</v>
      </c>
      <c r="T9" s="2">
        <v>148</v>
      </c>
      <c r="U9" s="2">
        <v>154</v>
      </c>
      <c r="W9" s="2" t="s">
        <v>1</v>
      </c>
    </row>
    <row r="10" spans="1:23" x14ac:dyDescent="0.2">
      <c r="A10" s="8" t="s">
        <v>1955</v>
      </c>
      <c r="B10" s="2" t="s">
        <v>416</v>
      </c>
      <c r="C10" s="7">
        <f>DATE(85,8,6)</f>
        <v>31265</v>
      </c>
      <c r="D10" s="2">
        <v>755</v>
      </c>
      <c r="F10" s="2" t="s">
        <v>1956</v>
      </c>
      <c r="G10" s="2" t="s">
        <v>1957</v>
      </c>
      <c r="H10" s="17">
        <v>25.5</v>
      </c>
      <c r="I10" s="2" t="s">
        <v>1958</v>
      </c>
      <c r="J10" s="2">
        <v>0.6</v>
      </c>
      <c r="K10" s="2">
        <v>428</v>
      </c>
      <c r="L10" s="2">
        <v>136</v>
      </c>
      <c r="M10" s="2">
        <v>139</v>
      </c>
      <c r="N10" s="2">
        <v>2426</v>
      </c>
      <c r="O10" s="2">
        <v>396</v>
      </c>
      <c r="P10" s="2">
        <v>340</v>
      </c>
      <c r="Q10" s="2">
        <v>389</v>
      </c>
      <c r="R10" s="2">
        <v>223</v>
      </c>
      <c r="S10" s="2">
        <v>667</v>
      </c>
      <c r="T10" s="2">
        <v>151</v>
      </c>
      <c r="U10" s="2">
        <v>155</v>
      </c>
      <c r="W10" s="2" t="s">
        <v>1</v>
      </c>
    </row>
    <row r="11" spans="1:23" x14ac:dyDescent="0.2">
      <c r="A11" s="8" t="s">
        <v>1959</v>
      </c>
      <c r="B11" s="2" t="s">
        <v>415</v>
      </c>
      <c r="C11" s="7">
        <f>DATE(85,8,6)</f>
        <v>31265</v>
      </c>
      <c r="D11" s="2">
        <v>1400</v>
      </c>
      <c r="F11" s="2" t="s">
        <v>1960</v>
      </c>
      <c r="G11" s="2" t="s">
        <v>1961</v>
      </c>
      <c r="H11" s="17">
        <v>29.2</v>
      </c>
      <c r="I11" s="2" t="s">
        <v>1962</v>
      </c>
      <c r="J11" s="17">
        <v>12</v>
      </c>
      <c r="K11" s="2">
        <v>475</v>
      </c>
      <c r="L11" s="2">
        <v>161</v>
      </c>
      <c r="M11" s="2">
        <v>164</v>
      </c>
      <c r="N11" s="2">
        <v>1918</v>
      </c>
      <c r="O11" s="2">
        <v>348</v>
      </c>
      <c r="P11" s="2">
        <v>338</v>
      </c>
      <c r="Q11" s="2">
        <v>388</v>
      </c>
      <c r="R11" s="2">
        <v>226</v>
      </c>
      <c r="S11" s="2">
        <v>703</v>
      </c>
      <c r="T11" s="2">
        <v>150</v>
      </c>
      <c r="U11" s="2">
        <v>154</v>
      </c>
      <c r="W11" s="2" t="s">
        <v>1</v>
      </c>
    </row>
    <row r="12" spans="1:23" x14ac:dyDescent="0.2">
      <c r="A12" s="8" t="s">
        <v>1963</v>
      </c>
      <c r="B12" s="2" t="s">
        <v>1964</v>
      </c>
      <c r="C12" s="7">
        <f>DATE(85,8,7)</f>
        <v>31266</v>
      </c>
      <c r="D12" s="2">
        <v>820</v>
      </c>
      <c r="F12" s="2" t="s">
        <v>1965</v>
      </c>
      <c r="G12" s="2" t="s">
        <v>1966</v>
      </c>
      <c r="H12" s="17">
        <v>25.8</v>
      </c>
      <c r="I12" s="2" t="s">
        <v>1967</v>
      </c>
      <c r="J12" s="17">
        <v>4.0999999999999996</v>
      </c>
      <c r="K12" s="2">
        <v>462</v>
      </c>
      <c r="L12" s="2">
        <v>143</v>
      </c>
      <c r="M12" s="2">
        <v>143</v>
      </c>
      <c r="N12" s="2">
        <v>2378</v>
      </c>
      <c r="O12" s="2">
        <v>372</v>
      </c>
      <c r="P12" s="2">
        <v>338</v>
      </c>
      <c r="Q12" s="2">
        <v>385</v>
      </c>
      <c r="R12" s="2">
        <v>231</v>
      </c>
      <c r="S12" s="2">
        <v>731</v>
      </c>
      <c r="T12" s="2">
        <v>152</v>
      </c>
      <c r="U12" s="2">
        <v>156</v>
      </c>
      <c r="W12" s="2" t="s">
        <v>1</v>
      </c>
    </row>
    <row r="13" spans="1:23" x14ac:dyDescent="0.2">
      <c r="A13" s="8" t="s">
        <v>1968</v>
      </c>
      <c r="B13" s="2" t="s">
        <v>413</v>
      </c>
      <c r="C13" s="7">
        <f>DATE(85,8,7)</f>
        <v>31266</v>
      </c>
      <c r="D13" s="2">
        <v>1610</v>
      </c>
      <c r="F13" s="2" t="s">
        <v>1969</v>
      </c>
      <c r="G13" s="2" t="s">
        <v>1970</v>
      </c>
      <c r="H13" s="17">
        <v>29.2</v>
      </c>
      <c r="I13" s="2" t="s">
        <v>1971</v>
      </c>
      <c r="J13" s="17">
        <v>7</v>
      </c>
      <c r="K13" s="2">
        <v>493</v>
      </c>
      <c r="L13" s="2">
        <v>138</v>
      </c>
      <c r="M13" s="2">
        <v>144</v>
      </c>
      <c r="N13" s="2">
        <v>1984</v>
      </c>
      <c r="O13" s="2">
        <v>363</v>
      </c>
      <c r="P13" s="2">
        <v>342</v>
      </c>
      <c r="Q13" s="2">
        <v>384</v>
      </c>
      <c r="R13" s="2">
        <v>220</v>
      </c>
      <c r="S13" s="2">
        <v>720</v>
      </c>
      <c r="T13" s="2">
        <v>148</v>
      </c>
      <c r="U13" s="2">
        <v>153</v>
      </c>
      <c r="W13" s="2" t="s">
        <v>1</v>
      </c>
    </row>
    <row r="14" spans="1:23" x14ac:dyDescent="0.2">
      <c r="A14" s="8" t="s">
        <v>1972</v>
      </c>
      <c r="B14" s="2" t="s">
        <v>379</v>
      </c>
      <c r="C14" s="7">
        <f>DATE(85,8,9)</f>
        <v>31268</v>
      </c>
      <c r="D14" s="2">
        <v>715</v>
      </c>
      <c r="F14" s="2" t="s">
        <v>1973</v>
      </c>
      <c r="G14" s="2" t="s">
        <v>1974</v>
      </c>
      <c r="H14" s="17">
        <v>25</v>
      </c>
      <c r="I14" s="2" t="s">
        <v>1975</v>
      </c>
      <c r="J14" s="17">
        <v>4</v>
      </c>
      <c r="K14" s="2">
        <v>411</v>
      </c>
      <c r="L14" s="2">
        <v>172</v>
      </c>
      <c r="M14" s="2">
        <v>172</v>
      </c>
      <c r="N14" s="2">
        <v>1745</v>
      </c>
      <c r="O14" s="2">
        <v>410</v>
      </c>
      <c r="P14" s="2">
        <v>339</v>
      </c>
      <c r="Q14" s="2">
        <v>386</v>
      </c>
      <c r="R14" s="2">
        <v>224</v>
      </c>
      <c r="S14" s="2">
        <v>700</v>
      </c>
      <c r="T14" s="2">
        <v>148</v>
      </c>
      <c r="U14" s="2">
        <v>151</v>
      </c>
      <c r="W14" s="2" t="s">
        <v>1</v>
      </c>
    </row>
    <row r="15" spans="1:23" x14ac:dyDescent="0.2">
      <c r="A15" s="8" t="s">
        <v>1976</v>
      </c>
      <c r="B15" s="2" t="s">
        <v>373</v>
      </c>
      <c r="C15" s="7">
        <f>DATE(85,8,9)</f>
        <v>31268</v>
      </c>
      <c r="D15" s="2">
        <v>1430</v>
      </c>
      <c r="F15" s="2" t="s">
        <v>1977</v>
      </c>
      <c r="G15" s="2" t="s">
        <v>1978</v>
      </c>
      <c r="H15" s="17">
        <v>27.6</v>
      </c>
      <c r="I15" s="2" t="s">
        <v>1975</v>
      </c>
      <c r="J15" s="17">
        <v>2.2000000000000002</v>
      </c>
      <c r="K15" s="2">
        <v>509</v>
      </c>
      <c r="L15" s="2">
        <v>210</v>
      </c>
      <c r="M15" s="2">
        <v>204</v>
      </c>
      <c r="N15" s="2">
        <v>1884</v>
      </c>
      <c r="O15" s="2">
        <v>354</v>
      </c>
      <c r="P15" s="2">
        <v>338</v>
      </c>
      <c r="Q15" s="2">
        <v>387</v>
      </c>
      <c r="R15" s="2">
        <v>221</v>
      </c>
      <c r="S15" s="2">
        <v>743</v>
      </c>
      <c r="T15" s="2">
        <v>149</v>
      </c>
      <c r="U15" s="2">
        <v>154</v>
      </c>
      <c r="W15" s="2" t="s">
        <v>1</v>
      </c>
    </row>
    <row r="16" spans="1:23" x14ac:dyDescent="0.2">
      <c r="A16" s="8" t="s">
        <v>1979</v>
      </c>
      <c r="B16" s="2" t="s">
        <v>383</v>
      </c>
      <c r="C16" s="7">
        <f>DATE(85,8,11)</f>
        <v>31270</v>
      </c>
      <c r="D16" s="2">
        <v>720</v>
      </c>
      <c r="F16" s="2" t="s">
        <v>1980</v>
      </c>
      <c r="G16" s="2" t="s">
        <v>1981</v>
      </c>
      <c r="H16" s="17">
        <v>26.3</v>
      </c>
      <c r="I16" s="2" t="s">
        <v>1982</v>
      </c>
      <c r="J16" s="17">
        <v>2.2999999999999998</v>
      </c>
      <c r="K16" s="2">
        <v>457</v>
      </c>
      <c r="L16" s="2">
        <v>247</v>
      </c>
      <c r="M16" s="2">
        <v>244</v>
      </c>
      <c r="N16" s="2">
        <v>2134</v>
      </c>
      <c r="O16" s="2">
        <v>369</v>
      </c>
      <c r="P16" s="2">
        <v>338</v>
      </c>
      <c r="Q16" s="2">
        <v>385</v>
      </c>
      <c r="R16" s="2">
        <v>224</v>
      </c>
      <c r="S16" s="2">
        <v>799</v>
      </c>
      <c r="T16" s="2">
        <v>148</v>
      </c>
      <c r="U16" s="2">
        <v>150</v>
      </c>
      <c r="W16" s="2" t="s">
        <v>1</v>
      </c>
    </row>
    <row r="17" spans="1:23" x14ac:dyDescent="0.2">
      <c r="A17" s="8" t="s">
        <v>1983</v>
      </c>
      <c r="B17" s="2" t="s">
        <v>384</v>
      </c>
      <c r="C17" s="7">
        <f>DATE(85,8,11)</f>
        <v>31270</v>
      </c>
      <c r="D17" s="2">
        <v>1730</v>
      </c>
      <c r="F17" s="2" t="s">
        <v>1984</v>
      </c>
      <c r="G17" s="2" t="s">
        <v>1985</v>
      </c>
      <c r="H17" s="17">
        <v>28.3</v>
      </c>
      <c r="I17" s="2" t="s">
        <v>1986</v>
      </c>
      <c r="J17" s="17">
        <v>15.2</v>
      </c>
      <c r="K17" s="2">
        <v>463</v>
      </c>
      <c r="L17" s="2">
        <v>212</v>
      </c>
      <c r="M17" s="2">
        <v>208</v>
      </c>
      <c r="N17" s="2">
        <v>1968</v>
      </c>
      <c r="O17" s="2">
        <v>337</v>
      </c>
      <c r="P17" s="2">
        <v>338</v>
      </c>
      <c r="Q17" s="2">
        <v>382</v>
      </c>
      <c r="R17" s="2">
        <v>225</v>
      </c>
      <c r="S17" s="2">
        <v>772</v>
      </c>
      <c r="T17" s="2">
        <v>145</v>
      </c>
      <c r="U17" s="2">
        <v>153</v>
      </c>
      <c r="W17" s="2" t="s">
        <v>1</v>
      </c>
    </row>
    <row r="18" spans="1:23" x14ac:dyDescent="0.2">
      <c r="A18" s="8" t="s">
        <v>1987</v>
      </c>
      <c r="B18" s="2" t="s">
        <v>411</v>
      </c>
      <c r="C18" s="7">
        <f>DATE(85,8,16)</f>
        <v>31275</v>
      </c>
      <c r="D18" s="2">
        <v>830</v>
      </c>
      <c r="F18" s="2" t="s">
        <v>1988</v>
      </c>
      <c r="G18" s="2" t="s">
        <v>1989</v>
      </c>
      <c r="H18" s="17">
        <v>25.4</v>
      </c>
      <c r="I18" s="2" t="s">
        <v>1990</v>
      </c>
      <c r="J18" s="17">
        <v>5</v>
      </c>
      <c r="K18" s="2">
        <v>488</v>
      </c>
      <c r="L18" s="2">
        <v>119</v>
      </c>
      <c r="M18" s="2">
        <v>122</v>
      </c>
      <c r="N18" s="2">
        <v>2171</v>
      </c>
      <c r="O18" s="2">
        <v>365</v>
      </c>
      <c r="P18" s="2">
        <v>340</v>
      </c>
      <c r="Q18" s="2">
        <v>383</v>
      </c>
      <c r="R18" s="2">
        <v>221</v>
      </c>
      <c r="S18" s="2">
        <v>829</v>
      </c>
      <c r="T18" s="2">
        <v>155</v>
      </c>
      <c r="U18" s="2">
        <v>154</v>
      </c>
      <c r="W18" s="2" t="s">
        <v>1</v>
      </c>
    </row>
    <row r="19" spans="1:23" x14ac:dyDescent="0.2">
      <c r="A19" s="8" t="s">
        <v>1991</v>
      </c>
      <c r="B19" s="2" t="s">
        <v>382</v>
      </c>
      <c r="C19" s="7">
        <f>DATE(85,8,16)</f>
        <v>31275</v>
      </c>
      <c r="D19" s="2">
        <v>1715</v>
      </c>
      <c r="F19" s="2" t="s">
        <v>1992</v>
      </c>
      <c r="G19" s="2" t="s">
        <v>1993</v>
      </c>
      <c r="H19" s="17">
        <v>30.2</v>
      </c>
      <c r="I19" s="2" t="s">
        <v>1994</v>
      </c>
      <c r="J19" s="17">
        <v>8.4</v>
      </c>
      <c r="K19" s="2">
        <v>506</v>
      </c>
      <c r="L19" s="2">
        <v>104</v>
      </c>
      <c r="M19" s="2">
        <v>105</v>
      </c>
      <c r="N19" s="2">
        <v>1815</v>
      </c>
      <c r="O19" s="2">
        <v>347</v>
      </c>
      <c r="P19" s="2">
        <v>338</v>
      </c>
      <c r="Q19" s="2">
        <v>381</v>
      </c>
      <c r="S19" s="2">
        <v>764</v>
      </c>
      <c r="W19" s="2" t="s">
        <v>1</v>
      </c>
    </row>
    <row r="20" spans="1:23" x14ac:dyDescent="0.2">
      <c r="A20" s="8" t="s">
        <v>1995</v>
      </c>
      <c r="B20" s="2" t="s">
        <v>372</v>
      </c>
      <c r="C20" s="7">
        <f>DATE(85,8,17)</f>
        <v>31276</v>
      </c>
      <c r="D20" s="2">
        <v>745</v>
      </c>
      <c r="F20" s="2" t="s">
        <v>1996</v>
      </c>
      <c r="G20" s="2" t="s">
        <v>1997</v>
      </c>
      <c r="H20" s="17">
        <v>27.3</v>
      </c>
      <c r="I20" s="2" t="s">
        <v>1998</v>
      </c>
      <c r="J20" s="17">
        <v>1</v>
      </c>
      <c r="K20" s="2">
        <v>466</v>
      </c>
      <c r="L20" s="2">
        <v>124</v>
      </c>
      <c r="M20" s="2">
        <v>122</v>
      </c>
      <c r="N20" s="2">
        <v>1740</v>
      </c>
      <c r="O20" s="2">
        <v>380</v>
      </c>
      <c r="P20" s="2">
        <v>338</v>
      </c>
      <c r="Q20" s="2">
        <v>392</v>
      </c>
      <c r="R20" s="2">
        <v>224</v>
      </c>
      <c r="S20" s="2">
        <v>795</v>
      </c>
      <c r="T20" s="2">
        <v>149</v>
      </c>
      <c r="U20" s="2">
        <v>154</v>
      </c>
      <c r="W20" s="2" t="s">
        <v>1</v>
      </c>
    </row>
    <row r="21" spans="1:23" x14ac:dyDescent="0.2">
      <c r="A21" s="8" t="s">
        <v>1999</v>
      </c>
      <c r="B21" s="2" t="s">
        <v>395</v>
      </c>
      <c r="C21" s="7">
        <f>DATE(85,8,17)</f>
        <v>31276</v>
      </c>
      <c r="D21" s="2">
        <v>1540</v>
      </c>
      <c r="F21" s="2" t="s">
        <v>2000</v>
      </c>
      <c r="G21" s="2" t="s">
        <v>2001</v>
      </c>
      <c r="H21" s="17">
        <v>26.5</v>
      </c>
      <c r="I21" s="2" t="s">
        <v>1990</v>
      </c>
      <c r="J21" s="17">
        <v>5</v>
      </c>
      <c r="M21" s="2">
        <v>167</v>
      </c>
      <c r="N21" s="2">
        <v>1871</v>
      </c>
      <c r="O21" s="2">
        <v>356</v>
      </c>
      <c r="P21" s="2">
        <v>338</v>
      </c>
      <c r="Q21" s="2">
        <v>382</v>
      </c>
      <c r="R21" s="2">
        <v>225</v>
      </c>
      <c r="S21" s="2">
        <v>861</v>
      </c>
      <c r="T21" s="2">
        <v>148</v>
      </c>
      <c r="U21" s="2">
        <v>154</v>
      </c>
      <c r="W21" s="2" t="s">
        <v>1</v>
      </c>
    </row>
    <row r="22" spans="1:23" x14ac:dyDescent="0.2">
      <c r="A22" s="8" t="s">
        <v>2002</v>
      </c>
      <c r="B22" s="2" t="s">
        <v>381</v>
      </c>
      <c r="C22" s="7">
        <f>DATE(85,8,20)</f>
        <v>31279</v>
      </c>
      <c r="D22" s="2">
        <v>1030</v>
      </c>
      <c r="F22" s="2" t="s">
        <v>2003</v>
      </c>
      <c r="G22" s="2" t="s">
        <v>2004</v>
      </c>
      <c r="H22" s="17">
        <v>29.4</v>
      </c>
      <c r="I22" s="2" t="s">
        <v>2005</v>
      </c>
      <c r="J22" s="17">
        <v>5</v>
      </c>
      <c r="K22" s="2">
        <v>491</v>
      </c>
      <c r="L22" s="2">
        <v>122</v>
      </c>
      <c r="M22" s="2">
        <v>120</v>
      </c>
      <c r="N22" s="2">
        <v>1744</v>
      </c>
      <c r="O22" s="2">
        <v>356</v>
      </c>
      <c r="P22" s="2">
        <v>338</v>
      </c>
      <c r="Q22" s="2">
        <v>391</v>
      </c>
      <c r="R22" s="2">
        <v>228</v>
      </c>
      <c r="S22" s="2">
        <v>786</v>
      </c>
      <c r="T22" s="2">
        <v>151</v>
      </c>
      <c r="U22" s="2">
        <v>156</v>
      </c>
      <c r="W22" s="2" t="s">
        <v>1</v>
      </c>
    </row>
    <row r="23" spans="1:23" x14ac:dyDescent="0.2">
      <c r="A23" s="8" t="s">
        <v>2006</v>
      </c>
      <c r="B23" s="2" t="s">
        <v>375</v>
      </c>
      <c r="C23" s="7">
        <f>DATE(85,8,21)</f>
        <v>31280</v>
      </c>
      <c r="D23" s="2">
        <v>1640</v>
      </c>
      <c r="F23" s="2" t="s">
        <v>2007</v>
      </c>
      <c r="G23" s="2" t="s">
        <v>2008</v>
      </c>
      <c r="H23" s="17">
        <v>30</v>
      </c>
      <c r="I23" s="2" t="s">
        <v>2009</v>
      </c>
      <c r="J23" s="17">
        <v>2.4</v>
      </c>
      <c r="K23" s="2">
        <v>504</v>
      </c>
      <c r="L23" s="2">
        <v>121</v>
      </c>
      <c r="M23" s="2">
        <v>124</v>
      </c>
      <c r="N23" s="2">
        <v>1809</v>
      </c>
      <c r="O23" s="2">
        <v>348</v>
      </c>
      <c r="P23" s="2">
        <v>336</v>
      </c>
      <c r="Q23" s="2">
        <v>390</v>
      </c>
      <c r="R23" s="2">
        <v>224</v>
      </c>
      <c r="S23" s="2">
        <v>793</v>
      </c>
      <c r="T23" s="2">
        <v>149</v>
      </c>
      <c r="U23" s="2">
        <v>153</v>
      </c>
      <c r="W23" s="2" t="s">
        <v>1</v>
      </c>
    </row>
    <row r="24" spans="1:23" x14ac:dyDescent="0.2">
      <c r="A24" s="8" t="s">
        <v>2010</v>
      </c>
      <c r="B24" s="2" t="s">
        <v>377</v>
      </c>
      <c r="C24" s="7">
        <f>DATE(85,8,22)</f>
        <v>31281</v>
      </c>
      <c r="D24" s="2">
        <v>730</v>
      </c>
      <c r="F24" s="2" t="s">
        <v>2011</v>
      </c>
      <c r="G24" s="2" t="s">
        <v>2012</v>
      </c>
      <c r="H24" s="17">
        <v>26.5</v>
      </c>
      <c r="I24" s="2" t="s">
        <v>2013</v>
      </c>
      <c r="J24" s="17">
        <v>2.2999999999999998</v>
      </c>
      <c r="K24" s="2">
        <v>496</v>
      </c>
      <c r="L24" s="2">
        <v>199</v>
      </c>
      <c r="M24" s="2">
        <v>192</v>
      </c>
      <c r="N24" s="2">
        <v>1843</v>
      </c>
      <c r="O24" s="2">
        <v>378</v>
      </c>
      <c r="P24" s="2">
        <v>338</v>
      </c>
      <c r="Q24" s="2">
        <v>390</v>
      </c>
      <c r="R24" s="2">
        <v>231</v>
      </c>
      <c r="S24" s="2">
        <v>881</v>
      </c>
      <c r="T24" s="2">
        <v>152</v>
      </c>
      <c r="U24" s="2">
        <v>156</v>
      </c>
      <c r="W24" s="2" t="s">
        <v>1</v>
      </c>
    </row>
    <row r="25" spans="1:23" x14ac:dyDescent="0.2">
      <c r="A25" s="8" t="s">
        <v>2014</v>
      </c>
      <c r="B25" s="2" t="s">
        <v>376</v>
      </c>
      <c r="C25" s="7">
        <f>DATE(85,8,22)</f>
        <v>31281</v>
      </c>
      <c r="D25" s="2">
        <v>1530</v>
      </c>
      <c r="F25" s="2" t="s">
        <v>2015</v>
      </c>
      <c r="G25" s="2" t="s">
        <v>2016</v>
      </c>
      <c r="H25" s="17">
        <v>30.4</v>
      </c>
      <c r="I25" s="2" t="s">
        <v>2017</v>
      </c>
      <c r="J25" s="17">
        <v>3.1</v>
      </c>
      <c r="K25" s="2">
        <v>490</v>
      </c>
      <c r="L25" s="2">
        <v>124</v>
      </c>
      <c r="M25" s="2">
        <v>128</v>
      </c>
      <c r="N25" s="2">
        <v>1741</v>
      </c>
      <c r="O25" s="2">
        <v>356</v>
      </c>
      <c r="P25" s="2">
        <v>337</v>
      </c>
      <c r="Q25" s="2">
        <v>390</v>
      </c>
      <c r="R25" s="2">
        <v>223</v>
      </c>
      <c r="S25" s="2">
        <v>783</v>
      </c>
      <c r="T25" s="2">
        <v>149</v>
      </c>
      <c r="U25" s="2">
        <v>153</v>
      </c>
      <c r="W25" s="2" t="s">
        <v>1</v>
      </c>
    </row>
    <row r="26" spans="1:23" x14ac:dyDescent="0.2">
      <c r="A26" s="8" t="s">
        <v>2018</v>
      </c>
      <c r="B26" s="2" t="s">
        <v>380</v>
      </c>
      <c r="C26" s="7">
        <f>DATE(85,8,23)</f>
        <v>31282</v>
      </c>
      <c r="D26" s="2">
        <v>800</v>
      </c>
      <c r="F26" s="2" t="s">
        <v>1996</v>
      </c>
      <c r="G26" s="2" t="s">
        <v>2019</v>
      </c>
      <c r="H26" s="17">
        <v>27</v>
      </c>
      <c r="I26" s="2" t="s">
        <v>2020</v>
      </c>
      <c r="J26" s="17">
        <v>1.1000000000000001</v>
      </c>
      <c r="K26" s="2">
        <v>509</v>
      </c>
      <c r="L26" s="2">
        <v>178</v>
      </c>
      <c r="M26" s="2">
        <v>177</v>
      </c>
      <c r="N26" s="2">
        <v>1723</v>
      </c>
      <c r="O26" s="2">
        <v>362</v>
      </c>
      <c r="P26" s="2">
        <v>338</v>
      </c>
      <c r="Q26" s="2">
        <v>392</v>
      </c>
      <c r="R26" s="2">
        <v>224</v>
      </c>
      <c r="S26" s="2">
        <v>802</v>
      </c>
      <c r="T26" s="2">
        <v>153</v>
      </c>
      <c r="U26" s="2">
        <v>155</v>
      </c>
      <c r="W26" s="2" t="s">
        <v>1</v>
      </c>
    </row>
    <row r="27" spans="1:23" x14ac:dyDescent="0.2">
      <c r="A27" s="8" t="s">
        <v>2021</v>
      </c>
      <c r="B27" s="2" t="s">
        <v>2022</v>
      </c>
      <c r="C27" s="7">
        <f>DATE(85,8,23)</f>
        <v>31282</v>
      </c>
      <c r="D27" s="2">
        <v>1450</v>
      </c>
      <c r="F27" s="2" t="s">
        <v>2023</v>
      </c>
      <c r="G27" s="2" t="s">
        <v>1993</v>
      </c>
      <c r="H27" s="2">
        <v>31.5</v>
      </c>
      <c r="I27" s="2" t="s">
        <v>2024</v>
      </c>
      <c r="J27" s="2">
        <v>6.6</v>
      </c>
      <c r="K27" s="2">
        <v>510</v>
      </c>
      <c r="L27" s="2">
        <v>154</v>
      </c>
      <c r="M27" s="2">
        <v>151</v>
      </c>
      <c r="N27" s="2">
        <v>1711</v>
      </c>
      <c r="O27" s="2">
        <v>349</v>
      </c>
      <c r="P27" s="2">
        <v>339</v>
      </c>
      <c r="Q27" s="2">
        <v>383</v>
      </c>
      <c r="R27" s="2">
        <v>226</v>
      </c>
      <c r="S27" s="2">
        <v>812</v>
      </c>
      <c r="T27" s="2">
        <v>150</v>
      </c>
      <c r="U27" s="2">
        <v>155</v>
      </c>
      <c r="W27" s="2" t="s">
        <v>1</v>
      </c>
    </row>
    <row r="28" spans="1:23" x14ac:dyDescent="0.2">
      <c r="A28" s="2" t="s">
        <v>2025</v>
      </c>
      <c r="W28" s="2" t="s">
        <v>1</v>
      </c>
    </row>
    <row r="29" spans="1:23" x14ac:dyDescent="0.2">
      <c r="W29" s="2" t="s">
        <v>1</v>
      </c>
    </row>
    <row r="30" spans="1:23" x14ac:dyDescent="0.2">
      <c r="J30" s="8" t="s">
        <v>116</v>
      </c>
      <c r="K30" s="8" t="s">
        <v>117</v>
      </c>
      <c r="L30" s="8" t="s">
        <v>118</v>
      </c>
      <c r="M30" s="8" t="s">
        <v>143</v>
      </c>
      <c r="N30" s="8" t="s">
        <v>123</v>
      </c>
      <c r="O30" s="8" t="s">
        <v>134</v>
      </c>
      <c r="P30" s="8" t="s">
        <v>138</v>
      </c>
      <c r="Q30" s="8" t="s">
        <v>136</v>
      </c>
      <c r="R30" s="8" t="s">
        <v>130</v>
      </c>
      <c r="S30" s="8" t="s">
        <v>115</v>
      </c>
      <c r="T30" s="8" t="s">
        <v>121</v>
      </c>
      <c r="U30" s="8" t="s">
        <v>112</v>
      </c>
      <c r="W30" s="2" t="s">
        <v>1</v>
      </c>
    </row>
    <row r="31" spans="1:23" x14ac:dyDescent="0.2">
      <c r="J31" s="8" t="s">
        <v>635</v>
      </c>
      <c r="K31" s="8" t="s">
        <v>266</v>
      </c>
      <c r="L31" s="8" t="s">
        <v>266</v>
      </c>
      <c r="M31" s="8" t="s">
        <v>266</v>
      </c>
      <c r="N31" s="8" t="s">
        <v>266</v>
      </c>
      <c r="O31" s="8" t="s">
        <v>371</v>
      </c>
      <c r="P31" s="8" t="s">
        <v>266</v>
      </c>
      <c r="Q31" s="8" t="s">
        <v>144</v>
      </c>
      <c r="R31" s="8" t="s">
        <v>144</v>
      </c>
      <c r="S31" s="8" t="s">
        <v>144</v>
      </c>
      <c r="T31" s="8" t="s">
        <v>144</v>
      </c>
      <c r="U31" s="8" t="s">
        <v>144</v>
      </c>
      <c r="W31" s="2" t="s">
        <v>1</v>
      </c>
    </row>
    <row r="32" spans="1:23" x14ac:dyDescent="0.2">
      <c r="W32" s="2" t="s">
        <v>1</v>
      </c>
    </row>
    <row r="33" spans="2:23" x14ac:dyDescent="0.2">
      <c r="B33" s="2" t="s">
        <v>363</v>
      </c>
      <c r="C33" s="7">
        <f>AVERAGE(C10:C26)</f>
        <v>31273.117647058825</v>
      </c>
      <c r="D33" s="4">
        <f>AVERAGE(D10:D26)</f>
        <v>1161.1764705882354</v>
      </c>
      <c r="J33" s="4">
        <f t="shared" ref="J33:U33" si="0">AVERAGE(J10:J26)</f>
        <v>4.74705882352941</v>
      </c>
      <c r="K33" s="4">
        <f t="shared" si="0"/>
        <v>478</v>
      </c>
      <c r="L33" s="4">
        <f t="shared" si="0"/>
        <v>156.875</v>
      </c>
      <c r="M33" s="4">
        <f t="shared" si="0"/>
        <v>157.35294117647058</v>
      </c>
      <c r="N33" s="4">
        <f t="shared" si="0"/>
        <v>1934.9411764705883</v>
      </c>
      <c r="O33" s="4">
        <f t="shared" si="0"/>
        <v>364.52941176470586</v>
      </c>
      <c r="P33" s="4">
        <f t="shared" si="0"/>
        <v>338.35294117647061</v>
      </c>
      <c r="Q33" s="4">
        <f t="shared" si="0"/>
        <v>386.88235294117646</v>
      </c>
      <c r="R33" s="4">
        <f t="shared" si="0"/>
        <v>224.625</v>
      </c>
      <c r="S33" s="4">
        <f t="shared" si="0"/>
        <v>772.29411764705878</v>
      </c>
      <c r="T33" s="4">
        <f t="shared" si="0"/>
        <v>149.8125</v>
      </c>
      <c r="U33" s="4">
        <f t="shared" si="0"/>
        <v>153.8125</v>
      </c>
      <c r="W33" s="2" t="s">
        <v>1</v>
      </c>
    </row>
    <row r="34" spans="2:23" x14ac:dyDescent="0.2">
      <c r="B34" s="2" t="s">
        <v>364</v>
      </c>
      <c r="C34" s="4"/>
      <c r="D34" s="4">
        <f>STDEV(D10:D26)</f>
        <v>415.43474747758501</v>
      </c>
      <c r="J34" s="4">
        <f t="shared" ref="J34:U34" si="1">STDEV(J10:J26)</f>
        <v>3.9739963586827241</v>
      </c>
      <c r="K34" s="4">
        <f t="shared" si="1"/>
        <v>28.761084819596078</v>
      </c>
      <c r="L34" s="4">
        <f t="shared" si="1"/>
        <v>41.896499456000697</v>
      </c>
      <c r="M34" s="4">
        <f t="shared" si="1"/>
        <v>38.338852970046261</v>
      </c>
      <c r="N34" s="4">
        <f t="shared" si="1"/>
        <v>220.08932010329269</v>
      </c>
      <c r="O34" s="4">
        <f t="shared" si="1"/>
        <v>18.547633430773672</v>
      </c>
      <c r="P34" s="4">
        <f t="shared" si="1"/>
        <v>1.3200935795706039</v>
      </c>
      <c r="Q34" s="4">
        <f t="shared" si="1"/>
        <v>3.6892132111938252</v>
      </c>
      <c r="R34" s="4">
        <f t="shared" si="1"/>
        <v>3.1596413298558641</v>
      </c>
      <c r="S34" s="4">
        <f t="shared" si="1"/>
        <v>57.132263986606503</v>
      </c>
      <c r="T34" s="4">
        <f t="shared" si="1"/>
        <v>2.4281337140555777</v>
      </c>
      <c r="U34" s="4">
        <f t="shared" si="1"/>
        <v>1.6820126832656961</v>
      </c>
      <c r="W34" s="2" t="s">
        <v>1</v>
      </c>
    </row>
    <row r="35" spans="2:23" x14ac:dyDescent="0.2">
      <c r="B35" s="2" t="s">
        <v>365</v>
      </c>
      <c r="D35" s="2">
        <f>COUNTA(D10:D26)</f>
        <v>17</v>
      </c>
      <c r="J35" s="2">
        <f t="shared" ref="J35:U35" si="2">COUNTA(J10:J26)</f>
        <v>17</v>
      </c>
      <c r="K35" s="2">
        <f t="shared" si="2"/>
        <v>16</v>
      </c>
      <c r="L35" s="2">
        <f t="shared" si="2"/>
        <v>16</v>
      </c>
      <c r="M35" s="2">
        <f t="shared" si="2"/>
        <v>17</v>
      </c>
      <c r="N35" s="2">
        <f t="shared" si="2"/>
        <v>17</v>
      </c>
      <c r="O35" s="2">
        <f t="shared" si="2"/>
        <v>17</v>
      </c>
      <c r="P35" s="2">
        <f t="shared" si="2"/>
        <v>17</v>
      </c>
      <c r="Q35" s="2">
        <f t="shared" si="2"/>
        <v>17</v>
      </c>
      <c r="R35" s="2">
        <f t="shared" si="2"/>
        <v>16</v>
      </c>
      <c r="S35" s="2">
        <f t="shared" si="2"/>
        <v>17</v>
      </c>
      <c r="T35" s="2">
        <f t="shared" si="2"/>
        <v>16</v>
      </c>
      <c r="U35" s="2">
        <f t="shared" si="2"/>
        <v>16</v>
      </c>
      <c r="W35" s="2" t="s">
        <v>1</v>
      </c>
    </row>
    <row r="36" spans="2:23" x14ac:dyDescent="0.2">
      <c r="W36" s="2" t="s">
        <v>1</v>
      </c>
    </row>
    <row r="37" spans="2:23" x14ac:dyDescent="0.2">
      <c r="W37" s="2" t="s">
        <v>1</v>
      </c>
    </row>
    <row r="38" spans="2:23" x14ac:dyDescent="0.2">
      <c r="W38" s="2" t="s">
        <v>1</v>
      </c>
    </row>
    <row r="39" spans="2:23" x14ac:dyDescent="0.2">
      <c r="W39" s="2" t="s">
        <v>1</v>
      </c>
    </row>
    <row r="40" spans="2:23" x14ac:dyDescent="0.2">
      <c r="W40" s="2" t="s">
        <v>1</v>
      </c>
    </row>
    <row r="41" spans="2:23" x14ac:dyDescent="0.2">
      <c r="W41" s="2" t="s">
        <v>1</v>
      </c>
    </row>
    <row r="42" spans="2:23" x14ac:dyDescent="0.2">
      <c r="W42" s="2" t="s">
        <v>1</v>
      </c>
    </row>
    <row r="43" spans="2:23" x14ac:dyDescent="0.2">
      <c r="W43" s="2" t="s">
        <v>1</v>
      </c>
    </row>
    <row r="44" spans="2:23" x14ac:dyDescent="0.2">
      <c r="W44" s="2" t="s">
        <v>1</v>
      </c>
    </row>
    <row r="45" spans="2:23" x14ac:dyDescent="0.2">
      <c r="W45" s="2" t="s">
        <v>1</v>
      </c>
    </row>
    <row r="46" spans="2:23" x14ac:dyDescent="0.2">
      <c r="W46" s="2" t="s">
        <v>1</v>
      </c>
    </row>
    <row r="47" spans="2:23" x14ac:dyDescent="0.2">
      <c r="W47" s="2" t="s">
        <v>1</v>
      </c>
    </row>
    <row r="48" spans="2:23" x14ac:dyDescent="0.2">
      <c r="W48" s="2" t="s">
        <v>1</v>
      </c>
    </row>
  </sheetData>
  <pageMargins left="0.5" right="0.5" top="0.75" bottom="0.75" header="0.5" footer="0.5"/>
  <pageSetup orientation="portrait" horizontalDpi="0" verticalDpi="0" copies="0"/>
  <headerFooter alignWithMargins="0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6"/>
  <sheetViews>
    <sheetView showOutlineSymbols="0" defaultGridColor="0" colorId="9" workbookViewId="0">
      <selection activeCell="C24" sqref="C24"/>
    </sheetView>
  </sheetViews>
  <sheetFormatPr defaultColWidth="8.6640625" defaultRowHeight="15" x14ac:dyDescent="0.2"/>
  <cols>
    <col min="1" max="16384" width="8.6640625" style="2"/>
  </cols>
  <sheetData>
    <row r="1" spans="1:23" ht="18" x14ac:dyDescent="0.25">
      <c r="A1" s="18" t="s">
        <v>2026</v>
      </c>
      <c r="W1" s="2" t="s">
        <v>1</v>
      </c>
    </row>
    <row r="2" spans="1:23" x14ac:dyDescent="0.2">
      <c r="A2" s="2" t="s">
        <v>2027</v>
      </c>
      <c r="W2" s="2" t="s">
        <v>1</v>
      </c>
    </row>
    <row r="3" spans="1:23" x14ac:dyDescent="0.2">
      <c r="W3" s="2" t="s">
        <v>1</v>
      </c>
    </row>
    <row r="4" spans="1:23" x14ac:dyDescent="0.2">
      <c r="A4" s="15" t="s">
        <v>253</v>
      </c>
      <c r="B4" s="8" t="s">
        <v>286</v>
      </c>
      <c r="C4" s="2" t="s">
        <v>200</v>
      </c>
      <c r="D4" s="2" t="s">
        <v>201</v>
      </c>
      <c r="E4" s="2" t="s">
        <v>2028</v>
      </c>
      <c r="G4" s="8" t="s">
        <v>123</v>
      </c>
      <c r="H4" s="8" t="s">
        <v>118</v>
      </c>
      <c r="I4" s="8" t="s">
        <v>134</v>
      </c>
      <c r="J4" s="8" t="s">
        <v>138</v>
      </c>
      <c r="K4" s="8" t="s">
        <v>136</v>
      </c>
      <c r="L4" s="8" t="s">
        <v>130</v>
      </c>
      <c r="M4" s="8" t="s">
        <v>121</v>
      </c>
      <c r="N4" s="8" t="s">
        <v>112</v>
      </c>
      <c r="O4" s="8" t="s">
        <v>148</v>
      </c>
      <c r="P4" s="8" t="s">
        <v>133</v>
      </c>
      <c r="Q4" s="8" t="s">
        <v>125</v>
      </c>
      <c r="R4" s="8" t="s">
        <v>128</v>
      </c>
      <c r="S4" s="8" t="s">
        <v>119</v>
      </c>
      <c r="T4" s="8" t="s">
        <v>142</v>
      </c>
      <c r="U4" s="8" t="s">
        <v>140</v>
      </c>
      <c r="W4" s="2" t="s">
        <v>1</v>
      </c>
    </row>
    <row r="5" spans="1:23" x14ac:dyDescent="0.2">
      <c r="E5" s="2" t="s">
        <v>2029</v>
      </c>
      <c r="F5" s="2" t="s">
        <v>2030</v>
      </c>
      <c r="G5" s="8" t="s">
        <v>266</v>
      </c>
      <c r="H5" s="8" t="s">
        <v>266</v>
      </c>
      <c r="I5" s="8" t="s">
        <v>371</v>
      </c>
      <c r="J5" s="8" t="s">
        <v>266</v>
      </c>
      <c r="K5" s="8" t="s">
        <v>144</v>
      </c>
      <c r="L5" s="8" t="s">
        <v>144</v>
      </c>
      <c r="M5" s="8" t="s">
        <v>144</v>
      </c>
      <c r="N5" s="8" t="s">
        <v>144</v>
      </c>
      <c r="O5" s="8" t="s">
        <v>144</v>
      </c>
      <c r="P5" s="8" t="s">
        <v>144</v>
      </c>
      <c r="Q5" s="8" t="s">
        <v>144</v>
      </c>
      <c r="R5" s="8" t="s">
        <v>144</v>
      </c>
      <c r="S5" s="8" t="s">
        <v>144</v>
      </c>
      <c r="T5" s="8" t="s">
        <v>144</v>
      </c>
      <c r="U5" s="8" t="s">
        <v>144</v>
      </c>
      <c r="W5" s="2" t="s">
        <v>1</v>
      </c>
    </row>
    <row r="6" spans="1:23" x14ac:dyDescent="0.2">
      <c r="W6" s="2" t="s">
        <v>1</v>
      </c>
    </row>
    <row r="7" spans="1:23" x14ac:dyDescent="0.2">
      <c r="W7" s="2" t="s">
        <v>1</v>
      </c>
    </row>
    <row r="8" spans="1:23" x14ac:dyDescent="0.2">
      <c r="W8" s="2" t="s">
        <v>1</v>
      </c>
    </row>
    <row r="9" spans="1:23" x14ac:dyDescent="0.2">
      <c r="A9" s="19">
        <f>DATE(83,1,30)</f>
        <v>30346</v>
      </c>
      <c r="B9" s="2">
        <v>1650</v>
      </c>
      <c r="C9" s="12">
        <v>13.57</v>
      </c>
      <c r="D9" s="12">
        <v>17.22</v>
      </c>
      <c r="E9" s="17">
        <v>23.8</v>
      </c>
      <c r="F9" s="17"/>
      <c r="G9" s="4">
        <v>1654</v>
      </c>
      <c r="H9" s="4">
        <v>127</v>
      </c>
      <c r="I9" s="4">
        <v>350.5</v>
      </c>
      <c r="J9" s="4">
        <v>335</v>
      </c>
      <c r="K9" s="4">
        <v>356.5</v>
      </c>
      <c r="L9" s="4">
        <v>209.5</v>
      </c>
      <c r="M9" s="4">
        <v>159</v>
      </c>
      <c r="N9" s="4">
        <v>149</v>
      </c>
      <c r="O9" s="4">
        <v>76.5</v>
      </c>
      <c r="P9" s="4">
        <v>22.8</v>
      </c>
      <c r="Q9" s="4">
        <v>1.4</v>
      </c>
      <c r="R9" s="4">
        <v>27.1</v>
      </c>
      <c r="S9" s="4">
        <v>25.15</v>
      </c>
      <c r="T9" s="4">
        <v>107.15</v>
      </c>
      <c r="U9" s="4">
        <v>12.5</v>
      </c>
      <c r="W9" s="2" t="s">
        <v>1</v>
      </c>
    </row>
    <row r="10" spans="1:23" x14ac:dyDescent="0.2">
      <c r="A10" s="19">
        <f>DATE(83,1,31)</f>
        <v>30347</v>
      </c>
      <c r="B10" s="2">
        <v>745</v>
      </c>
      <c r="C10" s="12">
        <v>11.26</v>
      </c>
      <c r="D10" s="12">
        <v>17.260000000000002</v>
      </c>
      <c r="E10" s="17">
        <v>20.8</v>
      </c>
      <c r="F10" s="17">
        <v>26.6</v>
      </c>
      <c r="G10" s="4">
        <v>1662</v>
      </c>
      <c r="H10" s="4">
        <v>242.5</v>
      </c>
      <c r="I10" s="4">
        <v>353</v>
      </c>
      <c r="J10" s="4">
        <v>336</v>
      </c>
      <c r="K10" s="4">
        <v>358</v>
      </c>
      <c r="L10" s="4">
        <v>208.5</v>
      </c>
      <c r="M10" s="4">
        <v>158.5</v>
      </c>
      <c r="N10" s="4">
        <v>145.5</v>
      </c>
      <c r="O10" s="4">
        <v>75</v>
      </c>
      <c r="P10" s="4">
        <v>23.3</v>
      </c>
      <c r="Q10" s="4">
        <v>2</v>
      </c>
      <c r="R10" s="4">
        <v>25.15</v>
      </c>
      <c r="S10" s="4">
        <v>28.8</v>
      </c>
      <c r="T10" s="4">
        <v>77.25</v>
      </c>
      <c r="U10" s="4">
        <v>12.35</v>
      </c>
      <c r="W10" s="2" t="s">
        <v>1</v>
      </c>
    </row>
    <row r="11" spans="1:23" x14ac:dyDescent="0.2">
      <c r="A11" s="19">
        <f>DATE(83,2,4)</f>
        <v>30351</v>
      </c>
      <c r="B11" s="2">
        <v>1230</v>
      </c>
      <c r="C11" s="12">
        <v>9.31</v>
      </c>
      <c r="D11" s="12">
        <v>25.55</v>
      </c>
      <c r="E11" s="17">
        <v>20.7</v>
      </c>
      <c r="F11" s="17">
        <v>25.6</v>
      </c>
      <c r="G11" s="4">
        <v>1633</v>
      </c>
      <c r="H11" s="4">
        <v>102</v>
      </c>
      <c r="I11" s="4">
        <v>348</v>
      </c>
      <c r="J11" s="4">
        <v>336</v>
      </c>
      <c r="K11" s="4">
        <v>355</v>
      </c>
      <c r="L11" s="4">
        <v>208</v>
      </c>
      <c r="M11" s="4">
        <v>153</v>
      </c>
      <c r="N11" s="4">
        <v>150</v>
      </c>
      <c r="O11" s="4">
        <v>74</v>
      </c>
      <c r="P11" s="4">
        <v>22.6</v>
      </c>
      <c r="Q11" s="4">
        <v>2.1</v>
      </c>
      <c r="R11" s="4">
        <v>25.6</v>
      </c>
      <c r="S11" s="4">
        <v>26.4</v>
      </c>
      <c r="T11" s="4">
        <v>50.7</v>
      </c>
      <c r="U11" s="4">
        <v>18.399999999999999</v>
      </c>
      <c r="W11" s="2" t="s">
        <v>1</v>
      </c>
    </row>
    <row r="12" spans="1:23" x14ac:dyDescent="0.2">
      <c r="A12" s="19">
        <f>DATE(83,2,6)</f>
        <v>30353</v>
      </c>
      <c r="B12" s="2">
        <v>945</v>
      </c>
      <c r="C12" s="12">
        <v>8.01</v>
      </c>
      <c r="D12" s="12">
        <v>27.58</v>
      </c>
      <c r="E12" s="17"/>
      <c r="F12" s="17">
        <v>26.2</v>
      </c>
      <c r="G12" s="4">
        <v>1635.5</v>
      </c>
      <c r="H12" s="4">
        <v>106.5</v>
      </c>
      <c r="I12" s="4">
        <v>346.5</v>
      </c>
      <c r="J12" s="4">
        <v>336</v>
      </c>
      <c r="K12" s="4">
        <v>350.5</v>
      </c>
      <c r="L12" s="4">
        <v>208.5</v>
      </c>
      <c r="M12" s="4">
        <v>153</v>
      </c>
      <c r="N12" s="4">
        <v>149</v>
      </c>
      <c r="O12" s="4">
        <v>70.5</v>
      </c>
      <c r="P12" s="4">
        <v>22.05</v>
      </c>
      <c r="Q12" s="4">
        <v>3.1</v>
      </c>
      <c r="R12" s="4">
        <v>27.8</v>
      </c>
      <c r="S12" s="4">
        <v>25.2</v>
      </c>
      <c r="T12" s="4">
        <v>56.15</v>
      </c>
      <c r="U12" s="4">
        <v>4.5999999999999996</v>
      </c>
      <c r="W12" s="2" t="s">
        <v>1</v>
      </c>
    </row>
    <row r="13" spans="1:23" x14ac:dyDescent="0.2">
      <c r="A13" s="19">
        <f>DATE(83,2,7)</f>
        <v>30354</v>
      </c>
      <c r="B13" s="2">
        <v>1130</v>
      </c>
      <c r="C13" s="12">
        <v>4.0999999999999996</v>
      </c>
      <c r="D13" s="12">
        <v>28.01</v>
      </c>
      <c r="E13" s="17">
        <v>21</v>
      </c>
      <c r="F13" s="17">
        <v>27.3</v>
      </c>
      <c r="G13" s="4">
        <v>1638</v>
      </c>
      <c r="H13" s="4">
        <v>214.5</v>
      </c>
      <c r="I13" s="4">
        <v>346.5</v>
      </c>
      <c r="J13" s="4">
        <v>336</v>
      </c>
      <c r="K13" s="4">
        <v>353.5</v>
      </c>
      <c r="L13" s="4">
        <v>209.5</v>
      </c>
      <c r="M13" s="4">
        <v>154.5</v>
      </c>
      <c r="N13" s="4">
        <v>147</v>
      </c>
      <c r="O13" s="4">
        <v>71</v>
      </c>
      <c r="P13" s="4">
        <v>23.15</v>
      </c>
      <c r="Q13" s="4">
        <v>2.9</v>
      </c>
      <c r="R13" s="4">
        <v>20.3</v>
      </c>
      <c r="S13" s="4">
        <v>27.35</v>
      </c>
      <c r="T13" s="4">
        <v>51.7</v>
      </c>
      <c r="U13" s="4">
        <v>4.3499999999999996</v>
      </c>
    </row>
    <row r="14" spans="1:23" x14ac:dyDescent="0.2">
      <c r="A14" s="19">
        <f>DATE(83,2,7)</f>
        <v>30354</v>
      </c>
      <c r="B14" s="8" t="s">
        <v>2031</v>
      </c>
      <c r="C14" s="12">
        <v>6.13</v>
      </c>
      <c r="D14" s="12">
        <v>27.54</v>
      </c>
      <c r="E14" s="17">
        <v>21.2</v>
      </c>
      <c r="F14" s="17">
        <v>26.7</v>
      </c>
      <c r="G14" s="4">
        <v>1641</v>
      </c>
      <c r="H14" s="4">
        <v>156</v>
      </c>
      <c r="I14" s="4">
        <v>349</v>
      </c>
      <c r="J14" s="4">
        <v>335.5</v>
      </c>
      <c r="K14" s="4">
        <v>358</v>
      </c>
      <c r="L14" s="4">
        <v>209</v>
      </c>
      <c r="M14" s="4">
        <v>156</v>
      </c>
      <c r="N14" s="4">
        <v>147</v>
      </c>
      <c r="O14" s="4">
        <v>73.5</v>
      </c>
      <c r="P14" s="4">
        <v>23.5</v>
      </c>
      <c r="Q14" s="4">
        <v>4.8</v>
      </c>
      <c r="R14" s="4">
        <v>33.1</v>
      </c>
      <c r="S14" s="4">
        <v>25.4</v>
      </c>
      <c r="T14" s="4">
        <v>52.55</v>
      </c>
      <c r="U14" s="4">
        <v>11.4</v>
      </c>
    </row>
    <row r="15" spans="1:23" x14ac:dyDescent="0.2">
      <c r="A15" s="19">
        <f>DATE(83,2,9)</f>
        <v>30356</v>
      </c>
      <c r="B15" s="8" t="s">
        <v>2032</v>
      </c>
      <c r="C15" s="12">
        <v>1.59</v>
      </c>
      <c r="D15" s="12">
        <v>28</v>
      </c>
      <c r="E15" s="17">
        <v>26.1</v>
      </c>
      <c r="F15" s="17"/>
      <c r="G15" s="4">
        <v>1609</v>
      </c>
      <c r="H15" s="4">
        <v>157</v>
      </c>
      <c r="I15" s="4">
        <v>350</v>
      </c>
      <c r="J15" s="4">
        <v>335</v>
      </c>
      <c r="K15" s="4">
        <v>345.5</v>
      </c>
      <c r="L15" s="4">
        <v>203</v>
      </c>
      <c r="M15" s="4">
        <v>140</v>
      </c>
      <c r="N15" s="4">
        <v>148</v>
      </c>
      <c r="O15" s="4">
        <v>67.5</v>
      </c>
      <c r="P15" s="4">
        <v>20.9</v>
      </c>
      <c r="Q15" s="4">
        <v>1.95</v>
      </c>
      <c r="R15" s="4">
        <v>17.2</v>
      </c>
      <c r="S15" s="4">
        <v>18.649999999999999</v>
      </c>
      <c r="T15" s="4">
        <v>35.65</v>
      </c>
      <c r="U15" s="4">
        <v>2.8</v>
      </c>
    </row>
    <row r="16" spans="1:23" x14ac:dyDescent="0.2">
      <c r="A16" s="19">
        <f>DATE(83,2,10)</f>
        <v>30357</v>
      </c>
      <c r="B16" s="2">
        <v>1135</v>
      </c>
      <c r="C16" s="12">
        <v>0.27</v>
      </c>
      <c r="D16" s="12">
        <v>27.59</v>
      </c>
      <c r="E16" s="17">
        <v>23.5</v>
      </c>
      <c r="F16" s="17">
        <v>27.9</v>
      </c>
      <c r="G16" s="4">
        <v>1574</v>
      </c>
      <c r="H16" s="4">
        <v>121.5</v>
      </c>
      <c r="I16" s="4">
        <v>348</v>
      </c>
      <c r="J16" s="4">
        <v>337</v>
      </c>
      <c r="K16" s="4">
        <v>349.5</v>
      </c>
      <c r="L16" s="4">
        <v>201.5</v>
      </c>
      <c r="M16" s="4">
        <v>134</v>
      </c>
      <c r="N16" s="4">
        <v>146</v>
      </c>
      <c r="O16" s="4">
        <v>72</v>
      </c>
      <c r="P16" s="4">
        <v>22.7</v>
      </c>
      <c r="Q16" s="4">
        <v>2.5499999999999998</v>
      </c>
      <c r="R16" s="4">
        <v>14.9</v>
      </c>
      <c r="S16" s="4">
        <v>17</v>
      </c>
      <c r="T16" s="4">
        <v>33.65</v>
      </c>
      <c r="U16" s="4">
        <v>2.4500000000000002</v>
      </c>
    </row>
    <row r="17" spans="1:21" x14ac:dyDescent="0.2">
      <c r="A17" s="19">
        <f>DATE(83,2,12)</f>
        <v>30359</v>
      </c>
      <c r="B17" s="2">
        <v>145</v>
      </c>
      <c r="C17" s="12">
        <v>-3.55</v>
      </c>
      <c r="D17" s="12">
        <v>27.59</v>
      </c>
      <c r="E17" s="17">
        <v>20.6</v>
      </c>
      <c r="F17" s="17">
        <v>27.6</v>
      </c>
      <c r="G17" s="4">
        <v>1572.5</v>
      </c>
      <c r="H17" s="4">
        <v>88</v>
      </c>
      <c r="I17" s="4">
        <v>348</v>
      </c>
      <c r="J17" s="4">
        <v>336</v>
      </c>
      <c r="K17" s="4">
        <v>345</v>
      </c>
      <c r="L17" s="4">
        <v>198.5</v>
      </c>
      <c r="M17" s="4">
        <v>129</v>
      </c>
      <c r="N17" s="4">
        <v>147</v>
      </c>
      <c r="O17" s="4">
        <v>69.5</v>
      </c>
      <c r="P17" s="4">
        <v>21.75</v>
      </c>
      <c r="Q17" s="4">
        <v>2</v>
      </c>
      <c r="R17" s="4">
        <v>23</v>
      </c>
      <c r="S17" s="4">
        <v>18.2</v>
      </c>
      <c r="T17" s="4">
        <v>28.95</v>
      </c>
      <c r="U17" s="4">
        <v>4.0999999999999996</v>
      </c>
    </row>
    <row r="18" spans="1:21" x14ac:dyDescent="0.2">
      <c r="A18" s="19">
        <f>DATE(83,2,14)</f>
        <v>30361</v>
      </c>
      <c r="B18" s="2">
        <v>1445</v>
      </c>
      <c r="C18" s="12">
        <v>-7.55</v>
      </c>
      <c r="D18" s="12">
        <v>27.6</v>
      </c>
      <c r="E18" s="17">
        <v>23</v>
      </c>
      <c r="F18" s="17">
        <v>27.6</v>
      </c>
      <c r="G18" s="4">
        <v>1563.5</v>
      </c>
      <c r="H18" s="4">
        <v>55</v>
      </c>
      <c r="I18" s="4">
        <v>291</v>
      </c>
      <c r="J18" s="4">
        <v>337</v>
      </c>
      <c r="K18" s="4">
        <v>342</v>
      </c>
      <c r="L18" s="4">
        <v>200</v>
      </c>
      <c r="M18" s="4">
        <v>125</v>
      </c>
      <c r="N18" s="4">
        <v>144</v>
      </c>
      <c r="O18" s="4">
        <v>66</v>
      </c>
      <c r="P18" s="4">
        <v>19.8</v>
      </c>
      <c r="Q18" s="4">
        <v>4.5999999999999996</v>
      </c>
      <c r="R18" s="4">
        <v>8.3000000000000007</v>
      </c>
      <c r="S18" s="4">
        <v>13.9</v>
      </c>
      <c r="T18" s="4">
        <v>25</v>
      </c>
      <c r="U18" s="4">
        <v>2</v>
      </c>
    </row>
    <row r="19" spans="1:21" x14ac:dyDescent="0.2">
      <c r="A19" s="19">
        <f>DATE(83,2,18)</f>
        <v>30365</v>
      </c>
      <c r="B19" s="2">
        <v>345</v>
      </c>
      <c r="C19" s="12">
        <v>-8.36</v>
      </c>
      <c r="D19" s="12">
        <v>34.229999999999997</v>
      </c>
      <c r="E19" s="17">
        <v>22.9</v>
      </c>
      <c r="F19" s="17">
        <v>27.9</v>
      </c>
      <c r="G19" s="4">
        <v>1562</v>
      </c>
      <c r="H19" s="4">
        <v>58</v>
      </c>
      <c r="I19" s="4">
        <v>250</v>
      </c>
      <c r="J19" s="4">
        <v>362</v>
      </c>
      <c r="K19" s="4">
        <v>340</v>
      </c>
      <c r="L19" s="4">
        <v>198.5</v>
      </c>
      <c r="M19" s="4">
        <v>125.5</v>
      </c>
      <c r="N19" s="4">
        <v>146.5</v>
      </c>
      <c r="O19" s="4">
        <v>66.5</v>
      </c>
      <c r="P19" s="4">
        <v>19.8</v>
      </c>
      <c r="Q19" s="4">
        <v>4.55</v>
      </c>
      <c r="R19" s="4">
        <v>15.5</v>
      </c>
      <c r="S19" s="4">
        <v>16.55</v>
      </c>
      <c r="T19" s="4">
        <v>29.25</v>
      </c>
      <c r="U19" s="4">
        <v>2.85</v>
      </c>
    </row>
    <row r="20" spans="1:21" x14ac:dyDescent="0.2">
      <c r="A20" s="19"/>
    </row>
    <row r="21" spans="1:21" x14ac:dyDescent="0.2">
      <c r="G21" s="8" t="s">
        <v>123</v>
      </c>
      <c r="H21" s="8" t="s">
        <v>118</v>
      </c>
      <c r="I21" s="8" t="s">
        <v>134</v>
      </c>
      <c r="J21" s="8" t="s">
        <v>138</v>
      </c>
      <c r="K21" s="8" t="s">
        <v>136</v>
      </c>
      <c r="L21" s="8" t="s">
        <v>130</v>
      </c>
      <c r="M21" s="8" t="s">
        <v>121</v>
      </c>
      <c r="N21" s="8" t="s">
        <v>112</v>
      </c>
      <c r="O21" s="8" t="s">
        <v>148</v>
      </c>
      <c r="P21" s="8" t="s">
        <v>133</v>
      </c>
      <c r="Q21" s="8" t="s">
        <v>125</v>
      </c>
      <c r="R21" s="8" t="s">
        <v>128</v>
      </c>
      <c r="S21" s="8" t="s">
        <v>119</v>
      </c>
      <c r="T21" s="8" t="s">
        <v>142</v>
      </c>
      <c r="U21" s="8" t="s">
        <v>140</v>
      </c>
    </row>
    <row r="22" spans="1:21" x14ac:dyDescent="0.2">
      <c r="G22" s="8" t="s">
        <v>266</v>
      </c>
      <c r="H22" s="8" t="s">
        <v>266</v>
      </c>
      <c r="I22" s="8" t="s">
        <v>371</v>
      </c>
      <c r="J22" s="8" t="s">
        <v>266</v>
      </c>
      <c r="K22" s="8" t="s">
        <v>144</v>
      </c>
      <c r="L22" s="8" t="s">
        <v>144</v>
      </c>
      <c r="M22" s="8" t="s">
        <v>144</v>
      </c>
      <c r="N22" s="8" t="s">
        <v>144</v>
      </c>
      <c r="O22" s="8" t="s">
        <v>144</v>
      </c>
      <c r="P22" s="8" t="s">
        <v>144</v>
      </c>
      <c r="Q22" s="8" t="s">
        <v>144</v>
      </c>
      <c r="R22" s="8" t="s">
        <v>144</v>
      </c>
      <c r="S22" s="8" t="s">
        <v>144</v>
      </c>
      <c r="T22" s="8" t="s">
        <v>144</v>
      </c>
      <c r="U22" s="8" t="s">
        <v>144</v>
      </c>
    </row>
    <row r="24" spans="1:21" x14ac:dyDescent="0.2">
      <c r="A24" s="7">
        <f t="shared" ref="A24:U24" si="0">AVERAGE(A9:A19)</f>
        <v>30354.81818181818</v>
      </c>
      <c r="B24" s="4">
        <f t="shared" si="0"/>
        <v>974.44444444444446</v>
      </c>
      <c r="C24" s="4">
        <f t="shared" si="0"/>
        <v>3.1618181818181834</v>
      </c>
      <c r="D24" s="4">
        <f t="shared" si="0"/>
        <v>26.197272727272729</v>
      </c>
      <c r="E24" s="4">
        <f t="shared" si="0"/>
        <v>22.36</v>
      </c>
      <c r="F24" s="4">
        <f t="shared" si="0"/>
        <v>27.044444444444444</v>
      </c>
      <c r="G24" s="4">
        <f t="shared" si="0"/>
        <v>1613.1363636363637</v>
      </c>
      <c r="H24" s="4">
        <f t="shared" si="0"/>
        <v>129.81818181818181</v>
      </c>
      <c r="I24" s="4">
        <f t="shared" si="0"/>
        <v>334.59090909090907</v>
      </c>
      <c r="J24" s="4">
        <f t="shared" si="0"/>
        <v>338.31818181818181</v>
      </c>
      <c r="K24" s="4">
        <f t="shared" si="0"/>
        <v>350.31818181818181</v>
      </c>
      <c r="L24" s="4">
        <f t="shared" si="0"/>
        <v>204.95454545454547</v>
      </c>
      <c r="M24" s="4">
        <f t="shared" si="0"/>
        <v>144.31818181818181</v>
      </c>
      <c r="N24" s="4">
        <f t="shared" si="0"/>
        <v>147.18181818181819</v>
      </c>
      <c r="O24" s="4">
        <f t="shared" si="0"/>
        <v>71.090909090909093</v>
      </c>
      <c r="P24" s="4">
        <f t="shared" si="0"/>
        <v>22.031818181818185</v>
      </c>
      <c r="Q24" s="4">
        <f t="shared" si="0"/>
        <v>2.9045454545454543</v>
      </c>
      <c r="R24" s="4">
        <f t="shared" si="0"/>
        <v>21.631818181818179</v>
      </c>
      <c r="S24" s="4">
        <f t="shared" si="0"/>
        <v>22.054545454545458</v>
      </c>
      <c r="T24" s="4">
        <f t="shared" si="0"/>
        <v>49.81818181818182</v>
      </c>
      <c r="U24" s="4">
        <f t="shared" si="0"/>
        <v>7.0727272727272723</v>
      </c>
    </row>
    <row r="25" spans="1:21" x14ac:dyDescent="0.2">
      <c r="B25" s="4">
        <f t="shared" ref="B25:U25" si="1">STDEV(B9:B19)</f>
        <v>491.270320473136</v>
      </c>
      <c r="C25" s="4">
        <f t="shared" si="1"/>
        <v>7.4046145317387282</v>
      </c>
      <c r="D25" s="4">
        <f t="shared" si="1"/>
        <v>4.9143424604093031</v>
      </c>
      <c r="E25" s="4">
        <f t="shared" si="1"/>
        <v>1.8118130882258985</v>
      </c>
      <c r="F25" s="4">
        <f t="shared" si="1"/>
        <v>0.81103500403976225</v>
      </c>
      <c r="G25" s="4">
        <f t="shared" si="1"/>
        <v>38.243359494878916</v>
      </c>
      <c r="H25" s="4">
        <f t="shared" si="1"/>
        <v>59.322539024924033</v>
      </c>
      <c r="I25" s="4">
        <f t="shared" si="1"/>
        <v>33.039232876852772</v>
      </c>
      <c r="J25" s="4">
        <f t="shared" si="1"/>
        <v>7.88122048693198</v>
      </c>
      <c r="K25" s="4">
        <f t="shared" si="1"/>
        <v>6.4508632262385133</v>
      </c>
      <c r="L25" s="4">
        <f t="shared" si="1"/>
        <v>4.6446450104100823</v>
      </c>
      <c r="M25" s="4">
        <f t="shared" si="1"/>
        <v>13.764579047818222</v>
      </c>
      <c r="N25" s="4">
        <f t="shared" si="1"/>
        <v>1.7359828235430108</v>
      </c>
      <c r="O25" s="4">
        <f t="shared" si="1"/>
        <v>3.4987010576654147</v>
      </c>
      <c r="P25" s="4">
        <f t="shared" si="1"/>
        <v>1.3302767996309504</v>
      </c>
      <c r="Q25" s="4">
        <f t="shared" si="1"/>
        <v>1.21644041067669</v>
      </c>
      <c r="R25" s="4">
        <f t="shared" si="1"/>
        <v>7.1521420821762574</v>
      </c>
      <c r="S25" s="4">
        <f t="shared" si="1"/>
        <v>5.2142810887721893</v>
      </c>
      <c r="T25" s="4">
        <f t="shared" si="1"/>
        <v>24.551856067589608</v>
      </c>
      <c r="U25" s="4">
        <f t="shared" si="1"/>
        <v>5.5667927766517256</v>
      </c>
    </row>
    <row r="26" spans="1:21" x14ac:dyDescent="0.2">
      <c r="B26" s="2">
        <f t="shared" ref="B26:U26" si="2">COUNTA(B9:B19)</f>
        <v>11</v>
      </c>
      <c r="C26" s="2">
        <f t="shared" si="2"/>
        <v>11</v>
      </c>
      <c r="D26" s="2">
        <f t="shared" si="2"/>
        <v>11</v>
      </c>
      <c r="E26" s="2">
        <f t="shared" si="2"/>
        <v>10</v>
      </c>
      <c r="F26" s="2">
        <f t="shared" si="2"/>
        <v>9</v>
      </c>
      <c r="G26" s="2">
        <f t="shared" si="2"/>
        <v>11</v>
      </c>
      <c r="H26" s="2">
        <f t="shared" si="2"/>
        <v>11</v>
      </c>
      <c r="I26" s="2">
        <f t="shared" si="2"/>
        <v>11</v>
      </c>
      <c r="J26" s="2">
        <f t="shared" si="2"/>
        <v>11</v>
      </c>
      <c r="K26" s="2">
        <f t="shared" si="2"/>
        <v>11</v>
      </c>
      <c r="L26" s="2">
        <f t="shared" si="2"/>
        <v>11</v>
      </c>
      <c r="M26" s="2">
        <f t="shared" si="2"/>
        <v>11</v>
      </c>
      <c r="N26" s="2">
        <f t="shared" si="2"/>
        <v>11</v>
      </c>
      <c r="O26" s="2">
        <f t="shared" si="2"/>
        <v>11</v>
      </c>
      <c r="P26" s="2">
        <f t="shared" si="2"/>
        <v>11</v>
      </c>
      <c r="Q26" s="2">
        <f t="shared" si="2"/>
        <v>11</v>
      </c>
      <c r="R26" s="2">
        <f t="shared" si="2"/>
        <v>11</v>
      </c>
      <c r="S26" s="2">
        <f t="shared" si="2"/>
        <v>11</v>
      </c>
      <c r="T26" s="2">
        <f t="shared" si="2"/>
        <v>11</v>
      </c>
      <c r="U26" s="2">
        <f t="shared" si="2"/>
        <v>11</v>
      </c>
    </row>
  </sheetData>
  <pageMargins left="0.5" right="0.5" top="0.75" bottom="0.75" header="0.5" footer="0.5"/>
  <pageSetup orientation="portrait" horizontalDpi="0" verticalDpi="0" copies="0"/>
  <headerFooter alignWithMargins="0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5"/>
  <sheetViews>
    <sheetView showOutlineSymbols="0" defaultGridColor="0" colorId="9" workbookViewId="0">
      <selection activeCell="D27" sqref="D27"/>
    </sheetView>
  </sheetViews>
  <sheetFormatPr defaultColWidth="8.6640625" defaultRowHeight="15" x14ac:dyDescent="0.2"/>
  <cols>
    <col min="1" max="16384" width="8.6640625" style="2"/>
  </cols>
  <sheetData>
    <row r="1" spans="1:28" ht="18" x14ac:dyDescent="0.25">
      <c r="A1" s="18" t="s">
        <v>2033</v>
      </c>
      <c r="AB1" s="2" t="s">
        <v>1</v>
      </c>
    </row>
    <row r="2" spans="1:28" x14ac:dyDescent="0.2">
      <c r="AB2" s="2" t="s">
        <v>1</v>
      </c>
    </row>
    <row r="3" spans="1:28" x14ac:dyDescent="0.2">
      <c r="D3" s="2" t="s">
        <v>2034</v>
      </c>
      <c r="AB3" s="2" t="s">
        <v>1</v>
      </c>
    </row>
    <row r="4" spans="1:28" x14ac:dyDescent="0.2">
      <c r="A4" s="2" t="s">
        <v>2035</v>
      </c>
      <c r="D4" s="2" t="s">
        <v>2036</v>
      </c>
      <c r="AB4" s="2" t="s">
        <v>1</v>
      </c>
    </row>
    <row r="5" spans="1:28" x14ac:dyDescent="0.2">
      <c r="A5" s="2" t="s">
        <v>2037</v>
      </c>
      <c r="AB5" s="2" t="s">
        <v>1</v>
      </c>
    </row>
    <row r="6" spans="1:28" x14ac:dyDescent="0.2">
      <c r="AB6" s="2" t="s">
        <v>1</v>
      </c>
    </row>
    <row r="7" spans="1:28" x14ac:dyDescent="0.2">
      <c r="AB7" s="2" t="s">
        <v>1</v>
      </c>
    </row>
    <row r="8" spans="1:28" x14ac:dyDescent="0.2">
      <c r="AB8" s="2" t="s">
        <v>1</v>
      </c>
    </row>
    <row r="9" spans="1:28" x14ac:dyDescent="0.2">
      <c r="A9" s="2" t="s">
        <v>253</v>
      </c>
      <c r="B9" s="8" t="s">
        <v>286</v>
      </c>
      <c r="C9" s="8" t="s">
        <v>286</v>
      </c>
      <c r="D9" s="8" t="s">
        <v>1944</v>
      </c>
      <c r="E9" s="2" t="s">
        <v>1945</v>
      </c>
      <c r="F9" s="8" t="s">
        <v>117</v>
      </c>
      <c r="G9" s="8" t="s">
        <v>118</v>
      </c>
      <c r="H9" s="8" t="s">
        <v>123</v>
      </c>
      <c r="I9" s="8" t="s">
        <v>134</v>
      </c>
      <c r="J9" s="8" t="s">
        <v>138</v>
      </c>
      <c r="K9" s="8" t="s">
        <v>136</v>
      </c>
      <c r="L9" s="8" t="s">
        <v>130</v>
      </c>
      <c r="M9" s="8" t="s">
        <v>133</v>
      </c>
      <c r="N9" s="8" t="s">
        <v>133</v>
      </c>
      <c r="O9" s="8" t="s">
        <v>127</v>
      </c>
      <c r="P9" s="8" t="s">
        <v>121</v>
      </c>
      <c r="Q9" s="8" t="s">
        <v>112</v>
      </c>
      <c r="R9" s="8" t="s">
        <v>148</v>
      </c>
      <c r="S9" s="8" t="s">
        <v>115</v>
      </c>
      <c r="T9" s="8" t="s">
        <v>126</v>
      </c>
      <c r="U9" s="8" t="s">
        <v>122</v>
      </c>
      <c r="V9" s="8" t="s">
        <v>113</v>
      </c>
      <c r="W9" s="8" t="s">
        <v>131</v>
      </c>
      <c r="X9" s="8" t="s">
        <v>129</v>
      </c>
      <c r="Y9" s="8" t="s">
        <v>149</v>
      </c>
      <c r="Z9" s="8" t="s">
        <v>151</v>
      </c>
      <c r="AB9" s="2" t="s">
        <v>1</v>
      </c>
    </row>
    <row r="10" spans="1:28" x14ac:dyDescent="0.2">
      <c r="B10" s="8" t="s">
        <v>2038</v>
      </c>
      <c r="C10" s="8" t="s">
        <v>369</v>
      </c>
      <c r="D10" s="8" t="s">
        <v>365</v>
      </c>
      <c r="E10" s="15" t="s">
        <v>1947</v>
      </c>
      <c r="F10" s="8" t="s">
        <v>266</v>
      </c>
      <c r="G10" s="8" t="s">
        <v>266</v>
      </c>
      <c r="H10" s="8" t="s">
        <v>266</v>
      </c>
      <c r="I10" s="8" t="s">
        <v>371</v>
      </c>
      <c r="J10" s="8" t="s">
        <v>266</v>
      </c>
      <c r="K10" s="8" t="s">
        <v>144</v>
      </c>
      <c r="L10" s="8" t="s">
        <v>144</v>
      </c>
      <c r="M10" s="8" t="s">
        <v>144</v>
      </c>
      <c r="N10" s="8" t="s">
        <v>144</v>
      </c>
      <c r="O10" s="8" t="s">
        <v>144</v>
      </c>
      <c r="P10" s="8" t="s">
        <v>144</v>
      </c>
      <c r="Q10" s="8" t="s">
        <v>144</v>
      </c>
      <c r="R10" s="8" t="s">
        <v>144</v>
      </c>
      <c r="S10" s="8" t="s">
        <v>144</v>
      </c>
      <c r="T10" s="8" t="s">
        <v>2039</v>
      </c>
      <c r="U10" s="8" t="s">
        <v>2039</v>
      </c>
      <c r="V10" s="8" t="s">
        <v>2039</v>
      </c>
      <c r="W10" s="8" t="s">
        <v>2039</v>
      </c>
      <c r="X10" s="8" t="s">
        <v>2039</v>
      </c>
      <c r="Y10" s="8" t="s">
        <v>2039</v>
      </c>
      <c r="Z10" s="8" t="s">
        <v>2039</v>
      </c>
      <c r="AB10" s="2" t="s">
        <v>1</v>
      </c>
    </row>
    <row r="11" spans="1:28" x14ac:dyDescent="0.2">
      <c r="AB11" s="2" t="s">
        <v>1</v>
      </c>
    </row>
    <row r="12" spans="1:28" x14ac:dyDescent="0.2">
      <c r="AB12" s="2" t="s">
        <v>1</v>
      </c>
    </row>
    <row r="13" spans="1:28" x14ac:dyDescent="0.2">
      <c r="A13" s="7">
        <v>31925</v>
      </c>
      <c r="B13" s="8" t="s">
        <v>2040</v>
      </c>
      <c r="C13" s="2">
        <v>1805</v>
      </c>
      <c r="D13" s="12">
        <v>23.816666666666666</v>
      </c>
      <c r="E13" s="12">
        <v>154.65</v>
      </c>
      <c r="F13" s="4">
        <v>530.5</v>
      </c>
      <c r="G13" s="4">
        <v>110.3125</v>
      </c>
      <c r="H13" s="4">
        <v>1713.425</v>
      </c>
      <c r="I13" s="4">
        <v>363.25</v>
      </c>
      <c r="J13" s="4">
        <v>342.35</v>
      </c>
      <c r="K13" s="4">
        <v>440.85</v>
      </c>
      <c r="L13" s="4">
        <v>256.5</v>
      </c>
      <c r="M13" s="4">
        <v>39.950000000000003</v>
      </c>
      <c r="N13" s="4">
        <v>39.35</v>
      </c>
      <c r="O13" s="4">
        <v>17.600000000000001</v>
      </c>
      <c r="P13" s="4">
        <v>209.4</v>
      </c>
      <c r="Q13" s="4">
        <v>171.32499999999999</v>
      </c>
      <c r="R13" s="4">
        <v>104.675</v>
      </c>
      <c r="S13" s="4">
        <v>627</v>
      </c>
      <c r="T13" s="4">
        <v>2052</v>
      </c>
      <c r="U13" s="4">
        <v>469.75</v>
      </c>
      <c r="V13" s="4">
        <v>249.75</v>
      </c>
      <c r="W13" s="4">
        <v>320.5</v>
      </c>
      <c r="X13" s="4">
        <v>240</v>
      </c>
      <c r="Y13" s="4">
        <v>71</v>
      </c>
      <c r="Z13" s="4">
        <v>48.25</v>
      </c>
      <c r="AB13" s="2" t="s">
        <v>1</v>
      </c>
    </row>
    <row r="14" spans="1:28" x14ac:dyDescent="0.2">
      <c r="A14" s="7">
        <v>31925</v>
      </c>
      <c r="B14" s="2">
        <v>1000</v>
      </c>
      <c r="C14" s="8" t="s">
        <v>2041</v>
      </c>
      <c r="D14" s="12">
        <v>23.833333333333332</v>
      </c>
      <c r="E14" s="12">
        <v>154.53333333333333</v>
      </c>
      <c r="F14" s="4">
        <v>533</v>
      </c>
      <c r="G14" s="4">
        <v>98.25</v>
      </c>
      <c r="H14" s="4">
        <v>1705.15</v>
      </c>
      <c r="I14" s="4">
        <v>362.2</v>
      </c>
      <c r="J14" s="4">
        <v>342</v>
      </c>
      <c r="K14" s="4">
        <v>435.75</v>
      </c>
      <c r="L14" s="4">
        <v>261.25</v>
      </c>
      <c r="M14" s="4">
        <v>39.6</v>
      </c>
      <c r="N14" s="4">
        <v>38.4</v>
      </c>
      <c r="O14" s="4">
        <v>16.95</v>
      </c>
      <c r="P14" s="4">
        <v>209.85</v>
      </c>
      <c r="Q14" s="4">
        <v>174.85</v>
      </c>
      <c r="R14" s="4">
        <v>104.55</v>
      </c>
      <c r="S14" s="4">
        <v>621</v>
      </c>
      <c r="T14" s="4">
        <v>2123</v>
      </c>
      <c r="U14" s="4">
        <v>440.5</v>
      </c>
      <c r="V14" s="4">
        <v>225</v>
      </c>
      <c r="W14" s="4">
        <v>544</v>
      </c>
      <c r="X14" s="4">
        <v>363.5</v>
      </c>
      <c r="Y14" s="4">
        <v>76.5</v>
      </c>
      <c r="Z14" s="4">
        <v>147.5</v>
      </c>
      <c r="AB14" s="2" t="s">
        <v>1</v>
      </c>
    </row>
    <row r="15" spans="1:28" x14ac:dyDescent="0.2">
      <c r="A15" s="7">
        <v>31925</v>
      </c>
      <c r="B15" s="8" t="s">
        <v>2042</v>
      </c>
      <c r="C15" s="2">
        <v>1959</v>
      </c>
      <c r="D15" s="12">
        <v>23.816666666666666</v>
      </c>
      <c r="E15" s="12">
        <v>154.61666666666667</v>
      </c>
      <c r="F15" s="4">
        <v>531</v>
      </c>
      <c r="G15" s="4">
        <v>114.825</v>
      </c>
      <c r="H15" s="4">
        <v>1711.5</v>
      </c>
      <c r="I15" s="4">
        <v>361.85</v>
      </c>
      <c r="J15" s="4">
        <v>341.85</v>
      </c>
      <c r="K15" s="4">
        <v>445.05</v>
      </c>
      <c r="L15" s="4">
        <v>259.45</v>
      </c>
      <c r="M15" s="4">
        <v>39.75</v>
      </c>
      <c r="N15" s="4">
        <v>38.950000000000003</v>
      </c>
      <c r="O15" s="4">
        <v>16</v>
      </c>
      <c r="P15" s="4">
        <v>242.3</v>
      </c>
      <c r="Q15" s="4">
        <v>175.15</v>
      </c>
      <c r="R15" s="4">
        <v>105.95</v>
      </c>
      <c r="S15" s="4">
        <v>646.5</v>
      </c>
      <c r="T15" s="4">
        <v>2218</v>
      </c>
      <c r="U15" s="4">
        <v>852</v>
      </c>
      <c r="V15" s="4">
        <v>242.5</v>
      </c>
      <c r="W15" s="4">
        <v>465.5</v>
      </c>
      <c r="X15" s="4">
        <v>755</v>
      </c>
      <c r="Y15" s="4">
        <v>73</v>
      </c>
      <c r="Z15" s="4">
        <v>98</v>
      </c>
      <c r="AB15" s="2" t="s">
        <v>1</v>
      </c>
    </row>
    <row r="16" spans="1:28" x14ac:dyDescent="0.2">
      <c r="A16" s="7">
        <v>31925</v>
      </c>
      <c r="B16" s="8" t="s">
        <v>664</v>
      </c>
      <c r="C16" s="2">
        <v>2200</v>
      </c>
      <c r="D16" s="12">
        <v>23.816666666666666</v>
      </c>
      <c r="E16" s="12">
        <v>154.58333333333334</v>
      </c>
      <c r="F16" s="4">
        <v>523.5</v>
      </c>
      <c r="G16" s="4">
        <v>98.775000000000006</v>
      </c>
      <c r="H16" s="4">
        <v>1706.7</v>
      </c>
      <c r="I16" s="4">
        <v>363.45</v>
      </c>
      <c r="J16" s="4">
        <v>341.95</v>
      </c>
      <c r="K16" s="4">
        <v>442.6</v>
      </c>
      <c r="L16" s="4">
        <v>259.05</v>
      </c>
      <c r="M16" s="4">
        <v>40.25</v>
      </c>
      <c r="N16" s="4">
        <v>38.75</v>
      </c>
      <c r="O16" s="4">
        <v>18.5</v>
      </c>
      <c r="P16" s="4">
        <v>206.85</v>
      </c>
      <c r="Q16" s="4">
        <v>172.05</v>
      </c>
      <c r="R16" s="4">
        <v>105.15</v>
      </c>
      <c r="S16" s="4">
        <v>649.5</v>
      </c>
      <c r="T16" s="4">
        <v>1848</v>
      </c>
      <c r="U16" s="4">
        <v>149.5</v>
      </c>
      <c r="V16" s="4">
        <v>237.5</v>
      </c>
      <c r="W16" s="4">
        <v>270</v>
      </c>
      <c r="X16" s="4">
        <v>72</v>
      </c>
      <c r="Y16" s="4">
        <v>59</v>
      </c>
      <c r="Z16" s="4">
        <v>19.5</v>
      </c>
      <c r="AB16" s="2" t="s">
        <v>1</v>
      </c>
    </row>
    <row r="17" spans="1:28" x14ac:dyDescent="0.2">
      <c r="A17" s="7">
        <v>31926</v>
      </c>
      <c r="B17" s="2">
        <v>2000</v>
      </c>
      <c r="C17" s="2">
        <v>1000</v>
      </c>
      <c r="D17" s="12">
        <v>23.9</v>
      </c>
      <c r="E17" s="12">
        <v>154.33333333333334</v>
      </c>
      <c r="F17" s="4">
        <v>517</v>
      </c>
      <c r="G17" s="4">
        <v>89.724999999999994</v>
      </c>
      <c r="H17" s="4">
        <v>1693.1</v>
      </c>
      <c r="I17" s="4">
        <v>360.2</v>
      </c>
      <c r="J17" s="4">
        <v>341.6</v>
      </c>
      <c r="K17" s="4">
        <v>434.6</v>
      </c>
      <c r="L17" s="4">
        <v>256.89999999999998</v>
      </c>
      <c r="M17" s="4"/>
      <c r="N17" s="4">
        <v>37.549999999999997</v>
      </c>
      <c r="O17" s="4">
        <v>12.9</v>
      </c>
      <c r="P17" s="4">
        <v>202.45</v>
      </c>
      <c r="Q17" s="4">
        <v>172.5</v>
      </c>
      <c r="R17" s="4"/>
      <c r="S17" s="4"/>
      <c r="T17" s="4">
        <v>1439</v>
      </c>
      <c r="U17" s="4">
        <v>131.5</v>
      </c>
      <c r="V17" s="4">
        <v>196.5</v>
      </c>
      <c r="W17" s="4">
        <v>197</v>
      </c>
      <c r="X17" s="4">
        <v>95.5</v>
      </c>
      <c r="Y17" s="4">
        <v>51.5</v>
      </c>
      <c r="Z17" s="4">
        <v>28.5</v>
      </c>
      <c r="AB17" s="2" t="s">
        <v>1</v>
      </c>
    </row>
    <row r="18" spans="1:28" x14ac:dyDescent="0.2">
      <c r="A18" s="7">
        <v>31926</v>
      </c>
      <c r="B18" s="2">
        <v>2357</v>
      </c>
      <c r="C18" s="2">
        <v>1357</v>
      </c>
      <c r="D18" s="12">
        <v>23.95</v>
      </c>
      <c r="E18" s="12">
        <v>154.21666666666667</v>
      </c>
      <c r="F18" s="4">
        <v>517.5</v>
      </c>
      <c r="G18" s="4">
        <v>86.875</v>
      </c>
      <c r="H18" s="4">
        <v>1688.8</v>
      </c>
      <c r="I18" s="4">
        <v>356.35</v>
      </c>
      <c r="J18" s="4">
        <v>342.15</v>
      </c>
      <c r="K18" s="4">
        <v>437.25</v>
      </c>
      <c r="L18" s="4">
        <v>253.85</v>
      </c>
      <c r="M18" s="4"/>
      <c r="N18" s="4">
        <v>37.450000000000003</v>
      </c>
      <c r="O18" s="4">
        <v>16.2</v>
      </c>
      <c r="P18" s="4">
        <v>206.6</v>
      </c>
      <c r="Q18" s="4">
        <v>177.45</v>
      </c>
      <c r="R18" s="4"/>
      <c r="S18" s="4"/>
      <c r="T18" s="4">
        <v>1408</v>
      </c>
      <c r="U18" s="4">
        <v>104</v>
      </c>
      <c r="V18" s="4">
        <v>190.5</v>
      </c>
      <c r="W18" s="4">
        <v>216</v>
      </c>
      <c r="X18" s="4">
        <v>66</v>
      </c>
      <c r="Y18" s="4">
        <v>59</v>
      </c>
      <c r="Z18" s="4">
        <v>73</v>
      </c>
      <c r="AB18" s="2" t="s">
        <v>1</v>
      </c>
    </row>
    <row r="19" spans="1:28" x14ac:dyDescent="0.2">
      <c r="A19" s="7">
        <v>31926</v>
      </c>
      <c r="B19" s="2">
        <v>2202</v>
      </c>
      <c r="C19" s="2">
        <v>1202</v>
      </c>
      <c r="D19" s="12">
        <v>23.916666666666668</v>
      </c>
      <c r="E19" s="12">
        <v>154.28333333333333</v>
      </c>
      <c r="F19" s="4">
        <v>518</v>
      </c>
      <c r="G19" s="4">
        <v>90.924999999999997</v>
      </c>
      <c r="H19" s="4">
        <v>1693</v>
      </c>
      <c r="I19" s="4">
        <v>362.85</v>
      </c>
      <c r="J19" s="4">
        <v>341.15</v>
      </c>
      <c r="K19" s="4">
        <v>440.6</v>
      </c>
      <c r="L19" s="4">
        <v>258.10000000000002</v>
      </c>
      <c r="M19" s="4"/>
      <c r="N19" s="4">
        <v>37.6</v>
      </c>
      <c r="O19" s="4">
        <v>7.9</v>
      </c>
      <c r="P19" s="4">
        <v>202.45</v>
      </c>
      <c r="Q19" s="4">
        <v>173.1</v>
      </c>
      <c r="R19" s="4"/>
      <c r="S19" s="4"/>
      <c r="T19" s="4">
        <v>1513</v>
      </c>
      <c r="U19" s="4">
        <v>238.5</v>
      </c>
      <c r="V19" s="4">
        <v>201</v>
      </c>
      <c r="W19" s="4">
        <v>223</v>
      </c>
      <c r="X19" s="4">
        <v>170</v>
      </c>
      <c r="Y19" s="4">
        <v>58.5</v>
      </c>
      <c r="Z19" s="4">
        <v>39</v>
      </c>
      <c r="AB19" s="2" t="s">
        <v>1</v>
      </c>
    </row>
    <row r="20" spans="1:28" x14ac:dyDescent="0.2">
      <c r="A20" s="7">
        <v>31926</v>
      </c>
      <c r="B20" s="2">
        <v>1800</v>
      </c>
      <c r="C20" s="8" t="s">
        <v>664</v>
      </c>
      <c r="D20" s="12">
        <v>23.883333333333333</v>
      </c>
      <c r="E20" s="12">
        <v>154.38333333333333</v>
      </c>
      <c r="F20" s="4">
        <v>524.5</v>
      </c>
      <c r="G20" s="4">
        <v>96.724999999999994</v>
      </c>
      <c r="H20" s="4">
        <v>1702.6</v>
      </c>
      <c r="I20" s="4">
        <v>359.85</v>
      </c>
      <c r="J20" s="4">
        <v>342.05</v>
      </c>
      <c r="K20" s="4">
        <v>441.15</v>
      </c>
      <c r="L20" s="4">
        <v>255.8</v>
      </c>
      <c r="M20" s="4"/>
      <c r="N20" s="4">
        <v>37.799999999999997</v>
      </c>
      <c r="O20" s="4"/>
      <c r="P20" s="4">
        <v>204.65</v>
      </c>
      <c r="Q20" s="4">
        <v>171.7</v>
      </c>
      <c r="R20" s="4"/>
      <c r="S20" s="4"/>
      <c r="T20" s="4">
        <v>1833</v>
      </c>
      <c r="U20" s="4">
        <v>239</v>
      </c>
      <c r="V20" s="4">
        <v>214</v>
      </c>
      <c r="W20" s="4">
        <v>386</v>
      </c>
      <c r="X20" s="4">
        <v>216.5</v>
      </c>
      <c r="Y20" s="4">
        <v>64</v>
      </c>
      <c r="Z20" s="4">
        <v>71</v>
      </c>
      <c r="AB20" s="2" t="s">
        <v>1</v>
      </c>
    </row>
    <row r="21" spans="1:28" x14ac:dyDescent="0.2">
      <c r="A21" s="7">
        <v>31926</v>
      </c>
      <c r="B21" s="2">
        <v>1200</v>
      </c>
      <c r="C21" s="8" t="s">
        <v>2043</v>
      </c>
      <c r="D21" s="12">
        <v>23.833333333333332</v>
      </c>
      <c r="E21" s="12">
        <v>154.5</v>
      </c>
      <c r="F21" s="4">
        <v>527.5</v>
      </c>
      <c r="G21" s="4">
        <v>97.825000000000003</v>
      </c>
      <c r="H21" s="4">
        <v>1704.25</v>
      </c>
      <c r="I21" s="4">
        <v>360.9</v>
      </c>
      <c r="J21" s="4">
        <v>342.2</v>
      </c>
      <c r="K21" s="4">
        <v>439.5</v>
      </c>
      <c r="L21" s="4">
        <v>257</v>
      </c>
      <c r="M21" s="4">
        <v>38.35</v>
      </c>
      <c r="N21" s="4">
        <v>38.4</v>
      </c>
      <c r="O21" s="4">
        <v>24.05</v>
      </c>
      <c r="P21" s="4">
        <v>204.25</v>
      </c>
      <c r="Q21" s="4">
        <v>172.5</v>
      </c>
      <c r="R21" s="4">
        <v>103.6</v>
      </c>
      <c r="S21" s="4">
        <v>622</v>
      </c>
      <c r="T21" s="4">
        <v>1719</v>
      </c>
      <c r="U21" s="4">
        <v>317.5</v>
      </c>
      <c r="V21" s="4">
        <v>217</v>
      </c>
      <c r="W21" s="4">
        <v>249.5</v>
      </c>
      <c r="X21" s="4">
        <v>151</v>
      </c>
      <c r="Y21" s="4">
        <v>55</v>
      </c>
      <c r="Z21" s="4">
        <v>28.5</v>
      </c>
      <c r="AB21" s="2" t="s">
        <v>1</v>
      </c>
    </row>
    <row r="22" spans="1:28" x14ac:dyDescent="0.2">
      <c r="A22" s="7">
        <v>31926</v>
      </c>
      <c r="B22" s="2">
        <v>1600</v>
      </c>
      <c r="C22" s="8" t="s">
        <v>1859</v>
      </c>
      <c r="D22" s="12">
        <v>23.866666666666667</v>
      </c>
      <c r="E22" s="12">
        <v>154.4</v>
      </c>
      <c r="F22" s="4">
        <v>523</v>
      </c>
      <c r="G22" s="4">
        <v>93.575000000000003</v>
      </c>
      <c r="H22" s="4">
        <v>1698.9</v>
      </c>
      <c r="I22" s="4">
        <v>355.9</v>
      </c>
      <c r="J22" s="4">
        <v>343.3</v>
      </c>
      <c r="K22" s="4">
        <v>439.4</v>
      </c>
      <c r="L22" s="4">
        <v>255.9</v>
      </c>
      <c r="M22" s="4"/>
      <c r="N22" s="4">
        <v>37.200000000000003</v>
      </c>
      <c r="O22" s="4">
        <v>16.55</v>
      </c>
      <c r="P22" s="4">
        <v>204.3</v>
      </c>
      <c r="Q22" s="4">
        <v>172.5</v>
      </c>
      <c r="R22" s="4"/>
      <c r="S22" s="4"/>
      <c r="T22" s="4">
        <v>1646.5</v>
      </c>
      <c r="U22" s="4">
        <v>139</v>
      </c>
      <c r="V22" s="4">
        <v>215.5</v>
      </c>
      <c r="W22" s="4">
        <v>221.5</v>
      </c>
      <c r="X22" s="4">
        <v>105.5</v>
      </c>
      <c r="Y22" s="4">
        <v>53.5</v>
      </c>
      <c r="Z22" s="4">
        <v>19.5</v>
      </c>
      <c r="AB22" s="2" t="s">
        <v>1</v>
      </c>
    </row>
    <row r="23" spans="1:28" x14ac:dyDescent="0.2">
      <c r="A23" s="7">
        <v>31926</v>
      </c>
      <c r="B23" s="2">
        <v>1400</v>
      </c>
      <c r="C23" s="8" t="s">
        <v>2044</v>
      </c>
      <c r="D23" s="12">
        <v>23.85</v>
      </c>
      <c r="E23" s="12">
        <v>154.44999999999999</v>
      </c>
      <c r="F23" s="4">
        <v>526</v>
      </c>
      <c r="G23" s="4">
        <v>97.075000000000003</v>
      </c>
      <c r="H23" s="4">
        <v>1705</v>
      </c>
      <c r="I23" s="4">
        <v>363.25</v>
      </c>
      <c r="J23" s="4">
        <v>341.85</v>
      </c>
      <c r="K23" s="4">
        <v>447.75</v>
      </c>
      <c r="L23" s="4">
        <v>260.39999999999998</v>
      </c>
      <c r="M23" s="4">
        <v>41.25</v>
      </c>
      <c r="N23" s="4">
        <v>38.799999999999997</v>
      </c>
      <c r="O23" s="4">
        <v>16.100000000000001</v>
      </c>
      <c r="P23" s="4">
        <v>209</v>
      </c>
      <c r="Q23" s="4">
        <v>173.05</v>
      </c>
      <c r="R23" s="4">
        <v>108.75</v>
      </c>
      <c r="S23" s="4">
        <v>658</v>
      </c>
      <c r="T23" s="4">
        <v>1746</v>
      </c>
      <c r="U23" s="4">
        <v>199.5</v>
      </c>
      <c r="V23" s="4">
        <v>226.5</v>
      </c>
      <c r="W23" s="4">
        <v>220</v>
      </c>
      <c r="X23" s="4">
        <v>96.5</v>
      </c>
      <c r="Y23" s="4">
        <v>50</v>
      </c>
      <c r="Z23" s="4">
        <v>30</v>
      </c>
      <c r="AB23" s="2" t="s">
        <v>1</v>
      </c>
    </row>
    <row r="24" spans="1:28" x14ac:dyDescent="0.2"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4"/>
      <c r="AB24" s="2" t="s">
        <v>1</v>
      </c>
    </row>
    <row r="25" spans="1:28" x14ac:dyDescent="0.2">
      <c r="D25" s="8" t="s">
        <v>1944</v>
      </c>
      <c r="E25" s="2" t="s">
        <v>1945</v>
      </c>
      <c r="F25" s="8" t="s">
        <v>117</v>
      </c>
      <c r="G25" s="8" t="s">
        <v>118</v>
      </c>
      <c r="H25" s="8" t="s">
        <v>123</v>
      </c>
      <c r="I25" s="8" t="s">
        <v>134</v>
      </c>
      <c r="J25" s="8" t="s">
        <v>138</v>
      </c>
      <c r="K25" s="8" t="s">
        <v>136</v>
      </c>
      <c r="L25" s="8" t="s">
        <v>130</v>
      </c>
      <c r="M25" s="8" t="s">
        <v>133</v>
      </c>
      <c r="N25" s="8" t="s">
        <v>133</v>
      </c>
      <c r="O25" s="8" t="s">
        <v>127</v>
      </c>
      <c r="P25" s="8" t="s">
        <v>121</v>
      </c>
      <c r="Q25" s="8" t="s">
        <v>112</v>
      </c>
      <c r="R25" s="8" t="s">
        <v>148</v>
      </c>
      <c r="S25" s="8" t="s">
        <v>115</v>
      </c>
      <c r="T25" s="8" t="s">
        <v>126</v>
      </c>
      <c r="U25" s="8" t="s">
        <v>122</v>
      </c>
      <c r="V25" s="8" t="s">
        <v>113</v>
      </c>
      <c r="W25" s="8" t="s">
        <v>131</v>
      </c>
      <c r="X25" s="8" t="s">
        <v>129</v>
      </c>
      <c r="Y25" s="8" t="s">
        <v>149</v>
      </c>
      <c r="Z25" s="8" t="s">
        <v>151</v>
      </c>
      <c r="AB25" s="2" t="s">
        <v>1</v>
      </c>
    </row>
    <row r="26" spans="1:28" x14ac:dyDescent="0.2">
      <c r="D26" s="8" t="s">
        <v>365</v>
      </c>
      <c r="E26" s="15" t="s">
        <v>1947</v>
      </c>
      <c r="F26" s="8" t="s">
        <v>266</v>
      </c>
      <c r="G26" s="8" t="s">
        <v>266</v>
      </c>
      <c r="H26" s="8" t="s">
        <v>266</v>
      </c>
      <c r="I26" s="8" t="s">
        <v>371</v>
      </c>
      <c r="J26" s="8" t="s">
        <v>266</v>
      </c>
      <c r="K26" s="8" t="s">
        <v>144</v>
      </c>
      <c r="L26" s="8" t="s">
        <v>144</v>
      </c>
      <c r="M26" s="8" t="s">
        <v>144</v>
      </c>
      <c r="N26" s="8" t="s">
        <v>144</v>
      </c>
      <c r="O26" s="8" t="s">
        <v>144</v>
      </c>
      <c r="P26" s="8" t="s">
        <v>144</v>
      </c>
      <c r="Q26" s="8" t="s">
        <v>144</v>
      </c>
      <c r="R26" s="8" t="s">
        <v>144</v>
      </c>
      <c r="S26" s="8" t="s">
        <v>144</v>
      </c>
      <c r="T26" s="8" t="s">
        <v>2039</v>
      </c>
      <c r="U26" s="8" t="s">
        <v>2039</v>
      </c>
      <c r="V26" s="8" t="s">
        <v>2039</v>
      </c>
      <c r="W26" s="8" t="s">
        <v>2039</v>
      </c>
      <c r="X26" s="8" t="s">
        <v>2039</v>
      </c>
      <c r="Y26" s="8" t="s">
        <v>2039</v>
      </c>
      <c r="Z26" s="8" t="s">
        <v>2039</v>
      </c>
      <c r="AB26" s="2" t="s">
        <v>1</v>
      </c>
    </row>
    <row r="27" spans="1:28" x14ac:dyDescent="0.2">
      <c r="A27" s="7">
        <f t="shared" ref="A27:Z27" si="0">AVERAGE(A13:A23)</f>
        <v>31925.636363636364</v>
      </c>
      <c r="B27" s="4">
        <f t="shared" si="0"/>
        <v>1694.875</v>
      </c>
      <c r="C27" s="4">
        <f t="shared" si="0"/>
        <v>1587.1666666666667</v>
      </c>
      <c r="D27" s="4">
        <f t="shared" si="0"/>
        <v>23.862121212121213</v>
      </c>
      <c r="E27" s="4">
        <f t="shared" si="0"/>
        <v>154.45000000000002</v>
      </c>
      <c r="F27" s="4">
        <f t="shared" si="0"/>
        <v>524.68181818181813</v>
      </c>
      <c r="G27" s="4">
        <f t="shared" si="0"/>
        <v>97.717045454545456</v>
      </c>
      <c r="H27" s="4">
        <f t="shared" si="0"/>
        <v>1702.0386363636362</v>
      </c>
      <c r="I27" s="4">
        <f t="shared" si="0"/>
        <v>360.91363636363639</v>
      </c>
      <c r="J27" s="4">
        <f t="shared" si="0"/>
        <v>342.04090909090911</v>
      </c>
      <c r="K27" s="4">
        <f t="shared" si="0"/>
        <v>440.40909090909093</v>
      </c>
      <c r="L27" s="4">
        <f t="shared" si="0"/>
        <v>257.65454545454548</v>
      </c>
      <c r="M27" s="4">
        <f t="shared" si="0"/>
        <v>39.858333333333334</v>
      </c>
      <c r="N27" s="4">
        <f t="shared" si="0"/>
        <v>38.204545454545453</v>
      </c>
      <c r="O27" s="4">
        <f t="shared" si="0"/>
        <v>16.275000000000002</v>
      </c>
      <c r="P27" s="4">
        <f t="shared" si="0"/>
        <v>209.28181818181818</v>
      </c>
      <c r="Q27" s="4">
        <f t="shared" si="0"/>
        <v>173.28863636363636</v>
      </c>
      <c r="R27" s="4">
        <f t="shared" si="0"/>
        <v>105.44583333333334</v>
      </c>
      <c r="S27" s="4">
        <f t="shared" si="0"/>
        <v>637.33333333333337</v>
      </c>
      <c r="T27" s="4">
        <f t="shared" si="0"/>
        <v>1776.8636363636363</v>
      </c>
      <c r="U27" s="4">
        <f t="shared" si="0"/>
        <v>298.25</v>
      </c>
      <c r="V27" s="4">
        <f t="shared" si="0"/>
        <v>219.61363636363637</v>
      </c>
      <c r="W27" s="4">
        <f t="shared" si="0"/>
        <v>301.18181818181819</v>
      </c>
      <c r="X27" s="4">
        <f t="shared" si="0"/>
        <v>211.95454545454547</v>
      </c>
      <c r="Y27" s="4">
        <f t="shared" si="0"/>
        <v>61</v>
      </c>
      <c r="Z27" s="4">
        <f t="shared" si="0"/>
        <v>54.795454545454547</v>
      </c>
      <c r="AB27" s="2" t="s">
        <v>1</v>
      </c>
    </row>
    <row r="28" spans="1:28" x14ac:dyDescent="0.2">
      <c r="A28" s="4"/>
      <c r="B28" s="4">
        <f t="shared" ref="B28:Z28" si="1">STDEV(B13:B23)</f>
        <v>481.5811569344109</v>
      </c>
      <c r="C28" s="4">
        <f t="shared" si="1"/>
        <v>470.61041920750841</v>
      </c>
      <c r="D28" s="4">
        <f t="shared" si="1"/>
        <v>4.5393898935937031E-2</v>
      </c>
      <c r="E28" s="4">
        <f t="shared" si="1"/>
        <v>0.14063348739819501</v>
      </c>
      <c r="F28" s="4">
        <f t="shared" si="1"/>
        <v>5.586916534514935</v>
      </c>
      <c r="G28" s="4">
        <f t="shared" si="1"/>
        <v>8.3597253856049178</v>
      </c>
      <c r="H28" s="4">
        <f t="shared" si="1"/>
        <v>7.8183067511159781</v>
      </c>
      <c r="I28" s="4">
        <f t="shared" si="1"/>
        <v>2.6689970877738811</v>
      </c>
      <c r="J28" s="4">
        <f t="shared" si="1"/>
        <v>0.52811844401525576</v>
      </c>
      <c r="K28" s="4">
        <f t="shared" si="1"/>
        <v>3.8507673379352703</v>
      </c>
      <c r="L28" s="4">
        <f t="shared" si="1"/>
        <v>2.2171439449722841</v>
      </c>
      <c r="M28" s="4">
        <f t="shared" si="1"/>
        <v>0.94361892025683003</v>
      </c>
      <c r="N28" s="4">
        <f t="shared" si="1"/>
        <v>0.71639882239383423</v>
      </c>
      <c r="O28" s="4">
        <f t="shared" si="1"/>
        <v>4.0733722038516236</v>
      </c>
      <c r="P28" s="4">
        <f t="shared" si="1"/>
        <v>11.263486865248986</v>
      </c>
      <c r="Q28" s="4">
        <f t="shared" si="1"/>
        <v>1.8191125458710495</v>
      </c>
      <c r="R28" s="4">
        <f t="shared" si="1"/>
        <v>1.7923738914263041</v>
      </c>
      <c r="S28" s="4">
        <f t="shared" si="1"/>
        <v>15.923776771440457</v>
      </c>
      <c r="T28" s="4">
        <f t="shared" si="1"/>
        <v>271.92922708942979</v>
      </c>
      <c r="U28" s="4">
        <f t="shared" si="1"/>
        <v>220.57082195975062</v>
      </c>
      <c r="V28" s="4">
        <f t="shared" si="1"/>
        <v>19.005053155793739</v>
      </c>
      <c r="W28" s="4">
        <f t="shared" si="1"/>
        <v>115.90238839801204</v>
      </c>
      <c r="X28" s="4">
        <f t="shared" si="1"/>
        <v>200.81365174527534</v>
      </c>
      <c r="Y28" s="4">
        <f t="shared" si="1"/>
        <v>9.0055538419355408</v>
      </c>
      <c r="Z28" s="4">
        <f t="shared" si="1"/>
        <v>39.794914590594701</v>
      </c>
      <c r="AB28" s="2" t="s">
        <v>1</v>
      </c>
    </row>
    <row r="29" spans="1:28" x14ac:dyDescent="0.2">
      <c r="B29" s="2">
        <f t="shared" ref="B29:Z29" si="2">COUNTA(B13:B23)</f>
        <v>11</v>
      </c>
      <c r="C29" s="2">
        <f t="shared" si="2"/>
        <v>11</v>
      </c>
      <c r="D29" s="2">
        <f t="shared" si="2"/>
        <v>11</v>
      </c>
      <c r="E29" s="2">
        <f t="shared" si="2"/>
        <v>11</v>
      </c>
      <c r="F29" s="2">
        <f t="shared" si="2"/>
        <v>11</v>
      </c>
      <c r="G29" s="2">
        <f t="shared" si="2"/>
        <v>11</v>
      </c>
      <c r="H29" s="2">
        <f t="shared" si="2"/>
        <v>11</v>
      </c>
      <c r="I29" s="2">
        <f t="shared" si="2"/>
        <v>11</v>
      </c>
      <c r="J29" s="2">
        <f t="shared" si="2"/>
        <v>11</v>
      </c>
      <c r="K29" s="2">
        <f t="shared" si="2"/>
        <v>11</v>
      </c>
      <c r="L29" s="2">
        <f t="shared" si="2"/>
        <v>11</v>
      </c>
      <c r="M29" s="2">
        <f t="shared" si="2"/>
        <v>6</v>
      </c>
      <c r="N29" s="2">
        <f t="shared" si="2"/>
        <v>11</v>
      </c>
      <c r="O29" s="2">
        <f t="shared" si="2"/>
        <v>10</v>
      </c>
      <c r="P29" s="2">
        <f t="shared" si="2"/>
        <v>11</v>
      </c>
      <c r="Q29" s="2">
        <f t="shared" si="2"/>
        <v>11</v>
      </c>
      <c r="R29" s="2">
        <f t="shared" si="2"/>
        <v>6</v>
      </c>
      <c r="S29" s="2">
        <f t="shared" si="2"/>
        <v>6</v>
      </c>
      <c r="T29" s="2">
        <f t="shared" si="2"/>
        <v>11</v>
      </c>
      <c r="U29" s="2">
        <f t="shared" si="2"/>
        <v>11</v>
      </c>
      <c r="V29" s="2">
        <f t="shared" si="2"/>
        <v>11</v>
      </c>
      <c r="W29" s="2">
        <f t="shared" si="2"/>
        <v>11</v>
      </c>
      <c r="X29" s="2">
        <f t="shared" si="2"/>
        <v>11</v>
      </c>
      <c r="Y29" s="2">
        <f t="shared" si="2"/>
        <v>11</v>
      </c>
      <c r="Z29" s="2">
        <f t="shared" si="2"/>
        <v>11</v>
      </c>
      <c r="AB29" s="2" t="s">
        <v>1</v>
      </c>
    </row>
    <row r="30" spans="1:28" x14ac:dyDescent="0.2">
      <c r="AB30" s="2" t="s">
        <v>1</v>
      </c>
    </row>
    <row r="31" spans="1:28" x14ac:dyDescent="0.2">
      <c r="AB31" s="2" t="s">
        <v>1</v>
      </c>
    </row>
    <row r="32" spans="1:28" x14ac:dyDescent="0.2">
      <c r="AB32" s="2" t="s">
        <v>1</v>
      </c>
    </row>
    <row r="33" spans="28:28" x14ac:dyDescent="0.2">
      <c r="AB33" s="2" t="s">
        <v>1</v>
      </c>
    </row>
    <row r="34" spans="28:28" x14ac:dyDescent="0.2">
      <c r="AB34" s="2" t="s">
        <v>1</v>
      </c>
    </row>
    <row r="35" spans="28:28" x14ac:dyDescent="0.2">
      <c r="AB35" s="2" t="s">
        <v>1</v>
      </c>
    </row>
    <row r="36" spans="28:28" x14ac:dyDescent="0.2">
      <c r="AB36" s="2" t="s">
        <v>1</v>
      </c>
    </row>
    <row r="37" spans="28:28" x14ac:dyDescent="0.2">
      <c r="AB37" s="2" t="s">
        <v>1</v>
      </c>
    </row>
    <row r="38" spans="28:28" x14ac:dyDescent="0.2">
      <c r="AB38" s="2" t="s">
        <v>1</v>
      </c>
    </row>
    <row r="39" spans="28:28" x14ac:dyDescent="0.2">
      <c r="AB39" s="2" t="s">
        <v>1</v>
      </c>
    </row>
    <row r="40" spans="28:28" x14ac:dyDescent="0.2">
      <c r="AB40" s="2" t="s">
        <v>1</v>
      </c>
    </row>
    <row r="41" spans="28:28" x14ac:dyDescent="0.2">
      <c r="AB41" s="2" t="s">
        <v>1</v>
      </c>
    </row>
    <row r="42" spans="28:28" x14ac:dyDescent="0.2">
      <c r="AB42" s="2" t="s">
        <v>1</v>
      </c>
    </row>
    <row r="43" spans="28:28" x14ac:dyDescent="0.2">
      <c r="AB43" s="2" t="s">
        <v>1</v>
      </c>
    </row>
    <row r="44" spans="28:28" x14ac:dyDescent="0.2">
      <c r="AB44" s="2" t="s">
        <v>1</v>
      </c>
    </row>
    <row r="45" spans="28:28" x14ac:dyDescent="0.2">
      <c r="AB45" s="2" t="s">
        <v>1</v>
      </c>
    </row>
  </sheetData>
  <pageMargins left="0.5" right="0.5" top="0.75" bottom="0.75" header="0.5" footer="0.5"/>
  <pageSetup orientation="portrait" horizontalDpi="0" verticalDpi="0" copies="0"/>
  <headerFooter alignWithMargins="0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1"/>
  <sheetViews>
    <sheetView showOutlineSymbols="0" defaultGridColor="0" topLeftCell="A66" colorId="9" workbookViewId="0">
      <selection activeCell="E101" sqref="E101"/>
    </sheetView>
  </sheetViews>
  <sheetFormatPr defaultColWidth="8.6640625" defaultRowHeight="15" x14ac:dyDescent="0.2"/>
  <cols>
    <col min="1" max="16384" width="8.6640625" style="2"/>
  </cols>
  <sheetData>
    <row r="1" spans="1:21" x14ac:dyDescent="0.2">
      <c r="A1" s="2" t="s">
        <v>2045</v>
      </c>
      <c r="U1" s="2" t="s">
        <v>1</v>
      </c>
    </row>
    <row r="2" spans="1:21" x14ac:dyDescent="0.2">
      <c r="A2" s="2" t="s">
        <v>2046</v>
      </c>
      <c r="U2" s="2" t="s">
        <v>1</v>
      </c>
    </row>
    <row r="3" spans="1:21" x14ac:dyDescent="0.2">
      <c r="U3" s="2" t="s">
        <v>1</v>
      </c>
    </row>
    <row r="4" spans="1:21" x14ac:dyDescent="0.2">
      <c r="D4" s="8" t="s">
        <v>283</v>
      </c>
      <c r="U4" s="2" t="s">
        <v>1</v>
      </c>
    </row>
    <row r="5" spans="1:21" x14ac:dyDescent="0.2">
      <c r="A5" s="15" t="s">
        <v>253</v>
      </c>
      <c r="B5" s="8" t="s">
        <v>286</v>
      </c>
      <c r="C5" s="8" t="s">
        <v>287</v>
      </c>
      <c r="D5" s="8" t="s">
        <v>368</v>
      </c>
      <c r="E5" s="8" t="s">
        <v>200</v>
      </c>
      <c r="F5" s="8" t="s">
        <v>201</v>
      </c>
      <c r="G5" s="8" t="s">
        <v>118</v>
      </c>
      <c r="H5" s="8" t="s">
        <v>123</v>
      </c>
      <c r="I5" s="8" t="s">
        <v>134</v>
      </c>
      <c r="J5" s="8" t="s">
        <v>138</v>
      </c>
      <c r="K5" s="8" t="s">
        <v>136</v>
      </c>
      <c r="L5" s="8" t="s">
        <v>130</v>
      </c>
      <c r="M5" s="8" t="s">
        <v>133</v>
      </c>
      <c r="N5" s="8" t="s">
        <v>127</v>
      </c>
      <c r="O5" s="8" t="s">
        <v>121</v>
      </c>
      <c r="P5" s="8" t="s">
        <v>112</v>
      </c>
      <c r="Q5" s="8" t="s">
        <v>146</v>
      </c>
      <c r="R5" s="8" t="s">
        <v>117</v>
      </c>
      <c r="S5" s="8" t="s">
        <v>118</v>
      </c>
      <c r="U5" s="2" t="s">
        <v>1</v>
      </c>
    </row>
    <row r="6" spans="1:21" x14ac:dyDescent="0.2">
      <c r="C6" s="8" t="s">
        <v>291</v>
      </c>
      <c r="D6" s="8" t="s">
        <v>2047</v>
      </c>
      <c r="E6" s="8" t="s">
        <v>2048</v>
      </c>
      <c r="F6" s="8" t="s">
        <v>2048</v>
      </c>
      <c r="G6" s="8" t="s">
        <v>266</v>
      </c>
      <c r="H6" s="8" t="s">
        <v>266</v>
      </c>
      <c r="I6" s="8" t="s">
        <v>371</v>
      </c>
      <c r="J6" s="8" t="s">
        <v>266</v>
      </c>
      <c r="K6" s="8" t="s">
        <v>144</v>
      </c>
      <c r="L6" s="8" t="s">
        <v>144</v>
      </c>
      <c r="M6" s="8" t="s">
        <v>144</v>
      </c>
      <c r="N6" s="8" t="s">
        <v>144</v>
      </c>
      <c r="O6" s="8" t="s">
        <v>144</v>
      </c>
      <c r="P6" s="8" t="s">
        <v>144</v>
      </c>
      <c r="Q6" s="8" t="s">
        <v>426</v>
      </c>
      <c r="R6" s="8" t="s">
        <v>266</v>
      </c>
      <c r="S6" s="8" t="s">
        <v>266</v>
      </c>
      <c r="U6" s="2" t="s">
        <v>1</v>
      </c>
    </row>
    <row r="7" spans="1:21" x14ac:dyDescent="0.2">
      <c r="U7" s="2" t="s">
        <v>1</v>
      </c>
    </row>
    <row r="8" spans="1:21" x14ac:dyDescent="0.2">
      <c r="A8" s="7">
        <f>DATE(91,7,16)</f>
        <v>33435</v>
      </c>
      <c r="B8" s="2">
        <v>1629</v>
      </c>
      <c r="C8" s="2">
        <v>25</v>
      </c>
      <c r="D8" s="2">
        <v>11</v>
      </c>
      <c r="E8" s="12">
        <v>8.6666666666666663E-3</v>
      </c>
      <c r="F8" s="12">
        <v>24.991666666666667</v>
      </c>
      <c r="G8" s="2">
        <v>78</v>
      </c>
      <c r="H8" s="2">
        <v>1698</v>
      </c>
      <c r="I8" s="2">
        <v>354</v>
      </c>
      <c r="J8" s="2">
        <v>340.6</v>
      </c>
      <c r="K8" s="2">
        <v>489</v>
      </c>
      <c r="L8" s="2">
        <v>278</v>
      </c>
      <c r="M8" s="2">
        <v>54</v>
      </c>
      <c r="N8" s="2">
        <v>18</v>
      </c>
      <c r="O8" s="2">
        <v>185</v>
      </c>
      <c r="P8" s="2">
        <v>160</v>
      </c>
      <c r="Q8" s="2">
        <v>17.8</v>
      </c>
      <c r="R8" s="2">
        <v>528</v>
      </c>
      <c r="S8" s="2">
        <v>49</v>
      </c>
      <c r="U8" s="2" t="s">
        <v>1</v>
      </c>
    </row>
    <row r="9" spans="1:21" x14ac:dyDescent="0.2">
      <c r="A9" s="7">
        <f>DATE(91,7,17)</f>
        <v>33436</v>
      </c>
      <c r="B9" s="2">
        <v>521</v>
      </c>
      <c r="C9" s="2">
        <v>25</v>
      </c>
      <c r="D9" s="2">
        <v>20</v>
      </c>
      <c r="E9" s="12">
        <v>-2.0016666666666665</v>
      </c>
      <c r="F9" s="12">
        <v>25</v>
      </c>
      <c r="G9" s="2">
        <v>55</v>
      </c>
      <c r="H9" s="2">
        <v>1698</v>
      </c>
      <c r="I9" s="2">
        <v>354</v>
      </c>
      <c r="J9" s="2">
        <v>341.3</v>
      </c>
      <c r="K9" s="2">
        <v>488</v>
      </c>
      <c r="L9" s="2">
        <v>279</v>
      </c>
      <c r="M9" s="2">
        <v>54</v>
      </c>
      <c r="O9" s="2">
        <v>185</v>
      </c>
      <c r="P9" s="2">
        <v>160</v>
      </c>
      <c r="Q9" s="2">
        <v>14.5</v>
      </c>
      <c r="R9" s="2">
        <v>508</v>
      </c>
      <c r="S9" s="2">
        <v>35</v>
      </c>
      <c r="U9" s="2" t="s">
        <v>1</v>
      </c>
    </row>
    <row r="10" spans="1:21" x14ac:dyDescent="0.2">
      <c r="A10" s="7">
        <f>DATE(91,7,17)</f>
        <v>33436</v>
      </c>
      <c r="B10" s="2">
        <v>1636</v>
      </c>
      <c r="C10" s="2">
        <v>25</v>
      </c>
      <c r="D10" s="2">
        <v>12</v>
      </c>
      <c r="E10" s="12">
        <v>-2.3016666666666667</v>
      </c>
      <c r="F10" s="12">
        <v>26.324999999999999</v>
      </c>
      <c r="G10" s="2">
        <v>67</v>
      </c>
      <c r="H10" s="2">
        <v>1697</v>
      </c>
      <c r="I10" s="2">
        <v>354</v>
      </c>
      <c r="J10" s="2">
        <v>339.2</v>
      </c>
      <c r="K10" s="2">
        <v>499</v>
      </c>
      <c r="L10" s="2">
        <v>279</v>
      </c>
      <c r="M10" s="2">
        <v>54</v>
      </c>
      <c r="N10" s="2">
        <v>10</v>
      </c>
      <c r="O10" s="2">
        <v>181</v>
      </c>
      <c r="P10" s="2">
        <v>159</v>
      </c>
      <c r="Q10" s="2">
        <v>17.5</v>
      </c>
      <c r="R10" s="2">
        <v>512</v>
      </c>
      <c r="S10" s="2">
        <v>47</v>
      </c>
      <c r="U10" s="2" t="s">
        <v>1</v>
      </c>
    </row>
    <row r="11" spans="1:21" x14ac:dyDescent="0.2">
      <c r="A11" s="7">
        <f>DATE(91,7,18)</f>
        <v>33437</v>
      </c>
      <c r="B11" s="2">
        <v>544</v>
      </c>
      <c r="C11" s="2">
        <v>25</v>
      </c>
      <c r="D11" s="2">
        <v>17</v>
      </c>
      <c r="E11" s="12">
        <v>-3.0866666666666664</v>
      </c>
      <c r="F11" s="12">
        <v>29.608333333333334</v>
      </c>
      <c r="G11" s="2">
        <v>58</v>
      </c>
      <c r="H11" s="2">
        <v>1697</v>
      </c>
      <c r="I11" s="2">
        <v>355</v>
      </c>
      <c r="J11" s="2">
        <v>338.7</v>
      </c>
      <c r="K11" s="2">
        <v>512</v>
      </c>
      <c r="L11" s="2">
        <v>279</v>
      </c>
      <c r="M11" s="2">
        <v>54</v>
      </c>
      <c r="O11" s="2">
        <v>181</v>
      </c>
      <c r="P11" s="2">
        <v>160</v>
      </c>
      <c r="Q11" s="2">
        <v>14.5</v>
      </c>
      <c r="R11" s="2">
        <v>506</v>
      </c>
      <c r="S11" s="2">
        <v>38</v>
      </c>
      <c r="U11" s="2" t="s">
        <v>1</v>
      </c>
    </row>
    <row r="12" spans="1:21" x14ac:dyDescent="0.2">
      <c r="A12" s="7">
        <f>DATE(91,7,19)</f>
        <v>33438</v>
      </c>
      <c r="B12" s="2">
        <v>1720</v>
      </c>
      <c r="C12" s="2">
        <v>24</v>
      </c>
      <c r="D12" s="2">
        <v>8</v>
      </c>
      <c r="E12" s="12">
        <v>-3.9066666666666667</v>
      </c>
      <c r="F12" s="12">
        <v>27.958333333333332</v>
      </c>
      <c r="G12" s="2">
        <v>77</v>
      </c>
      <c r="H12" s="2">
        <v>1697</v>
      </c>
      <c r="I12" s="2">
        <v>355</v>
      </c>
      <c r="J12" s="2">
        <v>339.8</v>
      </c>
      <c r="K12" s="2">
        <v>502</v>
      </c>
      <c r="L12" s="2">
        <v>280</v>
      </c>
      <c r="M12" s="2">
        <v>55</v>
      </c>
      <c r="O12" s="2">
        <v>184</v>
      </c>
      <c r="P12" s="2">
        <v>162</v>
      </c>
      <c r="Q12" s="2">
        <v>9.8000000000000007</v>
      </c>
      <c r="R12" s="2">
        <v>503</v>
      </c>
      <c r="S12" s="2">
        <v>46</v>
      </c>
      <c r="U12" s="2" t="s">
        <v>1</v>
      </c>
    </row>
    <row r="13" spans="1:21" x14ac:dyDescent="0.2">
      <c r="A13" s="7">
        <f>DATE(91,7,20)</f>
        <v>33439</v>
      </c>
      <c r="B13" s="2">
        <v>1626</v>
      </c>
      <c r="C13" s="2">
        <v>26</v>
      </c>
      <c r="D13" s="2">
        <v>21</v>
      </c>
      <c r="E13" s="12">
        <v>-4.4833333333333334</v>
      </c>
      <c r="F13" s="12">
        <v>25</v>
      </c>
      <c r="G13" s="2">
        <v>75</v>
      </c>
      <c r="H13" s="2">
        <v>1697</v>
      </c>
      <c r="I13" s="2">
        <v>355</v>
      </c>
      <c r="J13" s="2">
        <v>341.2</v>
      </c>
      <c r="K13" s="2">
        <v>500</v>
      </c>
      <c r="L13" s="2">
        <v>277</v>
      </c>
      <c r="M13" s="2">
        <v>54</v>
      </c>
      <c r="O13" s="2">
        <v>182</v>
      </c>
      <c r="P13" s="2">
        <v>160</v>
      </c>
      <c r="Q13" s="2">
        <v>12.3</v>
      </c>
      <c r="R13" s="2">
        <v>508</v>
      </c>
      <c r="S13" s="2">
        <v>55</v>
      </c>
      <c r="U13" s="2" t="s">
        <v>1</v>
      </c>
    </row>
    <row r="14" spans="1:21" x14ac:dyDescent="0.2">
      <c r="A14" s="7">
        <f>DATE(91,7,20)</f>
        <v>33439</v>
      </c>
      <c r="B14" s="2">
        <v>530</v>
      </c>
      <c r="C14" s="2">
        <v>25</v>
      </c>
      <c r="D14" s="2">
        <v>15</v>
      </c>
      <c r="E14" s="12">
        <v>-3.97</v>
      </c>
      <c r="F14" s="12">
        <v>25.366666666666667</v>
      </c>
      <c r="G14" s="2">
        <v>80</v>
      </c>
      <c r="H14" s="2">
        <v>1697</v>
      </c>
      <c r="I14" s="2">
        <v>355</v>
      </c>
      <c r="J14" s="2">
        <v>339.4</v>
      </c>
      <c r="K14" s="2">
        <v>494</v>
      </c>
      <c r="L14" s="2">
        <v>278</v>
      </c>
      <c r="M14" s="2">
        <v>55</v>
      </c>
      <c r="N14" s="2">
        <v>12</v>
      </c>
      <c r="O14" s="2">
        <v>183</v>
      </c>
      <c r="P14" s="2">
        <v>161</v>
      </c>
      <c r="Q14" s="2">
        <v>14.4</v>
      </c>
      <c r="R14" s="2">
        <v>507</v>
      </c>
      <c r="S14" s="2">
        <v>48</v>
      </c>
      <c r="U14" s="2" t="s">
        <v>1</v>
      </c>
    </row>
    <row r="15" spans="1:21" x14ac:dyDescent="0.2">
      <c r="A15" s="7">
        <f>DATE(91,7,21)</f>
        <v>33440</v>
      </c>
      <c r="B15" s="2">
        <v>536</v>
      </c>
      <c r="C15" s="2">
        <v>25</v>
      </c>
      <c r="D15" s="2">
        <v>12</v>
      </c>
      <c r="E15" s="12">
        <v>-6.15</v>
      </c>
      <c r="F15" s="12">
        <v>25.0075</v>
      </c>
      <c r="G15" s="2">
        <v>62</v>
      </c>
      <c r="H15" s="2">
        <v>1696</v>
      </c>
      <c r="I15" s="2">
        <v>355</v>
      </c>
      <c r="J15" s="2">
        <v>340.3</v>
      </c>
      <c r="K15" s="2">
        <v>488</v>
      </c>
      <c r="L15" s="2">
        <v>278</v>
      </c>
      <c r="M15" s="2">
        <v>55</v>
      </c>
      <c r="O15" s="2">
        <v>180</v>
      </c>
      <c r="P15" s="2">
        <v>159</v>
      </c>
      <c r="Q15" s="17">
        <v>9</v>
      </c>
      <c r="R15" s="2">
        <v>518</v>
      </c>
      <c r="S15" s="2">
        <v>45</v>
      </c>
      <c r="U15" s="2" t="s">
        <v>1</v>
      </c>
    </row>
    <row r="16" spans="1:21" x14ac:dyDescent="0.2">
      <c r="A16" s="7">
        <f>DATE(91,7,21)</f>
        <v>33440</v>
      </c>
      <c r="B16" s="2">
        <v>1651</v>
      </c>
      <c r="C16" s="2">
        <v>24</v>
      </c>
      <c r="D16" s="2">
        <v>15</v>
      </c>
      <c r="E16" s="12">
        <v>-8</v>
      </c>
      <c r="F16" s="12">
        <v>25</v>
      </c>
      <c r="G16" s="2">
        <v>56</v>
      </c>
      <c r="H16" s="2">
        <v>1690</v>
      </c>
      <c r="I16" s="2">
        <v>354</v>
      </c>
      <c r="J16" s="2">
        <v>339.3</v>
      </c>
      <c r="K16" s="2">
        <v>500</v>
      </c>
      <c r="L16" s="2">
        <v>278</v>
      </c>
      <c r="M16" s="2">
        <v>55</v>
      </c>
      <c r="N16" s="2">
        <v>13</v>
      </c>
      <c r="O16" s="2">
        <v>183</v>
      </c>
      <c r="P16" s="2">
        <v>158</v>
      </c>
      <c r="Q16" s="17">
        <v>11.3</v>
      </c>
      <c r="R16" s="2">
        <v>504</v>
      </c>
      <c r="S16" s="2">
        <v>37</v>
      </c>
      <c r="U16" s="2" t="s">
        <v>1</v>
      </c>
    </row>
    <row r="17" spans="1:21" x14ac:dyDescent="0.2">
      <c r="A17" s="7">
        <f>DATE(91,7,22)</f>
        <v>33441</v>
      </c>
      <c r="B17" s="2">
        <v>1650</v>
      </c>
      <c r="C17" s="2">
        <v>24</v>
      </c>
      <c r="D17" s="2">
        <v>18</v>
      </c>
      <c r="E17" s="12">
        <v>-11.002000000000001</v>
      </c>
      <c r="F17" s="12">
        <v>25.035</v>
      </c>
      <c r="G17" s="2">
        <v>66</v>
      </c>
      <c r="H17" s="2">
        <v>1689</v>
      </c>
      <c r="I17" s="2">
        <v>354</v>
      </c>
      <c r="J17" s="2">
        <v>340.2</v>
      </c>
      <c r="K17" s="2">
        <v>501</v>
      </c>
      <c r="L17" s="2">
        <v>279</v>
      </c>
      <c r="M17" s="2">
        <v>54</v>
      </c>
      <c r="O17" s="2">
        <v>182</v>
      </c>
      <c r="P17" s="2">
        <v>161</v>
      </c>
      <c r="Q17" s="17">
        <v>8.6</v>
      </c>
      <c r="R17" s="2">
        <v>511</v>
      </c>
      <c r="S17" s="2">
        <v>36</v>
      </c>
      <c r="U17" s="2" t="s">
        <v>1</v>
      </c>
    </row>
    <row r="18" spans="1:21" x14ac:dyDescent="0.2">
      <c r="A18" s="7">
        <f>DATE(91,7,23)</f>
        <v>33442</v>
      </c>
      <c r="B18" s="2">
        <v>1650</v>
      </c>
      <c r="C18" s="2">
        <v>23</v>
      </c>
      <c r="D18" s="2">
        <v>17</v>
      </c>
      <c r="E18" s="12">
        <v>-15</v>
      </c>
      <c r="F18" s="12">
        <v>25.0105</v>
      </c>
      <c r="G18" s="2">
        <v>67</v>
      </c>
      <c r="H18" s="2">
        <v>1691</v>
      </c>
      <c r="I18" s="2">
        <v>354</v>
      </c>
      <c r="J18" s="17">
        <v>338</v>
      </c>
      <c r="K18" s="2">
        <v>492</v>
      </c>
      <c r="L18" s="2">
        <v>280</v>
      </c>
      <c r="M18" s="2">
        <v>54</v>
      </c>
      <c r="O18" s="2">
        <v>178</v>
      </c>
      <c r="P18" s="2">
        <v>159</v>
      </c>
      <c r="Q18" s="17">
        <v>26.6</v>
      </c>
      <c r="R18" s="2">
        <v>506</v>
      </c>
      <c r="S18" s="2">
        <v>38</v>
      </c>
      <c r="U18" s="2" t="s">
        <v>1</v>
      </c>
    </row>
    <row r="19" spans="1:21" x14ac:dyDescent="0.2">
      <c r="A19" s="7">
        <f>DATE(91,7,23)</f>
        <v>33442</v>
      </c>
      <c r="B19" s="2">
        <v>617</v>
      </c>
      <c r="C19" s="2">
        <v>23</v>
      </c>
      <c r="D19" s="2">
        <v>18</v>
      </c>
      <c r="E19" s="12">
        <v>-13.116666666666667</v>
      </c>
      <c r="F19" s="12">
        <v>25.016666666666666</v>
      </c>
      <c r="G19" s="2">
        <v>77</v>
      </c>
      <c r="H19" s="2">
        <v>1697</v>
      </c>
      <c r="I19" s="2">
        <v>356</v>
      </c>
      <c r="J19" s="17">
        <v>341</v>
      </c>
      <c r="M19" s="2">
        <v>65</v>
      </c>
      <c r="N19" s="2">
        <v>19</v>
      </c>
      <c r="P19" s="2">
        <v>158</v>
      </c>
      <c r="Q19" s="17">
        <v>56.5</v>
      </c>
      <c r="S19" s="2">
        <v>48</v>
      </c>
      <c r="U19" s="2" t="s">
        <v>1</v>
      </c>
    </row>
    <row r="20" spans="1:21" x14ac:dyDescent="0.2">
      <c r="A20" s="7">
        <f>DATE(91,7,24)</f>
        <v>33443</v>
      </c>
      <c r="B20" s="2">
        <v>1705</v>
      </c>
      <c r="C20" s="2">
        <v>22</v>
      </c>
      <c r="D20" s="2">
        <v>14</v>
      </c>
      <c r="E20" s="12">
        <v>-18.086666666666666</v>
      </c>
      <c r="F20" s="12">
        <v>24.98</v>
      </c>
      <c r="G20" s="2">
        <v>63</v>
      </c>
      <c r="H20" s="2">
        <v>1698</v>
      </c>
      <c r="I20" s="2">
        <v>356</v>
      </c>
      <c r="J20" s="17">
        <v>338.3</v>
      </c>
      <c r="K20" s="2">
        <v>496</v>
      </c>
      <c r="L20" s="2">
        <v>278</v>
      </c>
      <c r="M20" s="2">
        <v>55</v>
      </c>
      <c r="O20" s="2">
        <v>183</v>
      </c>
      <c r="P20" s="2">
        <v>160</v>
      </c>
      <c r="Q20" s="17">
        <v>18.600000000000001</v>
      </c>
      <c r="S20" s="2">
        <v>44</v>
      </c>
      <c r="U20" s="2" t="s">
        <v>1</v>
      </c>
    </row>
    <row r="21" spans="1:21" x14ac:dyDescent="0.2">
      <c r="A21" s="7">
        <f>DATE(91,7,24)</f>
        <v>33443</v>
      </c>
      <c r="B21" s="2">
        <v>545</v>
      </c>
      <c r="C21" s="2">
        <v>22</v>
      </c>
      <c r="D21" s="2">
        <v>10</v>
      </c>
      <c r="E21" s="12">
        <v>-16.933333333333334</v>
      </c>
      <c r="F21" s="12">
        <v>25.000666666666667</v>
      </c>
      <c r="G21" s="2">
        <v>69</v>
      </c>
      <c r="H21" s="2">
        <v>1698</v>
      </c>
      <c r="I21" s="2">
        <v>357</v>
      </c>
      <c r="J21" s="17">
        <v>339.6</v>
      </c>
      <c r="K21" s="2">
        <v>495</v>
      </c>
      <c r="L21" s="2">
        <v>279</v>
      </c>
      <c r="M21" s="2">
        <v>56</v>
      </c>
      <c r="O21" s="2">
        <v>180</v>
      </c>
      <c r="P21" s="2">
        <v>160</v>
      </c>
      <c r="Q21" s="17">
        <v>32.700000000000003</v>
      </c>
      <c r="R21" s="2">
        <v>511</v>
      </c>
      <c r="S21" s="2">
        <v>48</v>
      </c>
      <c r="U21" s="2" t="s">
        <v>1</v>
      </c>
    </row>
    <row r="22" spans="1:21" x14ac:dyDescent="0.2">
      <c r="A22" s="7">
        <f>DATE(91,7,25)</f>
        <v>33444</v>
      </c>
      <c r="B22" s="2">
        <v>1657</v>
      </c>
      <c r="C22" s="2">
        <v>21</v>
      </c>
      <c r="D22" s="2">
        <v>12</v>
      </c>
      <c r="E22" s="12">
        <v>-21.6</v>
      </c>
      <c r="F22" s="12">
        <v>25</v>
      </c>
      <c r="G22" s="2">
        <v>57</v>
      </c>
      <c r="H22" s="2">
        <v>1697</v>
      </c>
      <c r="I22" s="2">
        <v>355</v>
      </c>
      <c r="J22" s="17">
        <v>339.6</v>
      </c>
      <c r="K22" s="2">
        <v>507</v>
      </c>
      <c r="L22" s="2">
        <v>280</v>
      </c>
      <c r="M22" s="2">
        <v>55</v>
      </c>
      <c r="O22" s="2">
        <v>183</v>
      </c>
      <c r="P22" s="2">
        <v>161</v>
      </c>
      <c r="Q22" s="17">
        <v>17</v>
      </c>
      <c r="R22" s="2">
        <v>503</v>
      </c>
      <c r="S22" s="2">
        <v>36</v>
      </c>
      <c r="U22" s="2" t="s">
        <v>1</v>
      </c>
    </row>
    <row r="23" spans="1:21" x14ac:dyDescent="0.2">
      <c r="A23" s="7">
        <f>DATE(91,7,25)</f>
        <v>33444</v>
      </c>
      <c r="B23" s="2">
        <v>542</v>
      </c>
      <c r="C23" s="2">
        <v>20</v>
      </c>
      <c r="D23" s="2">
        <v>15</v>
      </c>
      <c r="E23" s="12">
        <v>-19.605</v>
      </c>
      <c r="F23" s="12">
        <v>25.006833333333333</v>
      </c>
      <c r="G23" s="2">
        <v>57</v>
      </c>
      <c r="H23" s="2">
        <v>1696</v>
      </c>
      <c r="I23" s="2">
        <v>355</v>
      </c>
      <c r="J23" s="17">
        <v>340</v>
      </c>
      <c r="K23" s="2">
        <v>498</v>
      </c>
      <c r="L23" s="2">
        <v>279</v>
      </c>
      <c r="M23" s="2">
        <v>55</v>
      </c>
      <c r="O23" s="2">
        <v>186</v>
      </c>
      <c r="P23" s="2">
        <v>160</v>
      </c>
      <c r="Q23" s="17">
        <v>24.8</v>
      </c>
      <c r="R23" s="2">
        <v>510</v>
      </c>
      <c r="S23" s="2">
        <v>40</v>
      </c>
      <c r="U23" s="2" t="s">
        <v>1</v>
      </c>
    </row>
    <row r="24" spans="1:21" x14ac:dyDescent="0.2">
      <c r="A24" s="7">
        <f>DATE(91,7,26)</f>
        <v>33445</v>
      </c>
      <c r="B24" s="2">
        <v>555</v>
      </c>
      <c r="C24" s="2">
        <v>20</v>
      </c>
      <c r="D24" s="2">
        <v>6</v>
      </c>
      <c r="E24" s="12">
        <v>-23.475000000000001</v>
      </c>
      <c r="F24" s="12">
        <v>25.008333333333333</v>
      </c>
      <c r="G24" s="2">
        <v>57</v>
      </c>
      <c r="H24" s="2">
        <v>1700</v>
      </c>
      <c r="I24" s="2">
        <v>356</v>
      </c>
      <c r="J24" s="17">
        <v>339.6</v>
      </c>
      <c r="K24" s="2">
        <v>492</v>
      </c>
      <c r="L24" s="2">
        <v>279</v>
      </c>
      <c r="M24" s="2">
        <v>56</v>
      </c>
      <c r="N24" s="2">
        <v>11</v>
      </c>
      <c r="O24" s="2">
        <v>188</v>
      </c>
      <c r="P24" s="2">
        <v>161</v>
      </c>
      <c r="Q24" s="17">
        <v>17.2</v>
      </c>
      <c r="R24" s="2">
        <v>503</v>
      </c>
      <c r="S24" s="2">
        <v>33</v>
      </c>
      <c r="U24" s="2" t="s">
        <v>1</v>
      </c>
    </row>
    <row r="25" spans="1:21" x14ac:dyDescent="0.2">
      <c r="A25" s="7">
        <f>DATE(91,7,26)</f>
        <v>33445</v>
      </c>
      <c r="B25" s="2">
        <v>1707</v>
      </c>
      <c r="C25" s="2">
        <v>20</v>
      </c>
      <c r="D25" s="2">
        <v>7</v>
      </c>
      <c r="E25" s="12">
        <v>-25.466666666666665</v>
      </c>
      <c r="F25" s="12">
        <v>24.983333333333334</v>
      </c>
      <c r="G25" s="2">
        <v>56</v>
      </c>
      <c r="H25" s="2">
        <v>1698</v>
      </c>
      <c r="I25" s="2">
        <v>355</v>
      </c>
      <c r="J25" s="2">
        <v>341.3</v>
      </c>
      <c r="K25" s="2">
        <v>502</v>
      </c>
      <c r="L25" s="2">
        <v>280</v>
      </c>
      <c r="M25" s="2">
        <v>55</v>
      </c>
      <c r="N25" s="2">
        <v>12</v>
      </c>
      <c r="O25" s="2">
        <v>187</v>
      </c>
      <c r="P25" s="4">
        <v>161</v>
      </c>
      <c r="Q25" s="2">
        <v>24.2</v>
      </c>
      <c r="R25" s="2">
        <v>506</v>
      </c>
      <c r="S25" s="2">
        <v>37</v>
      </c>
      <c r="U25" s="2" t="s">
        <v>1</v>
      </c>
    </row>
    <row r="26" spans="1:21" x14ac:dyDescent="0.2">
      <c r="A26" s="7">
        <f>DATE(91,7,27)</f>
        <v>33446</v>
      </c>
      <c r="B26" s="2">
        <v>555</v>
      </c>
      <c r="C26" s="2">
        <v>17</v>
      </c>
      <c r="D26" s="2">
        <v>14</v>
      </c>
      <c r="E26" s="12">
        <v>-27.008333333333333</v>
      </c>
      <c r="F26" s="12">
        <v>25.061666666666667</v>
      </c>
      <c r="G26" s="2">
        <v>62</v>
      </c>
      <c r="H26" s="2">
        <v>1699</v>
      </c>
      <c r="I26" s="2">
        <v>355</v>
      </c>
      <c r="J26" s="17">
        <v>338.4</v>
      </c>
      <c r="K26" s="2">
        <v>500</v>
      </c>
      <c r="L26" s="2">
        <v>279</v>
      </c>
      <c r="M26" s="2">
        <v>54</v>
      </c>
      <c r="O26" s="2">
        <v>178</v>
      </c>
      <c r="P26" s="4">
        <v>159</v>
      </c>
      <c r="Q26" s="17">
        <v>24.2</v>
      </c>
      <c r="R26" s="2">
        <v>499</v>
      </c>
      <c r="S26" s="2">
        <v>41</v>
      </c>
      <c r="U26" s="2" t="s">
        <v>1</v>
      </c>
    </row>
    <row r="27" spans="1:21" x14ac:dyDescent="0.2">
      <c r="A27" s="7">
        <f>DATE(91,7,27)</f>
        <v>33446</v>
      </c>
      <c r="B27" s="2">
        <v>1705</v>
      </c>
      <c r="C27" s="2">
        <v>17</v>
      </c>
      <c r="D27" s="2">
        <v>10</v>
      </c>
      <c r="E27" s="12">
        <v>-28.366666666666667</v>
      </c>
      <c r="F27" s="12">
        <v>28.95</v>
      </c>
      <c r="G27" s="2">
        <v>47</v>
      </c>
      <c r="H27" s="2">
        <v>1692</v>
      </c>
      <c r="I27" s="2">
        <v>352</v>
      </c>
      <c r="J27" s="17">
        <v>340.2</v>
      </c>
      <c r="K27" s="2">
        <v>500</v>
      </c>
      <c r="L27" s="2">
        <v>277</v>
      </c>
      <c r="M27" s="2">
        <v>54</v>
      </c>
      <c r="N27" s="2">
        <v>10</v>
      </c>
      <c r="O27" s="2">
        <v>180</v>
      </c>
      <c r="P27" s="4">
        <v>158</v>
      </c>
      <c r="Q27" s="17">
        <v>27</v>
      </c>
      <c r="R27" s="2">
        <v>491</v>
      </c>
      <c r="S27" s="2">
        <v>33</v>
      </c>
      <c r="U27" s="2" t="s">
        <v>1</v>
      </c>
    </row>
    <row r="28" spans="1:21" x14ac:dyDescent="0.2">
      <c r="A28" s="7">
        <f>DATE(91,7,28)</f>
        <v>33447</v>
      </c>
      <c r="B28" s="2">
        <v>620</v>
      </c>
      <c r="C28" s="2">
        <v>15</v>
      </c>
      <c r="D28" s="2">
        <v>7</v>
      </c>
      <c r="E28" s="12">
        <v>-29.765000000000001</v>
      </c>
      <c r="F28" s="12">
        <v>28.883333333333333</v>
      </c>
      <c r="G28" s="2">
        <v>50</v>
      </c>
      <c r="H28" s="2">
        <v>1690</v>
      </c>
      <c r="I28" s="2">
        <v>354</v>
      </c>
      <c r="J28" s="17">
        <v>341.8</v>
      </c>
      <c r="K28" s="2">
        <v>501</v>
      </c>
      <c r="L28" s="2">
        <v>277</v>
      </c>
      <c r="M28" s="2">
        <v>56</v>
      </c>
      <c r="O28" s="2">
        <v>188</v>
      </c>
      <c r="P28" s="4">
        <v>160</v>
      </c>
      <c r="Q28" s="17">
        <v>19.399999999999999</v>
      </c>
      <c r="R28" s="2">
        <v>501</v>
      </c>
      <c r="S28" s="2">
        <v>35</v>
      </c>
      <c r="U28" s="2" t="s">
        <v>1</v>
      </c>
    </row>
    <row r="29" spans="1:21" x14ac:dyDescent="0.2">
      <c r="A29" s="7">
        <f>DATE(91,7,28)</f>
        <v>33447</v>
      </c>
      <c r="B29" s="2">
        <v>1755</v>
      </c>
      <c r="C29" s="2">
        <v>16</v>
      </c>
      <c r="D29" s="2">
        <v>4</v>
      </c>
      <c r="E29" s="12">
        <v>-31.248333333333335</v>
      </c>
      <c r="F29" s="12">
        <v>30.925000000000001</v>
      </c>
      <c r="G29" s="2">
        <v>49</v>
      </c>
      <c r="H29" s="2">
        <v>1694</v>
      </c>
      <c r="I29" s="2">
        <v>354</v>
      </c>
      <c r="J29" s="17">
        <v>338.9</v>
      </c>
      <c r="K29" s="2">
        <v>497</v>
      </c>
      <c r="L29" s="2">
        <v>278</v>
      </c>
      <c r="M29" s="2">
        <v>54</v>
      </c>
      <c r="O29" s="2">
        <v>178</v>
      </c>
      <c r="P29" s="4">
        <v>160</v>
      </c>
      <c r="Q29" s="17">
        <v>17.3</v>
      </c>
      <c r="R29" s="2">
        <v>501</v>
      </c>
      <c r="S29" s="2">
        <v>33</v>
      </c>
      <c r="U29" s="2" t="s">
        <v>1</v>
      </c>
    </row>
    <row r="30" spans="1:21" x14ac:dyDescent="0.2">
      <c r="A30" s="7">
        <f>DATE(91,7,29)</f>
        <v>33448</v>
      </c>
      <c r="B30" s="2">
        <v>653</v>
      </c>
      <c r="C30" s="2">
        <v>16</v>
      </c>
      <c r="D30" s="2">
        <v>13</v>
      </c>
      <c r="E30" s="12">
        <v>-33.228333333333332</v>
      </c>
      <c r="F30" s="12">
        <v>31.99</v>
      </c>
      <c r="G30" s="2">
        <v>54</v>
      </c>
      <c r="H30" s="2">
        <v>1694</v>
      </c>
      <c r="I30" s="2">
        <v>354</v>
      </c>
      <c r="J30" s="2">
        <v>338.8</v>
      </c>
      <c r="K30" s="2">
        <v>507</v>
      </c>
      <c r="L30" s="2">
        <v>279</v>
      </c>
      <c r="M30" s="2">
        <v>54</v>
      </c>
      <c r="O30" s="2">
        <v>178</v>
      </c>
      <c r="P30" s="4">
        <v>158</v>
      </c>
      <c r="Q30" s="17">
        <v>25.7</v>
      </c>
      <c r="R30" s="2">
        <v>503</v>
      </c>
      <c r="S30" s="2">
        <v>37</v>
      </c>
      <c r="U30" s="2" t="s">
        <v>1</v>
      </c>
    </row>
    <row r="31" spans="1:21" x14ac:dyDescent="0.2">
      <c r="A31" s="7">
        <f>DATE(91,7,29)</f>
        <v>33448</v>
      </c>
      <c r="B31" s="2">
        <v>1651</v>
      </c>
      <c r="C31" s="2">
        <v>16</v>
      </c>
      <c r="D31" s="2">
        <v>20</v>
      </c>
      <c r="E31" s="12">
        <v>-34.846666666666664</v>
      </c>
      <c r="F31" s="12">
        <v>31.99</v>
      </c>
      <c r="G31" s="2">
        <v>65</v>
      </c>
      <c r="H31" s="2">
        <v>1694</v>
      </c>
      <c r="I31" s="2">
        <v>354</v>
      </c>
      <c r="J31" s="2">
        <v>335.2</v>
      </c>
      <c r="K31" s="2">
        <v>495</v>
      </c>
      <c r="L31" s="2">
        <v>279</v>
      </c>
      <c r="M31" s="2">
        <v>54</v>
      </c>
      <c r="O31" s="2">
        <v>178</v>
      </c>
      <c r="P31" s="2">
        <v>158</v>
      </c>
      <c r="Q31" s="17">
        <v>23.4</v>
      </c>
      <c r="R31" s="2">
        <v>498</v>
      </c>
      <c r="S31" s="2">
        <v>37</v>
      </c>
      <c r="U31" s="2" t="s">
        <v>1</v>
      </c>
    </row>
    <row r="32" spans="1:21" x14ac:dyDescent="0.2">
      <c r="A32" s="7">
        <f>DATE(91,7,30)</f>
        <v>33449</v>
      </c>
      <c r="B32" s="2">
        <v>1719</v>
      </c>
      <c r="C32" s="2">
        <v>15</v>
      </c>
      <c r="D32" s="2">
        <v>26</v>
      </c>
      <c r="E32" s="12">
        <v>-38.936666666666667</v>
      </c>
      <c r="F32" s="12">
        <v>31.98</v>
      </c>
      <c r="G32" s="2">
        <v>46</v>
      </c>
      <c r="H32" s="2">
        <v>1692</v>
      </c>
      <c r="I32" s="2">
        <v>353</v>
      </c>
      <c r="J32" s="2">
        <v>335.4</v>
      </c>
      <c r="K32" s="2">
        <v>494</v>
      </c>
      <c r="L32" s="2">
        <v>278</v>
      </c>
      <c r="M32" s="2">
        <v>54</v>
      </c>
      <c r="O32" s="2">
        <v>178</v>
      </c>
      <c r="P32" s="2">
        <v>159</v>
      </c>
      <c r="Q32" s="17">
        <v>16.7</v>
      </c>
      <c r="R32" s="2">
        <v>502</v>
      </c>
      <c r="S32" s="2">
        <v>32</v>
      </c>
      <c r="U32" s="2" t="s">
        <v>1</v>
      </c>
    </row>
    <row r="33" spans="1:21" x14ac:dyDescent="0.2">
      <c r="A33" s="7">
        <f>DATE(91,7,30)</f>
        <v>33449</v>
      </c>
      <c r="B33" s="2">
        <v>629</v>
      </c>
      <c r="C33" s="2">
        <v>15</v>
      </c>
      <c r="D33" s="2">
        <v>20</v>
      </c>
      <c r="E33" s="12">
        <v>-37.196666666666665</v>
      </c>
      <c r="F33" s="12">
        <v>32.00333333333333</v>
      </c>
      <c r="G33" s="2">
        <v>60</v>
      </c>
      <c r="H33" s="2">
        <v>1692</v>
      </c>
      <c r="I33" s="2">
        <v>353</v>
      </c>
      <c r="J33" s="2">
        <v>338.3</v>
      </c>
      <c r="K33" s="2">
        <v>498</v>
      </c>
      <c r="L33" s="2">
        <v>278</v>
      </c>
      <c r="M33" s="2">
        <v>58</v>
      </c>
      <c r="N33" s="2">
        <v>13</v>
      </c>
      <c r="O33" s="2">
        <v>177</v>
      </c>
      <c r="P33" s="2">
        <v>159</v>
      </c>
      <c r="Q33" s="17">
        <v>15.7</v>
      </c>
      <c r="R33" s="2">
        <v>501</v>
      </c>
      <c r="S33" s="2">
        <v>34</v>
      </c>
      <c r="U33" s="2" t="s">
        <v>1</v>
      </c>
    </row>
    <row r="34" spans="1:21" x14ac:dyDescent="0.2">
      <c r="A34" s="7">
        <f>DATE(91,7,31)</f>
        <v>33450</v>
      </c>
      <c r="B34" s="2">
        <v>1048</v>
      </c>
      <c r="C34" s="2">
        <v>13</v>
      </c>
      <c r="D34" s="2">
        <v>32</v>
      </c>
      <c r="E34" s="12">
        <v>-42</v>
      </c>
      <c r="F34" s="12">
        <v>32</v>
      </c>
      <c r="H34" s="2">
        <v>1702</v>
      </c>
      <c r="I34" s="2">
        <v>354</v>
      </c>
      <c r="J34" s="2">
        <v>335.9</v>
      </c>
      <c r="K34" s="2">
        <v>498</v>
      </c>
      <c r="L34" s="2">
        <v>284</v>
      </c>
      <c r="M34" s="2">
        <v>55</v>
      </c>
      <c r="O34" s="2">
        <v>188</v>
      </c>
      <c r="P34" s="2">
        <v>162</v>
      </c>
      <c r="Q34" s="17">
        <v>24.8</v>
      </c>
      <c r="R34" s="2">
        <v>500</v>
      </c>
      <c r="S34" s="2">
        <v>47</v>
      </c>
      <c r="U34" s="2" t="s">
        <v>1</v>
      </c>
    </row>
    <row r="35" spans="1:21" x14ac:dyDescent="0.2">
      <c r="A35" s="7">
        <f>DATE(91,8,1)</f>
        <v>33451</v>
      </c>
      <c r="B35" s="2">
        <v>718</v>
      </c>
      <c r="C35" s="2">
        <v>11</v>
      </c>
      <c r="D35" s="2">
        <v>12</v>
      </c>
      <c r="E35" s="12">
        <v>-41.468333333333334</v>
      </c>
      <c r="F35" s="12">
        <v>35.011666666666663</v>
      </c>
      <c r="G35" s="2">
        <v>60</v>
      </c>
      <c r="H35" s="2">
        <v>1701</v>
      </c>
      <c r="I35" s="2">
        <v>354</v>
      </c>
      <c r="J35" s="2">
        <v>339.3</v>
      </c>
      <c r="L35" s="2">
        <v>282</v>
      </c>
      <c r="M35" s="2">
        <v>55</v>
      </c>
      <c r="O35" s="2">
        <v>185</v>
      </c>
      <c r="P35" s="2">
        <v>165</v>
      </c>
      <c r="Q35" s="17">
        <v>18.600000000000001</v>
      </c>
      <c r="R35" s="2">
        <v>497</v>
      </c>
      <c r="S35" s="2">
        <v>32</v>
      </c>
      <c r="U35" s="2" t="s">
        <v>1</v>
      </c>
    </row>
    <row r="36" spans="1:21" x14ac:dyDescent="0.2">
      <c r="A36" s="7">
        <f>DATE(91,8,1)</f>
        <v>33451</v>
      </c>
      <c r="B36" s="2">
        <v>1723</v>
      </c>
      <c r="C36" s="2">
        <v>10</v>
      </c>
      <c r="D36" s="2">
        <v>14</v>
      </c>
      <c r="E36" s="12">
        <v>-41.05833333333333</v>
      </c>
      <c r="F36" s="12">
        <v>37.658333333333331</v>
      </c>
      <c r="G36" s="2">
        <v>56</v>
      </c>
      <c r="H36" s="2">
        <v>1698</v>
      </c>
      <c r="I36" s="2">
        <v>354</v>
      </c>
      <c r="J36" s="2">
        <v>341.3</v>
      </c>
      <c r="K36" s="2">
        <v>496</v>
      </c>
      <c r="L36" s="2">
        <v>281</v>
      </c>
      <c r="M36" s="2">
        <v>57</v>
      </c>
      <c r="N36" s="2">
        <v>19</v>
      </c>
      <c r="O36" s="2">
        <v>184</v>
      </c>
      <c r="P36" s="2">
        <v>164</v>
      </c>
      <c r="Q36" s="17">
        <v>14.5</v>
      </c>
      <c r="R36" s="2">
        <v>503</v>
      </c>
      <c r="S36" s="2">
        <v>31</v>
      </c>
      <c r="U36" s="2" t="s">
        <v>1</v>
      </c>
    </row>
    <row r="37" spans="1:21" x14ac:dyDescent="0.2">
      <c r="A37" s="7">
        <f>DATE(91,8,4)</f>
        <v>33454</v>
      </c>
      <c r="B37" s="2">
        <v>655</v>
      </c>
      <c r="C37" s="2">
        <v>11</v>
      </c>
      <c r="D37" s="2">
        <v>12</v>
      </c>
      <c r="E37" s="12">
        <v>-38.950000000000003</v>
      </c>
      <c r="F37" s="12">
        <v>48.583333333333336</v>
      </c>
      <c r="G37" s="2">
        <v>64</v>
      </c>
      <c r="H37" s="2">
        <v>1697</v>
      </c>
      <c r="I37" s="2">
        <v>354</v>
      </c>
      <c r="J37" s="2">
        <v>339.1</v>
      </c>
      <c r="K37" s="2">
        <v>498</v>
      </c>
      <c r="L37" s="2">
        <v>280</v>
      </c>
      <c r="M37" s="2">
        <v>55</v>
      </c>
      <c r="O37" s="2">
        <v>184</v>
      </c>
      <c r="P37" s="2">
        <v>165</v>
      </c>
      <c r="Q37" s="17">
        <v>32.299999999999997</v>
      </c>
      <c r="R37" s="2">
        <v>493</v>
      </c>
      <c r="S37" s="2">
        <v>34</v>
      </c>
      <c r="U37" s="2" t="s">
        <v>1</v>
      </c>
    </row>
    <row r="38" spans="1:21" x14ac:dyDescent="0.2">
      <c r="A38" s="7">
        <f>DATE(91,8,4)</f>
        <v>33454</v>
      </c>
      <c r="B38" s="2">
        <v>1713</v>
      </c>
      <c r="C38" s="2">
        <v>15</v>
      </c>
      <c r="D38" s="2">
        <v>22</v>
      </c>
      <c r="E38" s="12">
        <v>-37.68333333333333</v>
      </c>
      <c r="F38" s="12">
        <v>51.1</v>
      </c>
      <c r="G38" s="2">
        <v>56</v>
      </c>
      <c r="H38" s="2">
        <v>1698</v>
      </c>
      <c r="I38" s="2">
        <v>354</v>
      </c>
      <c r="J38" s="2">
        <v>341.2</v>
      </c>
      <c r="K38" s="2">
        <v>496</v>
      </c>
      <c r="L38" s="2">
        <v>280</v>
      </c>
      <c r="M38" s="2">
        <v>59</v>
      </c>
      <c r="O38" s="2">
        <v>184</v>
      </c>
      <c r="P38" s="2">
        <v>164</v>
      </c>
      <c r="Q38" s="17">
        <v>18.899999999999999</v>
      </c>
      <c r="R38" s="2">
        <v>488</v>
      </c>
      <c r="S38" s="2">
        <v>35</v>
      </c>
      <c r="U38" s="2" t="s">
        <v>1</v>
      </c>
    </row>
    <row r="39" spans="1:21" x14ac:dyDescent="0.2">
      <c r="A39" s="7">
        <f>DATE(91,8,5)</f>
        <v>33455</v>
      </c>
      <c r="B39" s="2">
        <v>659</v>
      </c>
      <c r="C39" s="2">
        <v>9</v>
      </c>
      <c r="D39" s="2">
        <v>5</v>
      </c>
      <c r="E39" s="12">
        <v>-35.898333333333333</v>
      </c>
      <c r="F39" s="12">
        <v>54.25</v>
      </c>
      <c r="G39" s="2">
        <v>71</v>
      </c>
      <c r="I39" s="2">
        <v>357</v>
      </c>
      <c r="J39" s="2">
        <v>333.1</v>
      </c>
      <c r="K39" s="2">
        <v>493</v>
      </c>
      <c r="L39" s="2">
        <v>280</v>
      </c>
      <c r="M39" s="2">
        <v>54</v>
      </c>
      <c r="N39" s="2">
        <v>14</v>
      </c>
      <c r="O39" s="2">
        <v>180</v>
      </c>
      <c r="P39" s="2">
        <v>160</v>
      </c>
      <c r="Q39" s="17">
        <v>21.5</v>
      </c>
      <c r="R39" s="2">
        <v>523</v>
      </c>
      <c r="S39" s="2">
        <v>56</v>
      </c>
      <c r="U39" s="2" t="s">
        <v>1</v>
      </c>
    </row>
    <row r="40" spans="1:21" x14ac:dyDescent="0.2">
      <c r="A40" s="7">
        <f>DATE(91,8,13)</f>
        <v>33463</v>
      </c>
      <c r="B40" s="2">
        <v>1807</v>
      </c>
      <c r="C40" s="2">
        <v>10</v>
      </c>
      <c r="D40" s="2">
        <v>4</v>
      </c>
      <c r="E40" s="12">
        <v>-35.06666666666667</v>
      </c>
      <c r="F40" s="12">
        <v>53.916666666666664</v>
      </c>
      <c r="G40" s="2">
        <v>49</v>
      </c>
      <c r="H40" s="2">
        <v>1693</v>
      </c>
      <c r="I40" s="2">
        <v>353</v>
      </c>
      <c r="J40" s="2">
        <v>339.8</v>
      </c>
      <c r="K40" s="2">
        <v>500</v>
      </c>
      <c r="L40" s="2">
        <v>278</v>
      </c>
      <c r="M40" s="2">
        <v>61</v>
      </c>
      <c r="N40" s="2">
        <v>10</v>
      </c>
      <c r="O40" s="2">
        <v>178</v>
      </c>
      <c r="P40" s="2">
        <v>159</v>
      </c>
      <c r="Q40" s="17">
        <v>13.2</v>
      </c>
      <c r="R40" s="2">
        <v>511</v>
      </c>
      <c r="S40" s="2">
        <v>48</v>
      </c>
      <c r="U40" s="2" t="s">
        <v>1</v>
      </c>
    </row>
    <row r="41" spans="1:21" x14ac:dyDescent="0.2">
      <c r="A41" s="7">
        <f>DATE(91,8,14)</f>
        <v>33464</v>
      </c>
      <c r="B41" s="2">
        <v>647</v>
      </c>
      <c r="C41" s="2">
        <v>13</v>
      </c>
      <c r="D41" s="2">
        <v>15</v>
      </c>
      <c r="E41" s="12">
        <v>-34.266666666666666</v>
      </c>
      <c r="F41" s="12">
        <v>52.733333333333334</v>
      </c>
      <c r="G41" s="2">
        <v>53</v>
      </c>
      <c r="H41" s="2">
        <v>1703</v>
      </c>
      <c r="I41" s="2">
        <v>353</v>
      </c>
      <c r="J41" s="2">
        <v>340.2</v>
      </c>
      <c r="K41" s="2">
        <v>498</v>
      </c>
      <c r="L41" s="2">
        <v>280</v>
      </c>
      <c r="M41" s="2">
        <v>54</v>
      </c>
      <c r="N41" s="2">
        <v>12</v>
      </c>
      <c r="O41" s="2">
        <v>178</v>
      </c>
      <c r="P41" s="2">
        <v>161</v>
      </c>
      <c r="Q41" s="17">
        <v>15.7</v>
      </c>
      <c r="R41" s="2">
        <v>501</v>
      </c>
      <c r="S41" s="2">
        <v>46</v>
      </c>
      <c r="U41" s="2" t="s">
        <v>1</v>
      </c>
    </row>
    <row r="42" spans="1:21" x14ac:dyDescent="0.2">
      <c r="A42" s="7">
        <f>DATE(91,8,14)</f>
        <v>33464</v>
      </c>
      <c r="B42" s="2">
        <v>1808</v>
      </c>
      <c r="C42" s="2">
        <v>20</v>
      </c>
      <c r="D42" s="2">
        <v>20</v>
      </c>
      <c r="E42" s="12">
        <v>-33.5</v>
      </c>
      <c r="F42" s="12">
        <v>50.5</v>
      </c>
      <c r="G42" s="2">
        <v>59</v>
      </c>
      <c r="H42" s="2">
        <v>1698</v>
      </c>
      <c r="I42" s="2">
        <v>354</v>
      </c>
      <c r="J42" s="2">
        <v>339.2</v>
      </c>
      <c r="K42" s="2">
        <v>499</v>
      </c>
      <c r="L42" s="2">
        <v>280</v>
      </c>
      <c r="M42" s="2">
        <v>55</v>
      </c>
      <c r="O42" s="2">
        <v>181</v>
      </c>
      <c r="P42" s="2">
        <v>162</v>
      </c>
      <c r="Q42" s="17">
        <v>18.3</v>
      </c>
      <c r="R42" s="2">
        <v>499</v>
      </c>
      <c r="S42" s="2">
        <v>43</v>
      </c>
      <c r="U42" s="2" t="s">
        <v>1</v>
      </c>
    </row>
    <row r="43" spans="1:21" x14ac:dyDescent="0.2">
      <c r="A43" s="7">
        <f>DATE(91,8,15)</f>
        <v>33465</v>
      </c>
      <c r="B43" s="2">
        <v>1718</v>
      </c>
      <c r="C43" s="2">
        <v>18</v>
      </c>
      <c r="D43" s="2">
        <v>27</v>
      </c>
      <c r="E43" s="12">
        <v>-31.416666666666668</v>
      </c>
      <c r="F43" s="12">
        <v>46.716666666666669</v>
      </c>
      <c r="G43" s="2">
        <v>53</v>
      </c>
      <c r="H43" s="2">
        <v>1697</v>
      </c>
      <c r="I43" s="2">
        <v>354</v>
      </c>
      <c r="J43" s="2">
        <v>339.5</v>
      </c>
      <c r="K43" s="2">
        <v>504</v>
      </c>
      <c r="L43" s="2">
        <v>278</v>
      </c>
      <c r="M43" s="2">
        <v>54</v>
      </c>
      <c r="N43" s="2">
        <v>16</v>
      </c>
      <c r="O43" s="2">
        <v>178</v>
      </c>
      <c r="P43" s="2">
        <v>156</v>
      </c>
      <c r="Q43" s="17">
        <v>38.4</v>
      </c>
      <c r="R43" s="2">
        <v>500</v>
      </c>
      <c r="S43" s="2">
        <v>37</v>
      </c>
      <c r="U43" s="2" t="s">
        <v>1</v>
      </c>
    </row>
    <row r="44" spans="1:21" x14ac:dyDescent="0.2">
      <c r="A44" s="7">
        <f>DATE(91,8,16)</f>
        <v>33466</v>
      </c>
      <c r="B44" s="2">
        <v>559</v>
      </c>
      <c r="C44" s="2">
        <v>18</v>
      </c>
      <c r="D44" s="2">
        <v>13</v>
      </c>
      <c r="E44" s="12">
        <v>-30.25</v>
      </c>
      <c r="F44" s="12">
        <v>43.633333333333333</v>
      </c>
      <c r="G44" s="2">
        <v>73</v>
      </c>
      <c r="H44" s="2">
        <v>1695</v>
      </c>
      <c r="I44" s="2">
        <v>354</v>
      </c>
      <c r="J44" s="2">
        <v>337.5</v>
      </c>
      <c r="K44" s="2">
        <v>497</v>
      </c>
      <c r="M44" s="2">
        <v>54</v>
      </c>
      <c r="N44" s="2">
        <v>16</v>
      </c>
      <c r="O44" s="2">
        <v>180</v>
      </c>
      <c r="P44" s="2">
        <v>160</v>
      </c>
      <c r="Q44" s="17">
        <v>24.7</v>
      </c>
      <c r="R44" s="2">
        <v>500</v>
      </c>
      <c r="S44" s="2">
        <v>39</v>
      </c>
      <c r="U44" s="2" t="s">
        <v>1</v>
      </c>
    </row>
    <row r="45" spans="1:21" x14ac:dyDescent="0.2">
      <c r="A45" s="7">
        <f>DATE(91,8,16)</f>
        <v>33466</v>
      </c>
      <c r="B45" s="2">
        <v>1650</v>
      </c>
      <c r="C45" s="2">
        <v>20</v>
      </c>
      <c r="D45" s="2">
        <v>15</v>
      </c>
      <c r="E45" s="12">
        <v>-29.05</v>
      </c>
      <c r="F45" s="12">
        <v>41.583333333333336</v>
      </c>
      <c r="G45" s="2">
        <v>56</v>
      </c>
      <c r="H45" s="2">
        <v>1693</v>
      </c>
      <c r="I45" s="2">
        <v>354</v>
      </c>
      <c r="J45" s="2">
        <v>340.2</v>
      </c>
      <c r="K45" s="2">
        <v>503</v>
      </c>
      <c r="L45" s="2">
        <v>278</v>
      </c>
      <c r="M45" s="2">
        <v>55</v>
      </c>
      <c r="O45" s="2">
        <v>183</v>
      </c>
      <c r="P45" s="2">
        <v>160</v>
      </c>
      <c r="Q45" s="17">
        <v>13.3</v>
      </c>
      <c r="R45" s="2">
        <v>498</v>
      </c>
      <c r="S45" s="2">
        <v>37</v>
      </c>
      <c r="U45" s="2" t="s">
        <v>1</v>
      </c>
    </row>
    <row r="46" spans="1:21" x14ac:dyDescent="0.2">
      <c r="A46" s="7">
        <f>DATE(91,8,17)</f>
        <v>33467</v>
      </c>
      <c r="B46" s="2">
        <v>550</v>
      </c>
      <c r="C46" s="2">
        <v>20</v>
      </c>
      <c r="D46" s="2">
        <v>15</v>
      </c>
      <c r="E46" s="12">
        <v>-27.416666666666668</v>
      </c>
      <c r="F46" s="12">
        <v>38.733333333333334</v>
      </c>
      <c r="H46" s="2">
        <v>1698</v>
      </c>
      <c r="I46" s="2">
        <v>355</v>
      </c>
      <c r="J46" s="2">
        <v>339.2</v>
      </c>
      <c r="K46" s="2">
        <v>500</v>
      </c>
      <c r="L46" s="2">
        <v>282</v>
      </c>
      <c r="M46" s="2">
        <v>55</v>
      </c>
      <c r="N46" s="2">
        <v>7</v>
      </c>
      <c r="O46" s="2">
        <v>185</v>
      </c>
      <c r="P46" s="2">
        <v>163</v>
      </c>
      <c r="Q46" s="17">
        <v>23.9</v>
      </c>
      <c r="R46" s="2">
        <v>500</v>
      </c>
      <c r="S46" s="2">
        <v>36</v>
      </c>
      <c r="U46" s="2" t="s">
        <v>1</v>
      </c>
    </row>
    <row r="47" spans="1:21" x14ac:dyDescent="0.2">
      <c r="A47" s="7">
        <f>DATE(91,8,17)</f>
        <v>33467</v>
      </c>
      <c r="B47" s="2">
        <v>1654</v>
      </c>
      <c r="C47" s="2">
        <v>22</v>
      </c>
      <c r="D47" s="2">
        <v>13</v>
      </c>
      <c r="E47" s="12">
        <v>-26.016666666666666</v>
      </c>
      <c r="F47" s="12">
        <v>36.4</v>
      </c>
      <c r="G47" s="2">
        <v>75</v>
      </c>
      <c r="J47" s="2">
        <v>339.1</v>
      </c>
      <c r="K47" s="2">
        <v>494</v>
      </c>
      <c r="M47" s="2">
        <v>50</v>
      </c>
      <c r="O47" s="2">
        <v>176</v>
      </c>
      <c r="P47" s="2">
        <v>157</v>
      </c>
      <c r="Q47" s="17">
        <v>85.7</v>
      </c>
      <c r="S47" s="2">
        <v>55</v>
      </c>
      <c r="U47" s="2" t="s">
        <v>1</v>
      </c>
    </row>
    <row r="48" spans="1:21" x14ac:dyDescent="0.2">
      <c r="A48" s="7">
        <f>DATE(91,8,18)</f>
        <v>33468</v>
      </c>
      <c r="B48" s="2">
        <v>1704</v>
      </c>
      <c r="C48" s="2">
        <v>22</v>
      </c>
      <c r="D48" s="2">
        <v>27</v>
      </c>
      <c r="E48" s="12">
        <v>-23.716666666666665</v>
      </c>
      <c r="F48" s="12">
        <v>32.416666666666664</v>
      </c>
      <c r="G48" s="2">
        <v>59</v>
      </c>
      <c r="H48" s="2">
        <v>1693</v>
      </c>
      <c r="J48" s="2">
        <v>338.4</v>
      </c>
      <c r="K48" s="2">
        <v>494</v>
      </c>
      <c r="L48" s="2">
        <v>275</v>
      </c>
      <c r="M48" s="2">
        <v>54</v>
      </c>
      <c r="N48" s="2">
        <v>14</v>
      </c>
      <c r="O48" s="2">
        <v>180</v>
      </c>
      <c r="P48" s="2">
        <v>158</v>
      </c>
      <c r="Q48" s="17">
        <v>25.6</v>
      </c>
      <c r="R48" s="2">
        <v>494</v>
      </c>
      <c r="S48" s="2">
        <v>35</v>
      </c>
    </row>
    <row r="49" spans="1:19" x14ac:dyDescent="0.2">
      <c r="A49" s="7">
        <f>DATE(91,8,19)</f>
        <v>33469</v>
      </c>
      <c r="B49" s="2">
        <v>1717</v>
      </c>
      <c r="C49" s="2">
        <v>22</v>
      </c>
      <c r="D49" s="2">
        <v>25</v>
      </c>
      <c r="E49" s="12">
        <v>-20.9</v>
      </c>
      <c r="F49" s="12">
        <v>28.083333333333332</v>
      </c>
      <c r="G49" s="2">
        <v>49</v>
      </c>
      <c r="H49" s="2">
        <v>1695</v>
      </c>
      <c r="I49" s="2">
        <v>353</v>
      </c>
      <c r="J49" s="17">
        <v>339</v>
      </c>
      <c r="K49" s="2">
        <v>502</v>
      </c>
      <c r="M49" s="2">
        <v>55</v>
      </c>
      <c r="N49" s="2">
        <v>11</v>
      </c>
      <c r="O49" s="2">
        <v>184</v>
      </c>
      <c r="P49" s="2">
        <v>162</v>
      </c>
      <c r="Q49" s="17">
        <v>34.1</v>
      </c>
      <c r="R49" s="2">
        <v>514</v>
      </c>
      <c r="S49" s="2">
        <v>35</v>
      </c>
    </row>
    <row r="50" spans="1:19" x14ac:dyDescent="0.2">
      <c r="A50" s="7">
        <f>DATE(91,8,19)</f>
        <v>33469</v>
      </c>
      <c r="B50" s="2">
        <v>616</v>
      </c>
      <c r="C50" s="2">
        <v>22</v>
      </c>
      <c r="D50" s="2">
        <v>26</v>
      </c>
      <c r="E50" s="12">
        <v>-22.2</v>
      </c>
      <c r="F50" s="12">
        <v>30.166666666666668</v>
      </c>
      <c r="G50" s="2">
        <v>55</v>
      </c>
      <c r="H50" s="2">
        <v>1697</v>
      </c>
      <c r="I50" s="2">
        <v>353</v>
      </c>
      <c r="J50" s="2">
        <v>340.2</v>
      </c>
      <c r="K50" s="2">
        <v>501</v>
      </c>
      <c r="M50" s="2">
        <v>54</v>
      </c>
      <c r="O50" s="2">
        <v>178</v>
      </c>
      <c r="P50" s="2">
        <v>158</v>
      </c>
      <c r="Q50" s="17">
        <v>24.7</v>
      </c>
      <c r="R50" s="2">
        <v>504</v>
      </c>
      <c r="S50" s="2">
        <v>35</v>
      </c>
    </row>
    <row r="51" spans="1:19" x14ac:dyDescent="0.2">
      <c r="A51" s="7">
        <f>DATE(91,8,20)</f>
        <v>33470</v>
      </c>
      <c r="B51" s="2">
        <v>548</v>
      </c>
      <c r="C51" s="2">
        <v>21</v>
      </c>
      <c r="D51" s="2">
        <v>26</v>
      </c>
      <c r="E51" s="12">
        <v>-19.383333333333333</v>
      </c>
      <c r="F51" s="12">
        <v>25.566666666666666</v>
      </c>
      <c r="G51" s="2">
        <v>52</v>
      </c>
      <c r="H51" s="2">
        <v>1696</v>
      </c>
      <c r="I51" s="2">
        <v>352</v>
      </c>
      <c r="J51" s="2">
        <v>338.4</v>
      </c>
      <c r="K51" s="2">
        <v>501</v>
      </c>
      <c r="L51" s="2">
        <v>279</v>
      </c>
      <c r="M51" s="2">
        <v>55</v>
      </c>
      <c r="O51" s="2">
        <v>179</v>
      </c>
      <c r="P51" s="2">
        <v>159</v>
      </c>
      <c r="Q51" s="17">
        <v>28.6</v>
      </c>
      <c r="R51" s="2">
        <v>493</v>
      </c>
      <c r="S51" s="2">
        <v>36</v>
      </c>
    </row>
    <row r="52" spans="1:19" x14ac:dyDescent="0.2">
      <c r="A52" s="7">
        <f>DATE(91,8,20)</f>
        <v>33470</v>
      </c>
      <c r="B52" s="2">
        <v>1746</v>
      </c>
      <c r="C52" s="2">
        <v>19</v>
      </c>
      <c r="D52" s="2">
        <v>22</v>
      </c>
      <c r="E52" s="12">
        <v>-18.350000000000001</v>
      </c>
      <c r="F52" s="12">
        <v>24.166666666666668</v>
      </c>
      <c r="G52" s="2">
        <v>53</v>
      </c>
      <c r="H52" s="2">
        <v>1697</v>
      </c>
      <c r="I52" s="2">
        <v>352</v>
      </c>
      <c r="J52" s="2">
        <v>338.7</v>
      </c>
      <c r="K52" s="2">
        <v>501</v>
      </c>
      <c r="L52" s="2">
        <v>288</v>
      </c>
      <c r="M52" s="2">
        <v>56</v>
      </c>
      <c r="O52" s="2">
        <v>184</v>
      </c>
      <c r="P52" s="2">
        <v>163</v>
      </c>
      <c r="Q52" s="17">
        <v>27.4</v>
      </c>
      <c r="R52" s="2">
        <v>498</v>
      </c>
      <c r="S52" s="2">
        <v>37</v>
      </c>
    </row>
    <row r="53" spans="1:19" x14ac:dyDescent="0.2">
      <c r="A53" s="7">
        <f>DATE(91,8,21)</f>
        <v>33471</v>
      </c>
      <c r="B53" s="2">
        <v>526</v>
      </c>
      <c r="C53" s="2">
        <v>25</v>
      </c>
      <c r="D53" s="2">
        <v>25</v>
      </c>
      <c r="E53" s="12">
        <v>-16.600000000000001</v>
      </c>
      <c r="F53" s="12">
        <v>22.033333333333335</v>
      </c>
      <c r="G53" s="2">
        <v>60</v>
      </c>
      <c r="H53" s="2">
        <v>1702</v>
      </c>
      <c r="I53" s="2">
        <v>353</v>
      </c>
      <c r="J53" s="2">
        <v>339.4</v>
      </c>
      <c r="K53" s="2">
        <v>512</v>
      </c>
      <c r="M53" s="2">
        <v>57</v>
      </c>
      <c r="N53" s="2">
        <v>10</v>
      </c>
      <c r="O53" s="2">
        <v>184</v>
      </c>
      <c r="P53" s="2">
        <v>163</v>
      </c>
      <c r="Q53" s="17">
        <v>31.2</v>
      </c>
      <c r="R53" s="2">
        <v>498</v>
      </c>
      <c r="S53" s="2">
        <v>44</v>
      </c>
    </row>
    <row r="54" spans="1:19" x14ac:dyDescent="0.2">
      <c r="A54" s="7">
        <f>DATE(91,8,21)</f>
        <v>33471</v>
      </c>
      <c r="B54" s="2">
        <v>1649</v>
      </c>
      <c r="C54" s="2">
        <v>21</v>
      </c>
      <c r="D54" s="2">
        <v>21</v>
      </c>
      <c r="E54" s="12">
        <v>-15.016666666666667</v>
      </c>
      <c r="F54" s="12">
        <v>20.083333333333332</v>
      </c>
      <c r="H54" s="2">
        <v>1695</v>
      </c>
      <c r="I54" s="2">
        <v>353</v>
      </c>
      <c r="J54" s="2">
        <v>338.8</v>
      </c>
      <c r="K54" s="2">
        <v>502</v>
      </c>
      <c r="L54" s="2">
        <v>280</v>
      </c>
      <c r="M54" s="2">
        <v>54</v>
      </c>
      <c r="O54" s="2">
        <v>177</v>
      </c>
      <c r="P54" s="2">
        <v>160</v>
      </c>
      <c r="Q54" s="17">
        <v>43.4</v>
      </c>
      <c r="R54" s="2">
        <v>500</v>
      </c>
      <c r="S54" s="2">
        <v>36</v>
      </c>
    </row>
    <row r="55" spans="1:19" x14ac:dyDescent="0.2">
      <c r="A55" s="7">
        <f>DATE(91,8,22)</f>
        <v>33472</v>
      </c>
      <c r="B55" s="2">
        <v>1739</v>
      </c>
      <c r="C55" s="2">
        <v>21</v>
      </c>
      <c r="D55" s="2">
        <v>26</v>
      </c>
      <c r="E55" s="12">
        <v>-11.783333333333333</v>
      </c>
      <c r="F55" s="12">
        <v>16.166666666666668</v>
      </c>
      <c r="G55" s="2">
        <v>53</v>
      </c>
      <c r="H55" s="2">
        <v>1695</v>
      </c>
      <c r="I55" s="2">
        <v>355</v>
      </c>
      <c r="J55" s="2">
        <v>340.4</v>
      </c>
      <c r="K55" s="2">
        <v>505</v>
      </c>
      <c r="L55" s="2">
        <v>280</v>
      </c>
      <c r="M55" s="2">
        <v>54</v>
      </c>
      <c r="O55" s="2">
        <v>182</v>
      </c>
      <c r="P55" s="2">
        <v>159</v>
      </c>
      <c r="Q55" s="2">
        <v>28.3</v>
      </c>
      <c r="R55" s="2">
        <v>506</v>
      </c>
      <c r="S55" s="2">
        <v>38</v>
      </c>
    </row>
    <row r="56" spans="1:19" x14ac:dyDescent="0.2">
      <c r="A56" s="7">
        <f>DATE(91,8,23)</f>
        <v>33473</v>
      </c>
      <c r="B56" s="2">
        <v>1306</v>
      </c>
      <c r="C56" s="2">
        <v>26</v>
      </c>
      <c r="D56" s="2">
        <v>20</v>
      </c>
      <c r="E56" s="12">
        <v>-8.9333333333333336</v>
      </c>
      <c r="F56" s="12">
        <v>12.7</v>
      </c>
      <c r="G56" s="2">
        <v>84</v>
      </c>
      <c r="H56" s="2">
        <v>1696</v>
      </c>
      <c r="I56" s="2">
        <v>354</v>
      </c>
      <c r="J56" s="17">
        <v>341.2</v>
      </c>
      <c r="K56" s="2">
        <v>502</v>
      </c>
      <c r="L56" s="2">
        <v>277</v>
      </c>
      <c r="M56" s="2">
        <v>54</v>
      </c>
      <c r="O56" s="2">
        <v>181</v>
      </c>
      <c r="P56" s="2">
        <v>158</v>
      </c>
      <c r="Q56" s="17">
        <v>25</v>
      </c>
      <c r="R56" s="2">
        <v>499</v>
      </c>
      <c r="S56" s="2">
        <v>60</v>
      </c>
    </row>
    <row r="57" spans="1:19" x14ac:dyDescent="0.2">
      <c r="A57" s="7">
        <f>DATE(91,8,23)</f>
        <v>33473</v>
      </c>
      <c r="B57" s="2">
        <v>1730</v>
      </c>
      <c r="C57" s="2">
        <v>24</v>
      </c>
      <c r="D57" s="2">
        <v>18</v>
      </c>
      <c r="E57" s="12">
        <v>-8.3166666666666664</v>
      </c>
      <c r="F57" s="12">
        <v>11.966666666666667</v>
      </c>
      <c r="G57" s="2">
        <v>54</v>
      </c>
      <c r="H57" s="2">
        <v>1701</v>
      </c>
      <c r="I57" s="2">
        <v>352</v>
      </c>
      <c r="J57" s="17">
        <v>339.1</v>
      </c>
      <c r="K57" s="2">
        <v>502</v>
      </c>
      <c r="L57" s="2">
        <v>287</v>
      </c>
      <c r="M57" s="2">
        <v>57</v>
      </c>
      <c r="O57" s="2">
        <v>188</v>
      </c>
      <c r="P57" s="2">
        <v>166</v>
      </c>
      <c r="Q57" s="2">
        <v>31.5</v>
      </c>
      <c r="R57" s="2">
        <v>505</v>
      </c>
      <c r="S57" s="2">
        <v>40</v>
      </c>
    </row>
    <row r="58" spans="1:19" x14ac:dyDescent="0.2">
      <c r="A58" s="7">
        <f>DATE(91,8,23)</f>
        <v>33473</v>
      </c>
      <c r="B58" s="2">
        <v>559</v>
      </c>
      <c r="C58" s="2">
        <v>22</v>
      </c>
      <c r="D58" s="2">
        <v>19</v>
      </c>
      <c r="E58" s="12">
        <v>-9.9833333333333325</v>
      </c>
      <c r="F58" s="12">
        <v>13.933333333333334</v>
      </c>
      <c r="G58" s="2">
        <v>51</v>
      </c>
      <c r="H58" s="2">
        <v>1696</v>
      </c>
      <c r="I58" s="2">
        <v>354</v>
      </c>
      <c r="J58" s="17">
        <v>339</v>
      </c>
      <c r="K58" s="2">
        <v>498</v>
      </c>
      <c r="L58" s="2">
        <v>278</v>
      </c>
      <c r="M58" s="2">
        <v>56</v>
      </c>
      <c r="N58" s="2">
        <v>11</v>
      </c>
      <c r="O58" s="2">
        <v>183</v>
      </c>
      <c r="P58" s="2">
        <v>159</v>
      </c>
      <c r="Q58" s="2">
        <v>27.3</v>
      </c>
      <c r="R58" s="2">
        <v>499</v>
      </c>
      <c r="S58" s="2">
        <v>32</v>
      </c>
    </row>
    <row r="59" spans="1:19" x14ac:dyDescent="0.2">
      <c r="A59" s="7">
        <f>DATE(91,8,24)</f>
        <v>33474</v>
      </c>
      <c r="B59" s="2">
        <v>1139</v>
      </c>
      <c r="C59" s="2">
        <v>27</v>
      </c>
      <c r="D59" s="2">
        <v>15</v>
      </c>
      <c r="E59" s="12">
        <v>-5.8</v>
      </c>
      <c r="F59" s="12">
        <v>8.9666666666666668</v>
      </c>
      <c r="G59" s="2">
        <v>108</v>
      </c>
      <c r="H59" s="2">
        <v>1703</v>
      </c>
      <c r="I59" s="2">
        <v>354</v>
      </c>
      <c r="J59" s="17">
        <v>339.2</v>
      </c>
      <c r="K59" s="2">
        <v>498</v>
      </c>
      <c r="L59" s="2">
        <v>279</v>
      </c>
      <c r="M59" s="2">
        <v>54</v>
      </c>
      <c r="O59" s="2">
        <v>187</v>
      </c>
      <c r="P59" s="2">
        <v>158</v>
      </c>
      <c r="Q59" s="17">
        <v>30.4</v>
      </c>
      <c r="R59" s="2">
        <v>510</v>
      </c>
      <c r="S59" s="2">
        <v>84</v>
      </c>
    </row>
    <row r="60" spans="1:19" x14ac:dyDescent="0.2">
      <c r="A60" s="7">
        <f>DATE(91,8,24)</f>
        <v>33474</v>
      </c>
      <c r="B60" s="2">
        <v>1719</v>
      </c>
      <c r="C60" s="2">
        <v>24</v>
      </c>
      <c r="D60" s="2">
        <v>14</v>
      </c>
      <c r="E60" s="12">
        <v>-4.95</v>
      </c>
      <c r="F60" s="12">
        <v>8.0166666666666675</v>
      </c>
      <c r="G60" s="2">
        <v>102</v>
      </c>
      <c r="I60" s="2">
        <v>352</v>
      </c>
      <c r="J60" s="17">
        <v>342.4</v>
      </c>
      <c r="K60" s="2">
        <v>506</v>
      </c>
      <c r="M60" s="2">
        <v>56</v>
      </c>
      <c r="N60" s="2">
        <v>12</v>
      </c>
      <c r="O60" s="2">
        <v>183</v>
      </c>
      <c r="P60" s="2">
        <v>160</v>
      </c>
      <c r="Q60" s="17">
        <v>34.799999999999997</v>
      </c>
      <c r="S60" s="2">
        <v>78</v>
      </c>
    </row>
    <row r="61" spans="1:19" x14ac:dyDescent="0.2">
      <c r="A61" s="7">
        <f>DATE(91,8,24)</f>
        <v>33474</v>
      </c>
      <c r="B61" s="2">
        <v>9</v>
      </c>
      <c r="C61" s="2">
        <v>24</v>
      </c>
      <c r="D61" s="2">
        <v>28</v>
      </c>
      <c r="E61" s="12">
        <v>-7.25</v>
      </c>
      <c r="F61" s="12">
        <v>10.783333333333333</v>
      </c>
      <c r="G61" s="2">
        <v>61</v>
      </c>
      <c r="H61" s="2">
        <v>1703</v>
      </c>
      <c r="I61" s="2">
        <v>353</v>
      </c>
      <c r="J61" s="17">
        <v>339.8</v>
      </c>
      <c r="K61" s="2">
        <v>508</v>
      </c>
      <c r="L61" s="2">
        <v>284</v>
      </c>
      <c r="M61" s="2">
        <v>57</v>
      </c>
      <c r="O61" s="2">
        <v>188</v>
      </c>
      <c r="P61" s="2">
        <v>165</v>
      </c>
      <c r="Q61" s="17">
        <v>17.8</v>
      </c>
      <c r="R61" s="2">
        <v>515</v>
      </c>
      <c r="S61" s="2">
        <v>42</v>
      </c>
    </row>
    <row r="62" spans="1:19" x14ac:dyDescent="0.2">
      <c r="A62" s="7">
        <f>DATE(91,8,24)</f>
        <v>33474</v>
      </c>
      <c r="B62" s="2">
        <v>541</v>
      </c>
      <c r="C62" s="2">
        <v>23</v>
      </c>
      <c r="D62" s="2">
        <v>20</v>
      </c>
      <c r="E62" s="12">
        <v>-6.5</v>
      </c>
      <c r="F62" s="12">
        <v>9.7833333333333332</v>
      </c>
      <c r="G62" s="2">
        <v>67</v>
      </c>
      <c r="H62" s="2">
        <v>1707</v>
      </c>
      <c r="I62" s="2">
        <v>354</v>
      </c>
      <c r="J62" s="17">
        <v>338.7</v>
      </c>
      <c r="K62" s="2">
        <v>499</v>
      </c>
      <c r="L62" s="2">
        <v>283</v>
      </c>
      <c r="M62" s="2">
        <v>56</v>
      </c>
      <c r="O62" s="2">
        <v>187</v>
      </c>
      <c r="P62" s="2">
        <v>164</v>
      </c>
      <c r="Q62" s="17">
        <v>23.8</v>
      </c>
      <c r="R62" s="2">
        <v>507</v>
      </c>
      <c r="S62" s="2">
        <v>47</v>
      </c>
    </row>
    <row r="63" spans="1:19" x14ac:dyDescent="0.2">
      <c r="A63" s="7">
        <f>DATE(91,8,25)</f>
        <v>33475</v>
      </c>
      <c r="B63" s="2">
        <v>625</v>
      </c>
      <c r="C63" s="2">
        <v>22</v>
      </c>
      <c r="D63" s="2">
        <v>12</v>
      </c>
      <c r="E63" s="12">
        <v>-3.2</v>
      </c>
      <c r="F63" s="12">
        <v>5.8833333333333337</v>
      </c>
      <c r="G63" s="2">
        <v>80</v>
      </c>
      <c r="H63" s="2">
        <v>1698</v>
      </c>
      <c r="I63" s="2">
        <v>352</v>
      </c>
      <c r="J63" s="17">
        <v>340.9</v>
      </c>
      <c r="K63" s="2">
        <v>506</v>
      </c>
      <c r="L63" s="2">
        <v>280</v>
      </c>
      <c r="M63" s="2">
        <v>56</v>
      </c>
      <c r="O63" s="2">
        <v>182</v>
      </c>
      <c r="P63" s="2">
        <v>160</v>
      </c>
      <c r="Q63" s="17">
        <v>31.4</v>
      </c>
      <c r="R63" s="2">
        <v>506</v>
      </c>
      <c r="S63" s="2">
        <v>59</v>
      </c>
    </row>
    <row r="64" spans="1:19" x14ac:dyDescent="0.2">
      <c r="A64" s="7">
        <f>DATE(91,8,25)</f>
        <v>33475</v>
      </c>
      <c r="B64" s="2">
        <v>37</v>
      </c>
      <c r="C64" s="2">
        <v>23</v>
      </c>
      <c r="D64" s="2">
        <v>20</v>
      </c>
      <c r="E64" s="12">
        <v>-4.0333333333333332</v>
      </c>
      <c r="F64" s="12">
        <v>6.916666666666667</v>
      </c>
      <c r="G64" s="2">
        <v>48</v>
      </c>
      <c r="H64" s="2">
        <v>1697</v>
      </c>
      <c r="I64" s="2">
        <v>352</v>
      </c>
      <c r="J64" s="17">
        <v>339.5</v>
      </c>
      <c r="K64" s="2">
        <v>509</v>
      </c>
      <c r="L64" s="2">
        <v>279</v>
      </c>
      <c r="M64" s="2">
        <v>54</v>
      </c>
      <c r="O64" s="2">
        <v>180</v>
      </c>
      <c r="P64" s="2">
        <v>159</v>
      </c>
      <c r="Q64" s="17">
        <v>31.2</v>
      </c>
      <c r="R64" s="2">
        <v>512</v>
      </c>
      <c r="S64" s="2">
        <v>59</v>
      </c>
    </row>
    <row r="65" spans="1:19" x14ac:dyDescent="0.2">
      <c r="A65" s="7">
        <f>DATE(91,8,25)</f>
        <v>33475</v>
      </c>
      <c r="B65" s="2">
        <v>1149</v>
      </c>
      <c r="C65" s="2">
        <v>22</v>
      </c>
      <c r="D65" s="2">
        <v>11</v>
      </c>
      <c r="E65" s="12">
        <v>-2.3666666666666667</v>
      </c>
      <c r="F65" s="12">
        <v>4.9000000000000004</v>
      </c>
      <c r="G65" s="2">
        <v>100</v>
      </c>
      <c r="H65" s="2">
        <v>1703</v>
      </c>
      <c r="I65" s="2">
        <v>354</v>
      </c>
      <c r="J65" s="17">
        <v>341.8</v>
      </c>
      <c r="K65" s="2">
        <v>504</v>
      </c>
      <c r="L65" s="2">
        <v>282</v>
      </c>
      <c r="M65" s="2">
        <v>56</v>
      </c>
      <c r="O65" s="2">
        <v>187</v>
      </c>
      <c r="P65" s="2">
        <v>164</v>
      </c>
      <c r="Q65" s="2">
        <v>21.5</v>
      </c>
      <c r="R65" s="2">
        <v>516</v>
      </c>
      <c r="S65" s="2">
        <v>80</v>
      </c>
    </row>
    <row r="66" spans="1:19" x14ac:dyDescent="0.2">
      <c r="A66" s="7">
        <f>DATE(91,8,25)</f>
        <v>33475</v>
      </c>
      <c r="B66" s="2">
        <v>1812</v>
      </c>
      <c r="C66" s="2">
        <v>23</v>
      </c>
      <c r="D66" s="2">
        <v>10</v>
      </c>
      <c r="E66" s="12">
        <v>-2</v>
      </c>
      <c r="F66" s="12">
        <v>4.5</v>
      </c>
      <c r="G66" s="2">
        <v>81</v>
      </c>
      <c r="H66" s="2">
        <v>1703</v>
      </c>
      <c r="I66" s="2">
        <v>355</v>
      </c>
      <c r="J66" s="17">
        <v>339.5</v>
      </c>
      <c r="K66" s="2">
        <v>504</v>
      </c>
      <c r="L66" s="2">
        <v>285</v>
      </c>
      <c r="M66" s="2">
        <v>54</v>
      </c>
      <c r="N66" s="2">
        <v>11</v>
      </c>
      <c r="O66" s="2">
        <v>184</v>
      </c>
      <c r="P66" s="2">
        <v>159</v>
      </c>
      <c r="Q66" s="2">
        <v>18.5</v>
      </c>
      <c r="R66" s="2">
        <v>518</v>
      </c>
      <c r="S66" s="2">
        <v>59</v>
      </c>
    </row>
    <row r="67" spans="1:19" x14ac:dyDescent="0.2">
      <c r="A67" s="7">
        <f>DATE(91,8,26)</f>
        <v>33476</v>
      </c>
      <c r="B67" s="2">
        <v>623</v>
      </c>
      <c r="C67" s="2">
        <v>22</v>
      </c>
      <c r="D67" s="2">
        <v>8</v>
      </c>
      <c r="E67" s="12">
        <v>-1.9833333333333334</v>
      </c>
      <c r="F67" s="12">
        <v>4.5666666666666664</v>
      </c>
      <c r="G67" s="2">
        <v>72</v>
      </c>
      <c r="H67" s="2">
        <v>1704</v>
      </c>
      <c r="I67" s="2">
        <v>354</v>
      </c>
      <c r="J67" s="17">
        <v>340.4</v>
      </c>
      <c r="K67" s="2">
        <v>507</v>
      </c>
      <c r="L67" s="2">
        <v>280</v>
      </c>
      <c r="M67" s="2">
        <v>54</v>
      </c>
      <c r="O67" s="2">
        <v>183</v>
      </c>
      <c r="P67" s="2">
        <v>161</v>
      </c>
      <c r="Q67" s="2">
        <v>31.5</v>
      </c>
      <c r="R67" s="2">
        <v>516</v>
      </c>
      <c r="S67" s="2">
        <v>57</v>
      </c>
    </row>
    <row r="68" spans="1:19" x14ac:dyDescent="0.2">
      <c r="A68" s="7">
        <f>DATE(91,8,26)</f>
        <v>33476</v>
      </c>
      <c r="B68" s="2">
        <v>1152</v>
      </c>
      <c r="C68" s="2">
        <v>24</v>
      </c>
      <c r="D68" s="2">
        <v>4</v>
      </c>
      <c r="E68" s="12">
        <v>-2</v>
      </c>
      <c r="F68" s="12">
        <v>4.5166666666666666</v>
      </c>
      <c r="G68" s="2">
        <v>111</v>
      </c>
      <c r="H68" s="2">
        <v>1714</v>
      </c>
      <c r="I68" s="2">
        <v>352</v>
      </c>
      <c r="J68" s="17">
        <v>340.3</v>
      </c>
      <c r="K68" s="2">
        <v>501</v>
      </c>
      <c r="L68" s="2">
        <v>279</v>
      </c>
      <c r="M68" s="2">
        <v>54</v>
      </c>
      <c r="O68" s="2">
        <v>183</v>
      </c>
      <c r="P68" s="2">
        <v>160</v>
      </c>
      <c r="Q68" s="2">
        <v>30.3</v>
      </c>
      <c r="S68" s="2">
        <v>90</v>
      </c>
    </row>
    <row r="69" spans="1:19" x14ac:dyDescent="0.2">
      <c r="A69" s="7">
        <f>DATE(91,8,26)</f>
        <v>33476</v>
      </c>
      <c r="B69" s="2">
        <v>0</v>
      </c>
      <c r="C69" s="2">
        <v>22</v>
      </c>
      <c r="D69" s="2">
        <v>5</v>
      </c>
      <c r="E69" s="12">
        <v>-2.0333333333333332</v>
      </c>
      <c r="F69" s="12">
        <v>4.4833333333333334</v>
      </c>
      <c r="G69" s="2">
        <v>79</v>
      </c>
      <c r="H69" s="2">
        <v>1698</v>
      </c>
      <c r="I69" s="2">
        <v>355</v>
      </c>
      <c r="J69" s="17">
        <v>339.5</v>
      </c>
      <c r="K69" s="2">
        <v>501</v>
      </c>
      <c r="L69" s="2">
        <v>279</v>
      </c>
      <c r="M69" s="2">
        <v>54</v>
      </c>
      <c r="O69" s="2">
        <v>183</v>
      </c>
      <c r="P69" s="2">
        <v>160</v>
      </c>
      <c r="Q69" s="2">
        <v>20.5</v>
      </c>
      <c r="R69" s="2">
        <v>511</v>
      </c>
      <c r="S69" s="2">
        <v>57</v>
      </c>
    </row>
    <row r="70" spans="1:19" x14ac:dyDescent="0.2">
      <c r="A70" s="7">
        <f>DATE(91,8,26)</f>
        <v>33476</v>
      </c>
      <c r="B70" s="2">
        <v>1810</v>
      </c>
      <c r="C70" s="2">
        <v>23</v>
      </c>
      <c r="D70" s="2">
        <v>6</v>
      </c>
      <c r="E70" s="12">
        <v>-1.7666666666666666</v>
      </c>
      <c r="F70" s="12">
        <v>4.9333333333333336</v>
      </c>
      <c r="H70" s="2">
        <v>1707</v>
      </c>
      <c r="I70" s="2">
        <v>355</v>
      </c>
      <c r="J70" s="17">
        <v>339.3</v>
      </c>
      <c r="K70" s="2">
        <v>500</v>
      </c>
      <c r="L70" s="2">
        <v>279</v>
      </c>
      <c r="M70" s="2">
        <v>54</v>
      </c>
      <c r="O70" s="2">
        <v>183</v>
      </c>
      <c r="P70" s="2">
        <v>160</v>
      </c>
      <c r="Q70" s="2">
        <v>29.8</v>
      </c>
      <c r="R70" s="2">
        <v>506</v>
      </c>
      <c r="S70" s="2">
        <v>64</v>
      </c>
    </row>
    <row r="71" spans="1:19" x14ac:dyDescent="0.2">
      <c r="A71" s="7">
        <f>DATE(91,8,26)</f>
        <v>33476</v>
      </c>
      <c r="B71" s="2">
        <v>2347</v>
      </c>
      <c r="C71" s="2">
        <v>22</v>
      </c>
      <c r="D71" s="2">
        <v>6</v>
      </c>
      <c r="E71" s="12">
        <v>-0.95</v>
      </c>
      <c r="F71" s="12">
        <v>6.166666666666667</v>
      </c>
      <c r="G71" s="2">
        <v>94</v>
      </c>
      <c r="H71" s="2">
        <v>1701</v>
      </c>
      <c r="I71" s="2">
        <v>355</v>
      </c>
      <c r="J71" s="17">
        <v>340.9</v>
      </c>
      <c r="K71" s="2">
        <v>500</v>
      </c>
      <c r="L71" s="2">
        <v>278</v>
      </c>
      <c r="M71" s="2">
        <v>54</v>
      </c>
      <c r="O71" s="2">
        <v>186</v>
      </c>
      <c r="P71" s="2">
        <v>160</v>
      </c>
      <c r="Q71" s="2">
        <v>33.5</v>
      </c>
      <c r="R71" s="2">
        <v>510</v>
      </c>
      <c r="S71" s="2">
        <v>72</v>
      </c>
    </row>
    <row r="72" spans="1:19" x14ac:dyDescent="0.2">
      <c r="A72" s="7">
        <f>DATE(91,8,27)</f>
        <v>33477</v>
      </c>
      <c r="B72" s="2">
        <v>2348</v>
      </c>
      <c r="C72" s="2">
        <v>24</v>
      </c>
      <c r="D72" s="2">
        <v>15</v>
      </c>
      <c r="E72" s="12">
        <v>2.3166666666666669</v>
      </c>
      <c r="F72" s="12">
        <v>11.3</v>
      </c>
      <c r="G72" s="2">
        <v>71</v>
      </c>
      <c r="H72" s="2">
        <v>1698</v>
      </c>
      <c r="I72" s="2">
        <v>355</v>
      </c>
      <c r="J72" s="17">
        <v>340.6</v>
      </c>
      <c r="K72" s="2">
        <v>498</v>
      </c>
      <c r="L72" s="2">
        <v>280</v>
      </c>
      <c r="M72" s="2">
        <v>55</v>
      </c>
      <c r="O72" s="2">
        <v>184</v>
      </c>
      <c r="P72" s="2">
        <v>160</v>
      </c>
      <c r="Q72" s="2">
        <v>14.6</v>
      </c>
      <c r="R72" s="2">
        <v>526</v>
      </c>
      <c r="S72" s="2">
        <v>50</v>
      </c>
    </row>
    <row r="73" spans="1:19" x14ac:dyDescent="0.2">
      <c r="A73" s="7">
        <f>DATE(91,8,27)</f>
        <v>33477</v>
      </c>
      <c r="B73" s="2">
        <v>618</v>
      </c>
      <c r="C73" s="2">
        <v>22</v>
      </c>
      <c r="D73" s="2">
        <v>4</v>
      </c>
      <c r="E73" s="12">
        <v>-8.3333333333333329E-2</v>
      </c>
      <c r="F73" s="12">
        <v>7.5666666666666664</v>
      </c>
      <c r="G73" s="2">
        <v>89</v>
      </c>
      <c r="H73" s="2">
        <v>1700</v>
      </c>
      <c r="I73" s="2">
        <v>356</v>
      </c>
      <c r="J73" s="17">
        <v>339.1</v>
      </c>
      <c r="K73" s="2">
        <v>499</v>
      </c>
      <c r="M73" s="2">
        <v>55</v>
      </c>
      <c r="O73" s="2">
        <v>184</v>
      </c>
      <c r="P73" s="2">
        <v>161</v>
      </c>
      <c r="Q73" s="2">
        <v>35.799999999999997</v>
      </c>
      <c r="R73" s="2">
        <v>512</v>
      </c>
      <c r="S73" s="2">
        <v>66</v>
      </c>
    </row>
    <row r="74" spans="1:19" x14ac:dyDescent="0.2">
      <c r="A74" s="7">
        <f>DATE(91,8,27)</f>
        <v>33477</v>
      </c>
      <c r="B74" s="2">
        <v>1226</v>
      </c>
      <c r="C74" s="2">
        <v>24</v>
      </c>
      <c r="D74" s="2">
        <v>8</v>
      </c>
      <c r="E74" s="12">
        <v>0.76666666666666672</v>
      </c>
      <c r="F74" s="12">
        <v>8.8833333333333329</v>
      </c>
      <c r="G74" s="2">
        <v>120</v>
      </c>
      <c r="H74" s="2">
        <v>1699</v>
      </c>
      <c r="I74" s="2">
        <v>354</v>
      </c>
      <c r="J74" s="17">
        <v>340</v>
      </c>
      <c r="K74" s="2">
        <v>508</v>
      </c>
      <c r="L74" s="2">
        <v>280</v>
      </c>
      <c r="M74" s="2">
        <v>55</v>
      </c>
      <c r="O74" s="2">
        <v>182</v>
      </c>
      <c r="P74" s="2">
        <v>160</v>
      </c>
      <c r="Q74" s="2">
        <v>24.2</v>
      </c>
      <c r="R74" s="2">
        <v>514</v>
      </c>
      <c r="S74" s="2">
        <v>94</v>
      </c>
    </row>
    <row r="75" spans="1:19" x14ac:dyDescent="0.2">
      <c r="A75" s="7">
        <f>DATE(91,8,27)</f>
        <v>33477</v>
      </c>
      <c r="B75" s="2">
        <v>1842</v>
      </c>
      <c r="C75" s="2">
        <v>22</v>
      </c>
      <c r="D75" s="2">
        <v>10</v>
      </c>
      <c r="E75" s="12">
        <v>1.65</v>
      </c>
      <c r="F75" s="12">
        <v>10.183333333333334</v>
      </c>
      <c r="G75" s="2">
        <v>102</v>
      </c>
      <c r="H75" s="2">
        <v>1697</v>
      </c>
      <c r="I75" s="2">
        <v>355</v>
      </c>
      <c r="J75" s="17">
        <v>338.8</v>
      </c>
      <c r="K75" s="2">
        <v>506</v>
      </c>
      <c r="L75" s="2">
        <v>280</v>
      </c>
      <c r="M75" s="2">
        <v>56</v>
      </c>
      <c r="N75" s="2">
        <v>7</v>
      </c>
      <c r="O75" s="2">
        <v>183</v>
      </c>
      <c r="P75" s="2">
        <v>160</v>
      </c>
      <c r="Q75" s="2">
        <v>49.5</v>
      </c>
      <c r="R75" s="2">
        <v>516</v>
      </c>
      <c r="S75" s="2">
        <v>78</v>
      </c>
    </row>
    <row r="76" spans="1:19" x14ac:dyDescent="0.2">
      <c r="A76" s="7">
        <f>DATE(91,8,28)</f>
        <v>33478</v>
      </c>
      <c r="B76" s="2">
        <v>529</v>
      </c>
      <c r="C76" s="2">
        <v>24</v>
      </c>
      <c r="D76" s="2">
        <v>11</v>
      </c>
      <c r="E76" s="12">
        <v>2.0166666666666666</v>
      </c>
      <c r="F76" s="12">
        <v>12.833333333333334</v>
      </c>
      <c r="G76" s="2">
        <v>76</v>
      </c>
      <c r="H76" s="2">
        <v>1697</v>
      </c>
      <c r="I76" s="2">
        <v>353</v>
      </c>
      <c r="J76" s="17">
        <v>339.2</v>
      </c>
      <c r="K76" s="2">
        <v>504</v>
      </c>
      <c r="L76" s="2">
        <v>284</v>
      </c>
      <c r="M76" s="2">
        <v>57</v>
      </c>
      <c r="O76" s="2">
        <v>190</v>
      </c>
      <c r="P76" s="2">
        <v>161</v>
      </c>
      <c r="Q76" s="2">
        <v>26.6</v>
      </c>
      <c r="R76" s="2">
        <v>519</v>
      </c>
      <c r="S76" s="2">
        <v>58</v>
      </c>
    </row>
    <row r="77" spans="1:19" x14ac:dyDescent="0.2">
      <c r="A77" s="7">
        <f>DATE(91,8,28)</f>
        <v>33478</v>
      </c>
      <c r="B77" s="2">
        <v>1224</v>
      </c>
      <c r="C77" s="2">
        <v>24</v>
      </c>
      <c r="D77" s="2">
        <v>13</v>
      </c>
      <c r="E77" s="12">
        <v>1.4333333333333333</v>
      </c>
      <c r="F77" s="12">
        <v>14.15</v>
      </c>
      <c r="G77" s="2">
        <v>103</v>
      </c>
      <c r="H77" s="2">
        <v>1697</v>
      </c>
      <c r="I77" s="2">
        <v>354</v>
      </c>
      <c r="J77" s="17">
        <v>341.8</v>
      </c>
      <c r="K77" s="2">
        <v>510</v>
      </c>
      <c r="L77" s="2">
        <v>283</v>
      </c>
      <c r="M77" s="2">
        <v>52</v>
      </c>
      <c r="O77" s="2">
        <v>183</v>
      </c>
      <c r="P77" s="2">
        <v>160</v>
      </c>
      <c r="Q77" s="17">
        <v>27</v>
      </c>
      <c r="R77" s="2">
        <v>514</v>
      </c>
      <c r="S77" s="2">
        <v>81</v>
      </c>
    </row>
    <row r="78" spans="1:19" x14ac:dyDescent="0.2">
      <c r="A78" s="7">
        <f>DATE(91,8,28)</f>
        <v>33478</v>
      </c>
      <c r="B78" s="2">
        <v>1748</v>
      </c>
      <c r="C78" s="2">
        <v>23</v>
      </c>
      <c r="D78" s="2">
        <v>14</v>
      </c>
      <c r="E78" s="12">
        <v>0.9</v>
      </c>
      <c r="F78" s="12">
        <v>15.483333333333333</v>
      </c>
      <c r="G78" s="2">
        <v>68</v>
      </c>
      <c r="H78" s="2">
        <v>1696</v>
      </c>
      <c r="I78" s="2">
        <v>353</v>
      </c>
      <c r="J78" s="17">
        <v>340.8</v>
      </c>
      <c r="K78" s="2">
        <v>502</v>
      </c>
      <c r="L78" s="2">
        <v>282</v>
      </c>
      <c r="M78" s="2">
        <v>55</v>
      </c>
      <c r="O78" s="2">
        <v>185</v>
      </c>
      <c r="P78" s="2">
        <v>162</v>
      </c>
      <c r="Q78" s="17">
        <v>25.7</v>
      </c>
      <c r="R78" s="2">
        <v>503</v>
      </c>
      <c r="S78" s="2">
        <v>44</v>
      </c>
    </row>
    <row r="79" spans="1:19" x14ac:dyDescent="0.2">
      <c r="A79" s="7">
        <f>DATE(91,8,29)</f>
        <v>33479</v>
      </c>
      <c r="B79" s="2">
        <v>1757</v>
      </c>
      <c r="C79" s="2">
        <v>24</v>
      </c>
      <c r="D79" s="2">
        <v>11</v>
      </c>
      <c r="E79" s="12">
        <v>-0.73333333333333328</v>
      </c>
      <c r="F79" s="12">
        <v>19.533333333333335</v>
      </c>
      <c r="G79" s="2">
        <v>81</v>
      </c>
      <c r="H79" s="2">
        <v>1702</v>
      </c>
      <c r="I79" s="2">
        <v>354</v>
      </c>
      <c r="J79" s="17">
        <v>336.8</v>
      </c>
      <c r="K79" s="2">
        <v>497</v>
      </c>
      <c r="L79" s="2">
        <v>282</v>
      </c>
      <c r="M79" s="2">
        <v>57</v>
      </c>
      <c r="O79" s="2">
        <v>188</v>
      </c>
      <c r="P79" s="2">
        <v>163</v>
      </c>
      <c r="Q79" s="17">
        <v>18.100000000000001</v>
      </c>
      <c r="R79" s="2">
        <v>518</v>
      </c>
      <c r="S79" s="2">
        <v>53</v>
      </c>
    </row>
    <row r="80" spans="1:19" x14ac:dyDescent="0.2">
      <c r="A80" s="7">
        <f>DATE(91,8,29)</f>
        <v>33479</v>
      </c>
      <c r="B80" s="2">
        <v>2333</v>
      </c>
      <c r="C80" s="2">
        <v>24</v>
      </c>
      <c r="D80" s="2">
        <v>15</v>
      </c>
      <c r="E80" s="12">
        <v>-1.25</v>
      </c>
      <c r="F80" s="12">
        <v>20.766666666666666</v>
      </c>
      <c r="G80" s="2">
        <v>72</v>
      </c>
      <c r="H80" s="2">
        <v>1703</v>
      </c>
      <c r="I80" s="2">
        <v>356</v>
      </c>
      <c r="J80" s="17">
        <v>339.9</v>
      </c>
      <c r="K80" s="2">
        <v>501</v>
      </c>
      <c r="L80" s="2">
        <v>281</v>
      </c>
      <c r="M80" s="2">
        <v>55</v>
      </c>
      <c r="O80" s="2">
        <v>184</v>
      </c>
      <c r="P80" s="2">
        <v>163</v>
      </c>
      <c r="Q80" s="17">
        <v>17.8</v>
      </c>
      <c r="R80" s="2">
        <v>509</v>
      </c>
      <c r="S80" s="2">
        <v>50</v>
      </c>
    </row>
    <row r="81" spans="1:19" x14ac:dyDescent="0.2">
      <c r="A81" s="7">
        <f>DATE(91,8,29)</f>
        <v>33479</v>
      </c>
      <c r="B81" s="2">
        <v>1226</v>
      </c>
      <c r="C81" s="2">
        <v>25</v>
      </c>
      <c r="D81" s="2">
        <v>11</v>
      </c>
      <c r="E81" s="12">
        <v>-0.33333333333333331</v>
      </c>
      <c r="F81" s="12">
        <v>18.283333333333335</v>
      </c>
      <c r="G81" s="2">
        <v>96</v>
      </c>
      <c r="H81" s="2">
        <v>1696</v>
      </c>
      <c r="I81" s="2">
        <v>354</v>
      </c>
      <c r="J81" s="17">
        <v>337.2</v>
      </c>
      <c r="K81" s="2">
        <v>498</v>
      </c>
      <c r="L81" s="2">
        <v>281</v>
      </c>
      <c r="M81" s="2">
        <v>54</v>
      </c>
      <c r="N81" s="2">
        <v>14</v>
      </c>
      <c r="O81" s="2">
        <v>185</v>
      </c>
      <c r="P81" s="2">
        <v>162</v>
      </c>
      <c r="Q81" s="17">
        <v>30</v>
      </c>
      <c r="R81" s="2">
        <v>503</v>
      </c>
      <c r="S81" s="2">
        <v>73</v>
      </c>
    </row>
    <row r="82" spans="1:19" x14ac:dyDescent="0.2">
      <c r="A82" s="7">
        <f>DATE(91,8,29)</f>
        <v>33479</v>
      </c>
      <c r="B82" s="2">
        <v>602</v>
      </c>
      <c r="C82" s="2">
        <v>23</v>
      </c>
      <c r="D82" s="2">
        <v>13</v>
      </c>
      <c r="E82" s="12">
        <v>-0.1</v>
      </c>
      <c r="F82" s="12">
        <v>17.649999999999999</v>
      </c>
      <c r="G82" s="2">
        <v>67</v>
      </c>
      <c r="H82" s="2">
        <v>1700</v>
      </c>
      <c r="I82" s="2">
        <v>353</v>
      </c>
      <c r="J82" s="17">
        <v>339.3</v>
      </c>
      <c r="K82" s="2">
        <v>506</v>
      </c>
      <c r="L82" s="2">
        <v>284</v>
      </c>
      <c r="M82" s="2">
        <v>55</v>
      </c>
      <c r="O82" s="2">
        <v>182</v>
      </c>
      <c r="P82" s="2">
        <v>162</v>
      </c>
      <c r="Q82" s="17">
        <v>43.7</v>
      </c>
      <c r="R82" s="2">
        <v>506</v>
      </c>
      <c r="S82" s="2">
        <v>49</v>
      </c>
    </row>
    <row r="83" spans="1:19" x14ac:dyDescent="0.2">
      <c r="A83" s="7">
        <f>DATE(91,8,29)</f>
        <v>33479</v>
      </c>
      <c r="B83" s="2">
        <v>120</v>
      </c>
      <c r="C83" s="2">
        <v>23</v>
      </c>
      <c r="D83" s="2">
        <v>16</v>
      </c>
      <c r="E83" s="12">
        <v>8.3333333333333329E-2</v>
      </c>
      <c r="F83" s="12">
        <v>17.350000000000001</v>
      </c>
      <c r="G83" s="2">
        <v>60</v>
      </c>
      <c r="H83" s="2">
        <v>1701</v>
      </c>
      <c r="I83" s="2">
        <v>354</v>
      </c>
      <c r="J83" s="17">
        <v>340.8</v>
      </c>
      <c r="K83" s="2">
        <v>512</v>
      </c>
      <c r="M83" s="2">
        <v>56</v>
      </c>
      <c r="O83" s="2">
        <v>187</v>
      </c>
      <c r="P83" s="2">
        <v>163</v>
      </c>
      <c r="Q83" s="17">
        <v>23.4</v>
      </c>
      <c r="R83" s="2">
        <v>506</v>
      </c>
      <c r="S83" s="2">
        <v>43</v>
      </c>
    </row>
    <row r="84" spans="1:19" x14ac:dyDescent="0.2">
      <c r="A84" s="7">
        <f>DATE(91,8,30)</f>
        <v>33480</v>
      </c>
      <c r="B84" s="2">
        <v>2342</v>
      </c>
      <c r="C84" s="2">
        <v>25</v>
      </c>
      <c r="D84" s="2">
        <v>15</v>
      </c>
      <c r="E84" s="12">
        <v>-3</v>
      </c>
      <c r="F84" s="12">
        <v>25</v>
      </c>
      <c r="G84" s="2">
        <v>76</v>
      </c>
      <c r="H84" s="2">
        <v>1703</v>
      </c>
      <c r="I84" s="2">
        <v>356</v>
      </c>
      <c r="J84" s="17">
        <v>340</v>
      </c>
      <c r="K84" s="2">
        <v>500</v>
      </c>
      <c r="L84" s="2">
        <v>280</v>
      </c>
      <c r="M84" s="2">
        <v>63</v>
      </c>
      <c r="N84" s="2">
        <v>10</v>
      </c>
      <c r="O84" s="2">
        <v>185</v>
      </c>
      <c r="P84" s="2">
        <v>161</v>
      </c>
      <c r="Q84" s="17">
        <v>33.200000000000003</v>
      </c>
      <c r="R84" s="2">
        <v>507</v>
      </c>
      <c r="S84" s="2">
        <v>55</v>
      </c>
    </row>
    <row r="85" spans="1:19" x14ac:dyDescent="0.2">
      <c r="A85" s="7">
        <f>DATE(91,8,30)</f>
        <v>33480</v>
      </c>
      <c r="B85" s="2">
        <v>1148</v>
      </c>
      <c r="C85" s="2">
        <v>26</v>
      </c>
      <c r="D85" s="2">
        <v>18</v>
      </c>
      <c r="E85" s="12">
        <v>-2.4666666666666668</v>
      </c>
      <c r="F85" s="12">
        <v>23.7</v>
      </c>
      <c r="G85" s="2">
        <v>102</v>
      </c>
      <c r="H85" s="2">
        <v>1703</v>
      </c>
      <c r="I85" s="2">
        <v>355</v>
      </c>
      <c r="J85" s="17">
        <v>341.7</v>
      </c>
      <c r="K85" s="2">
        <v>509</v>
      </c>
      <c r="L85" s="2">
        <v>282</v>
      </c>
      <c r="M85" s="2">
        <v>56</v>
      </c>
      <c r="O85" s="2">
        <v>187</v>
      </c>
      <c r="P85" s="2">
        <v>164</v>
      </c>
      <c r="Q85" s="17">
        <v>31.6</v>
      </c>
      <c r="R85" s="2">
        <v>525</v>
      </c>
      <c r="S85" s="2">
        <v>77</v>
      </c>
    </row>
    <row r="86" spans="1:19" x14ac:dyDescent="0.2">
      <c r="A86" s="7">
        <f>DATE(91,8,30)</f>
        <v>33480</v>
      </c>
      <c r="B86" s="2">
        <v>2058</v>
      </c>
      <c r="C86" s="2">
        <v>24</v>
      </c>
      <c r="D86" s="2">
        <v>16</v>
      </c>
      <c r="E86" s="12">
        <v>-3</v>
      </c>
      <c r="F86" s="12">
        <v>25</v>
      </c>
      <c r="G86" s="2">
        <v>76</v>
      </c>
      <c r="H86" s="2">
        <v>1704</v>
      </c>
      <c r="I86" s="2">
        <v>355</v>
      </c>
      <c r="J86" s="17">
        <v>340.3</v>
      </c>
      <c r="K86" s="2">
        <v>502</v>
      </c>
      <c r="L86" s="2">
        <v>280</v>
      </c>
      <c r="M86" s="2">
        <v>59</v>
      </c>
      <c r="O86" s="2">
        <v>182</v>
      </c>
      <c r="P86" s="2">
        <v>158</v>
      </c>
      <c r="Q86" s="17">
        <v>32.1</v>
      </c>
      <c r="R86" s="2">
        <v>513</v>
      </c>
      <c r="S86" s="2">
        <v>58</v>
      </c>
    </row>
    <row r="87" spans="1:19" x14ac:dyDescent="0.2">
      <c r="A87" s="7">
        <f>DATE(91,8,30)</f>
        <v>33480</v>
      </c>
      <c r="B87" s="2">
        <v>518</v>
      </c>
      <c r="C87" s="2">
        <v>24</v>
      </c>
      <c r="D87" s="2">
        <v>21</v>
      </c>
      <c r="E87" s="12">
        <v>-1.8833333333333333</v>
      </c>
      <c r="F87" s="12">
        <v>22.266666666666666</v>
      </c>
      <c r="G87" s="2">
        <v>57</v>
      </c>
      <c r="H87" s="2">
        <v>1703</v>
      </c>
      <c r="I87" s="2">
        <v>354</v>
      </c>
      <c r="J87" s="17">
        <v>341.2</v>
      </c>
      <c r="K87" s="2">
        <v>504</v>
      </c>
      <c r="L87" s="2">
        <v>281</v>
      </c>
      <c r="M87" s="2">
        <v>55</v>
      </c>
      <c r="O87" s="2">
        <v>184</v>
      </c>
      <c r="P87" s="2">
        <v>162</v>
      </c>
      <c r="Q87" s="17">
        <v>24.5</v>
      </c>
      <c r="R87" s="2">
        <v>508</v>
      </c>
      <c r="S87" s="2">
        <v>40</v>
      </c>
    </row>
    <row r="88" spans="1:19" x14ac:dyDescent="0.2">
      <c r="A88" s="7">
        <f>DATE(91,8,30)</f>
        <v>33480</v>
      </c>
      <c r="B88" s="2">
        <v>1714</v>
      </c>
      <c r="C88" s="2">
        <v>25</v>
      </c>
      <c r="D88" s="2">
        <v>16</v>
      </c>
      <c r="E88" s="12">
        <v>-2.9666666666666668</v>
      </c>
      <c r="F88" s="12">
        <v>24.933333333333334</v>
      </c>
      <c r="J88" s="17"/>
      <c r="Q88" s="17">
        <v>120.5</v>
      </c>
      <c r="S88" s="2">
        <v>96</v>
      </c>
    </row>
    <row r="89" spans="1:19" x14ac:dyDescent="0.2">
      <c r="A89" s="7">
        <f>DATE(91,8,31)</f>
        <v>33481</v>
      </c>
      <c r="B89" s="2">
        <v>545</v>
      </c>
      <c r="C89" s="2">
        <v>25</v>
      </c>
      <c r="D89" s="2">
        <v>18</v>
      </c>
      <c r="E89" s="12">
        <v>-3</v>
      </c>
      <c r="F89" s="12">
        <v>25</v>
      </c>
      <c r="G89" s="2">
        <v>67</v>
      </c>
      <c r="H89" s="2">
        <v>1704</v>
      </c>
      <c r="I89" s="2">
        <v>354</v>
      </c>
      <c r="J89" s="17">
        <v>337.7</v>
      </c>
      <c r="K89" s="2">
        <v>502</v>
      </c>
      <c r="L89" s="2">
        <v>279</v>
      </c>
      <c r="M89" s="2">
        <v>54</v>
      </c>
      <c r="N89" s="2">
        <v>11</v>
      </c>
      <c r="O89" s="2">
        <v>180</v>
      </c>
      <c r="P89" s="2">
        <v>160</v>
      </c>
      <c r="Q89" s="17">
        <v>44</v>
      </c>
      <c r="R89" s="2">
        <v>508</v>
      </c>
      <c r="S89" s="2">
        <v>46</v>
      </c>
    </row>
    <row r="90" spans="1:19" x14ac:dyDescent="0.2">
      <c r="A90" s="7">
        <f>DATE(91,8,31)</f>
        <v>33481</v>
      </c>
      <c r="B90" s="2">
        <v>1150</v>
      </c>
      <c r="C90" s="2">
        <v>25</v>
      </c>
      <c r="D90" s="2">
        <v>18</v>
      </c>
      <c r="E90" s="12">
        <v>-3.1016666666666666</v>
      </c>
      <c r="F90" s="12">
        <v>24.916666666666668</v>
      </c>
      <c r="G90" s="2">
        <v>114</v>
      </c>
      <c r="H90" s="2">
        <v>1708</v>
      </c>
      <c r="I90" s="2">
        <v>355</v>
      </c>
      <c r="J90" s="17">
        <v>339.6</v>
      </c>
      <c r="K90" s="2">
        <v>503</v>
      </c>
      <c r="L90" s="2">
        <v>280</v>
      </c>
      <c r="M90" s="2">
        <v>55</v>
      </c>
      <c r="O90" s="2">
        <v>183</v>
      </c>
      <c r="P90" s="2">
        <v>161</v>
      </c>
      <c r="Q90" s="17">
        <v>29.8</v>
      </c>
      <c r="R90" s="2">
        <v>511</v>
      </c>
      <c r="S90" s="2">
        <v>96</v>
      </c>
    </row>
    <row r="91" spans="1:19" x14ac:dyDescent="0.2">
      <c r="A91" s="7">
        <f>DATE(91,8,31)</f>
        <v>33481</v>
      </c>
      <c r="B91" s="2">
        <v>859</v>
      </c>
      <c r="C91" s="2">
        <v>24</v>
      </c>
      <c r="D91" s="2">
        <v>20</v>
      </c>
      <c r="E91" s="12">
        <v>-3</v>
      </c>
      <c r="F91" s="12">
        <v>25</v>
      </c>
      <c r="G91" s="2">
        <v>98</v>
      </c>
      <c r="H91" s="2">
        <v>1709</v>
      </c>
      <c r="I91" s="2">
        <v>353</v>
      </c>
      <c r="J91" s="17">
        <v>341.6</v>
      </c>
      <c r="K91" s="2">
        <v>502</v>
      </c>
      <c r="L91" s="2">
        <v>280</v>
      </c>
      <c r="M91" s="2">
        <v>56</v>
      </c>
      <c r="O91" s="2">
        <v>185</v>
      </c>
      <c r="P91" s="2">
        <v>162</v>
      </c>
      <c r="Q91" s="17">
        <v>28.6</v>
      </c>
      <c r="R91" s="2">
        <v>508</v>
      </c>
      <c r="S91" s="2">
        <v>72</v>
      </c>
    </row>
    <row r="92" spans="1:19" x14ac:dyDescent="0.2">
      <c r="A92" s="7">
        <f>DATE(91,8,31)</f>
        <v>33481</v>
      </c>
      <c r="B92" s="2">
        <v>306</v>
      </c>
      <c r="C92" s="2">
        <v>25</v>
      </c>
      <c r="D92" s="2">
        <v>22</v>
      </c>
      <c r="E92" s="12">
        <v>-3.1166666666666667</v>
      </c>
      <c r="F92" s="12">
        <v>24.883333333333333</v>
      </c>
      <c r="G92" s="2">
        <v>62</v>
      </c>
      <c r="H92" s="2">
        <v>1703</v>
      </c>
      <c r="I92" s="2">
        <v>354</v>
      </c>
      <c r="J92" s="17">
        <v>340.8</v>
      </c>
      <c r="K92" s="2">
        <v>499</v>
      </c>
      <c r="L92" s="2">
        <v>279</v>
      </c>
      <c r="M92" s="2">
        <v>55</v>
      </c>
      <c r="O92" s="2">
        <v>181</v>
      </c>
      <c r="P92" s="2">
        <v>159</v>
      </c>
      <c r="Q92" s="17">
        <v>42.8</v>
      </c>
      <c r="R92" s="2">
        <v>506</v>
      </c>
      <c r="S92" s="2">
        <v>45</v>
      </c>
    </row>
    <row r="93" spans="1:19" x14ac:dyDescent="0.2">
      <c r="A93" s="7">
        <f>DATE(91,8,31)</f>
        <v>33481</v>
      </c>
      <c r="B93" s="2">
        <v>1725</v>
      </c>
      <c r="C93" s="2">
        <v>25</v>
      </c>
      <c r="D93" s="2">
        <v>18</v>
      </c>
      <c r="E93" s="12">
        <v>-3.2666666666666666</v>
      </c>
      <c r="F93" s="12">
        <v>24.75</v>
      </c>
      <c r="G93" s="2">
        <v>78</v>
      </c>
      <c r="H93" s="2">
        <v>1705</v>
      </c>
      <c r="I93" s="2">
        <v>353</v>
      </c>
      <c r="J93" s="17">
        <v>342.4</v>
      </c>
      <c r="K93" s="2">
        <v>510</v>
      </c>
      <c r="L93" s="2">
        <v>280</v>
      </c>
      <c r="M93" s="2">
        <v>54</v>
      </c>
      <c r="N93" s="2">
        <v>12</v>
      </c>
      <c r="O93" s="2">
        <v>186</v>
      </c>
      <c r="P93" s="2">
        <v>160</v>
      </c>
      <c r="Q93" s="17">
        <v>21.6</v>
      </c>
      <c r="R93" s="2">
        <v>517</v>
      </c>
      <c r="S93" s="2">
        <v>61</v>
      </c>
    </row>
    <row r="94" spans="1:19" x14ac:dyDescent="0.2">
      <c r="A94" s="7">
        <f>DATE(91,9,1)</f>
        <v>33482</v>
      </c>
      <c r="B94" s="2">
        <v>1157</v>
      </c>
      <c r="C94" s="2">
        <v>26</v>
      </c>
      <c r="D94" s="2">
        <v>12</v>
      </c>
      <c r="E94" s="12">
        <v>-3.5833333333333335</v>
      </c>
      <c r="F94" s="12">
        <v>29.5</v>
      </c>
      <c r="G94" s="2">
        <v>86</v>
      </c>
      <c r="H94" s="2">
        <v>1698</v>
      </c>
      <c r="I94" s="2">
        <v>354</v>
      </c>
      <c r="J94" s="17">
        <v>338.4</v>
      </c>
      <c r="K94" s="2">
        <v>498</v>
      </c>
      <c r="L94" s="2">
        <v>277</v>
      </c>
      <c r="M94" s="2">
        <v>53</v>
      </c>
      <c r="O94" s="2">
        <v>179</v>
      </c>
      <c r="P94" s="2">
        <v>157</v>
      </c>
      <c r="Q94" s="17">
        <v>22.4</v>
      </c>
      <c r="R94" s="2">
        <v>516</v>
      </c>
      <c r="S94" s="2">
        <v>72</v>
      </c>
    </row>
    <row r="95" spans="1:19" x14ac:dyDescent="0.2">
      <c r="A95" s="7">
        <f>DATE(91,9,1)</f>
        <v>33482</v>
      </c>
      <c r="B95" s="2">
        <v>1652</v>
      </c>
      <c r="C95" s="2">
        <v>24</v>
      </c>
      <c r="D95" s="2">
        <v>12</v>
      </c>
      <c r="E95" s="12">
        <v>-3.6666666666666665</v>
      </c>
      <c r="F95" s="12">
        <v>30.8</v>
      </c>
      <c r="G95" s="2">
        <v>64</v>
      </c>
      <c r="H95" s="2">
        <v>1699</v>
      </c>
      <c r="I95" s="2">
        <v>354</v>
      </c>
      <c r="J95" s="17">
        <v>338.9</v>
      </c>
      <c r="K95" s="2">
        <v>498</v>
      </c>
      <c r="L95" s="2">
        <v>280</v>
      </c>
      <c r="M95" s="2">
        <v>54</v>
      </c>
      <c r="N95" s="2">
        <v>16</v>
      </c>
      <c r="O95" s="2">
        <v>181</v>
      </c>
      <c r="P95" s="2">
        <v>160</v>
      </c>
      <c r="Q95" s="17">
        <v>20</v>
      </c>
      <c r="R95" s="2">
        <v>506</v>
      </c>
      <c r="S95" s="2">
        <v>47</v>
      </c>
    </row>
    <row r="96" spans="1:19" x14ac:dyDescent="0.2">
      <c r="A96" s="7">
        <f>DATE(91,9,1)</f>
        <v>33482</v>
      </c>
      <c r="B96" s="2">
        <v>511</v>
      </c>
      <c r="C96" s="2">
        <v>25</v>
      </c>
      <c r="D96" s="2">
        <v>15</v>
      </c>
      <c r="E96" s="12">
        <v>-3.4666666666666668</v>
      </c>
      <c r="F96" s="12">
        <v>27.8</v>
      </c>
      <c r="G96" s="2">
        <v>78</v>
      </c>
      <c r="H96" s="2">
        <v>1706</v>
      </c>
      <c r="I96" s="2">
        <v>354</v>
      </c>
      <c r="J96" s="17">
        <v>340</v>
      </c>
      <c r="K96" s="2">
        <v>507</v>
      </c>
      <c r="L96" s="2">
        <v>278</v>
      </c>
      <c r="M96" s="2">
        <v>55</v>
      </c>
      <c r="N96" s="2">
        <v>10</v>
      </c>
      <c r="O96" s="2">
        <v>183</v>
      </c>
      <c r="P96" s="2">
        <v>159</v>
      </c>
      <c r="Q96" s="17">
        <v>39.799999999999997</v>
      </c>
      <c r="R96" s="2">
        <v>512</v>
      </c>
      <c r="S96" s="2">
        <v>55</v>
      </c>
    </row>
    <row r="97" spans="1:19" x14ac:dyDescent="0.2">
      <c r="A97" s="7">
        <f>DATE(91,9,2)</f>
        <v>33483</v>
      </c>
      <c r="B97" s="2">
        <v>508</v>
      </c>
      <c r="C97" s="2">
        <v>25</v>
      </c>
      <c r="D97" s="2">
        <v>18</v>
      </c>
      <c r="E97" s="12">
        <v>-3.3166666666666669</v>
      </c>
      <c r="F97" s="12">
        <v>25.566666666666666</v>
      </c>
      <c r="G97" s="2">
        <v>70</v>
      </c>
      <c r="H97" s="2">
        <v>1704</v>
      </c>
      <c r="I97" s="2">
        <v>355</v>
      </c>
      <c r="J97" s="17">
        <v>339.5</v>
      </c>
      <c r="K97" s="2">
        <v>506</v>
      </c>
      <c r="L97" s="2">
        <v>280</v>
      </c>
      <c r="M97" s="2">
        <v>55</v>
      </c>
      <c r="O97" s="2">
        <v>183</v>
      </c>
      <c r="P97" s="2">
        <v>160</v>
      </c>
      <c r="Q97" s="17">
        <v>23.1</v>
      </c>
      <c r="R97" s="2">
        <v>514</v>
      </c>
      <c r="S97" s="2">
        <v>53</v>
      </c>
    </row>
    <row r="98" spans="1:19" x14ac:dyDescent="0.2">
      <c r="J98" s="17"/>
      <c r="Q98" s="17"/>
      <c r="R98" s="2">
        <v>511</v>
      </c>
      <c r="S98" s="2">
        <v>54</v>
      </c>
    </row>
    <row r="99" spans="1:19" x14ac:dyDescent="0.2">
      <c r="J99" s="17"/>
      <c r="Q99" s="17"/>
    </row>
    <row r="100" spans="1:19" x14ac:dyDescent="0.2">
      <c r="A100" s="7"/>
      <c r="D100" s="8" t="s">
        <v>283</v>
      </c>
    </row>
    <row r="101" spans="1:19" x14ac:dyDescent="0.2">
      <c r="A101" s="7"/>
      <c r="B101" s="8" t="s">
        <v>286</v>
      </c>
      <c r="C101" s="8" t="s">
        <v>287</v>
      </c>
      <c r="D101" s="8" t="s">
        <v>368</v>
      </c>
      <c r="E101" s="8" t="s">
        <v>200</v>
      </c>
      <c r="F101" s="8" t="s">
        <v>201</v>
      </c>
      <c r="G101" s="8" t="s">
        <v>118</v>
      </c>
      <c r="H101" s="8" t="s">
        <v>123</v>
      </c>
      <c r="I101" s="8" t="s">
        <v>134</v>
      </c>
      <c r="J101" s="8" t="s">
        <v>138</v>
      </c>
      <c r="K101" s="8" t="s">
        <v>136</v>
      </c>
      <c r="L101" s="8" t="s">
        <v>130</v>
      </c>
      <c r="M101" s="8" t="s">
        <v>133</v>
      </c>
      <c r="N101" s="8" t="s">
        <v>127</v>
      </c>
      <c r="O101" s="8" t="s">
        <v>121</v>
      </c>
      <c r="P101" s="8" t="s">
        <v>112</v>
      </c>
      <c r="Q101" s="8" t="s">
        <v>146</v>
      </c>
      <c r="R101" s="8" t="s">
        <v>117</v>
      </c>
      <c r="S101" s="8" t="s">
        <v>118</v>
      </c>
    </row>
    <row r="102" spans="1:19" x14ac:dyDescent="0.2">
      <c r="A102" s="7"/>
      <c r="C102" s="8" t="s">
        <v>291</v>
      </c>
      <c r="D102" s="8" t="s">
        <v>2047</v>
      </c>
      <c r="E102" s="8" t="s">
        <v>2048</v>
      </c>
      <c r="F102" s="8" t="s">
        <v>2048</v>
      </c>
      <c r="G102" s="8" t="s">
        <v>266</v>
      </c>
      <c r="H102" s="8" t="s">
        <v>266</v>
      </c>
      <c r="I102" s="8" t="s">
        <v>371</v>
      </c>
      <c r="J102" s="8" t="s">
        <v>266</v>
      </c>
      <c r="K102" s="8" t="s">
        <v>144</v>
      </c>
      <c r="L102" s="8" t="s">
        <v>144</v>
      </c>
      <c r="M102" s="8" t="s">
        <v>144</v>
      </c>
      <c r="N102" s="8" t="s">
        <v>144</v>
      </c>
      <c r="O102" s="8" t="s">
        <v>144</v>
      </c>
      <c r="P102" s="8" t="s">
        <v>144</v>
      </c>
      <c r="Q102" s="8" t="s">
        <v>426</v>
      </c>
      <c r="R102" s="8" t="s">
        <v>266</v>
      </c>
      <c r="S102" s="8" t="s">
        <v>266</v>
      </c>
    </row>
    <row r="103" spans="1:19" x14ac:dyDescent="0.2">
      <c r="A103" s="7"/>
      <c r="B103" s="4"/>
      <c r="C103" s="4"/>
      <c r="J103" s="17"/>
      <c r="Q103" s="17"/>
    </row>
    <row r="104" spans="1:19" x14ac:dyDescent="0.2">
      <c r="A104" s="7">
        <f t="shared" ref="A104:S104" si="0">AVERAGE(A8:A97)</f>
        <v>33464.133333333331</v>
      </c>
      <c r="B104" s="4">
        <f t="shared" si="0"/>
        <v>1175.4000000000001</v>
      </c>
      <c r="C104" s="4">
        <f t="shared" si="0"/>
        <v>21.466666666666665</v>
      </c>
      <c r="D104" s="4">
        <f t="shared" si="0"/>
        <v>15.277777777777779</v>
      </c>
      <c r="E104" s="4">
        <f t="shared" si="0"/>
        <v>-13.322222222222214</v>
      </c>
      <c r="F104" s="4">
        <f t="shared" si="0"/>
        <v>24.207801851851865</v>
      </c>
      <c r="G104" s="4">
        <f t="shared" si="0"/>
        <v>69.89411764705882</v>
      </c>
      <c r="H104" s="4">
        <f t="shared" si="0"/>
        <v>1698.6860465116279</v>
      </c>
      <c r="I104" s="4">
        <f t="shared" si="0"/>
        <v>354.10344827586209</v>
      </c>
      <c r="J104" s="4">
        <f t="shared" si="0"/>
        <v>339.55280898876407</v>
      </c>
      <c r="K104" s="4">
        <f t="shared" si="0"/>
        <v>500.77011494252872</v>
      </c>
      <c r="L104" s="4">
        <f t="shared" si="0"/>
        <v>279.89999999999998</v>
      </c>
      <c r="M104" s="4">
        <f t="shared" si="0"/>
        <v>55.179775280898873</v>
      </c>
      <c r="N104" s="4">
        <f t="shared" si="0"/>
        <v>12.448275862068966</v>
      </c>
      <c r="O104" s="4">
        <f t="shared" si="0"/>
        <v>182.75</v>
      </c>
      <c r="P104" s="4">
        <f t="shared" si="0"/>
        <v>160.49438202247191</v>
      </c>
      <c r="Q104" s="4">
        <f t="shared" si="0"/>
        <v>26.81111111111111</v>
      </c>
      <c r="R104" s="4">
        <f t="shared" si="0"/>
        <v>506.98809523809524</v>
      </c>
      <c r="S104" s="4">
        <f t="shared" si="0"/>
        <v>50.06666666666667</v>
      </c>
    </row>
    <row r="105" spans="1:19" x14ac:dyDescent="0.2">
      <c r="A105" s="7"/>
      <c r="B105" s="4">
        <f t="shared" ref="B105:S105" si="1">STDEV(B8:B97)</f>
        <v>620.14492325802087</v>
      </c>
      <c r="C105" s="4">
        <f t="shared" si="1"/>
        <v>4.1979128040149165</v>
      </c>
      <c r="D105" s="4">
        <f t="shared" si="1"/>
        <v>6.2315395283896446</v>
      </c>
      <c r="E105" s="4">
        <f t="shared" si="1"/>
        <v>13.632931699806385</v>
      </c>
      <c r="F105" s="4">
        <f t="shared" si="1"/>
        <v>12.11792716959358</v>
      </c>
      <c r="G105" s="4">
        <f t="shared" si="1"/>
        <v>17.42400064047656</v>
      </c>
      <c r="H105" s="4">
        <f t="shared" si="1"/>
        <v>4.566532029262663</v>
      </c>
      <c r="I105" s="4">
        <f t="shared" si="1"/>
        <v>1.1209887948179764</v>
      </c>
      <c r="J105" s="4">
        <f t="shared" si="1"/>
        <v>1.5410363903172195</v>
      </c>
      <c r="K105" s="4">
        <f t="shared" si="1"/>
        <v>5.195483614316819</v>
      </c>
      <c r="L105" s="4">
        <f t="shared" si="1"/>
        <v>2.2252862139907328</v>
      </c>
      <c r="M105" s="4">
        <f t="shared" si="1"/>
        <v>1.9860982635720328</v>
      </c>
      <c r="N105" s="4">
        <f t="shared" si="1"/>
        <v>3.1005322918187499</v>
      </c>
      <c r="O105" s="4">
        <f t="shared" si="1"/>
        <v>3.1559103464678033</v>
      </c>
      <c r="P105" s="4">
        <f t="shared" si="1"/>
        <v>2.0176696476246732</v>
      </c>
      <c r="Q105" s="4">
        <f t="shared" si="1"/>
        <v>14.937513627049919</v>
      </c>
      <c r="R105" s="4">
        <f t="shared" si="1"/>
        <v>7.9463472666619994</v>
      </c>
      <c r="S105" s="4">
        <f t="shared" si="1"/>
        <v>16.400739912056451</v>
      </c>
    </row>
    <row r="106" spans="1:19" x14ac:dyDescent="0.2">
      <c r="A106" s="7"/>
      <c r="B106" s="4">
        <f t="shared" ref="B106:S106" si="2">COUNTA(B8:B97)</f>
        <v>90</v>
      </c>
      <c r="C106" s="4">
        <f t="shared" si="2"/>
        <v>90</v>
      </c>
      <c r="D106" s="4">
        <f t="shared" si="2"/>
        <v>90</v>
      </c>
      <c r="E106" s="4">
        <f t="shared" si="2"/>
        <v>90</v>
      </c>
      <c r="F106" s="4">
        <f t="shared" si="2"/>
        <v>90</v>
      </c>
      <c r="G106" s="4">
        <f t="shared" si="2"/>
        <v>85</v>
      </c>
      <c r="H106" s="4">
        <f t="shared" si="2"/>
        <v>86</v>
      </c>
      <c r="I106" s="4">
        <f t="shared" si="2"/>
        <v>87</v>
      </c>
      <c r="J106" s="4">
        <f t="shared" si="2"/>
        <v>89</v>
      </c>
      <c r="K106" s="4">
        <f t="shared" si="2"/>
        <v>87</v>
      </c>
      <c r="L106" s="4">
        <f t="shared" si="2"/>
        <v>80</v>
      </c>
      <c r="M106" s="4">
        <f t="shared" si="2"/>
        <v>89</v>
      </c>
      <c r="N106" s="4">
        <f t="shared" si="2"/>
        <v>29</v>
      </c>
      <c r="O106" s="4">
        <f t="shared" si="2"/>
        <v>88</v>
      </c>
      <c r="P106" s="4">
        <f t="shared" si="2"/>
        <v>89</v>
      </c>
      <c r="Q106" s="4">
        <f t="shared" si="2"/>
        <v>90</v>
      </c>
      <c r="R106" s="4">
        <f t="shared" si="2"/>
        <v>84</v>
      </c>
      <c r="S106" s="4">
        <f t="shared" si="2"/>
        <v>90</v>
      </c>
    </row>
    <row r="107" spans="1:19" x14ac:dyDescent="0.2">
      <c r="D107" s="2" t="s">
        <v>420</v>
      </c>
      <c r="E107" s="2">
        <f>MIN(E8:E97)</f>
        <v>-42</v>
      </c>
      <c r="F107" s="4">
        <f>MIN(F8:F97)</f>
        <v>4.4833333333333334</v>
      </c>
      <c r="Q107" s="17"/>
    </row>
    <row r="108" spans="1:19" x14ac:dyDescent="0.2">
      <c r="D108" s="2" t="s">
        <v>419</v>
      </c>
      <c r="E108" s="4">
        <f>MAX(E8:E97)</f>
        <v>2.3166666666666669</v>
      </c>
      <c r="F108" s="4">
        <f>MAX(F8:F97)</f>
        <v>54.25</v>
      </c>
      <c r="Q108" s="17"/>
    </row>
    <row r="109" spans="1:19" x14ac:dyDescent="0.2">
      <c r="Q109" s="17"/>
    </row>
    <row r="110" spans="1:19" x14ac:dyDescent="0.2">
      <c r="Q110" s="17"/>
    </row>
    <row r="111" spans="1:19" x14ac:dyDescent="0.2">
      <c r="Q111" s="17"/>
    </row>
  </sheetData>
  <pageMargins left="0.5" right="0.5" top="0.75" bottom="0.75" header="0.5" footer="0.5"/>
  <pageSetup orientation="portrait" horizontalDpi="0" verticalDpi="0" copies="0"/>
  <headerFooter alignWithMargins="0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5"/>
  <sheetViews>
    <sheetView showOutlineSymbols="0" defaultGridColor="0" colorId="9" workbookViewId="0">
      <selection activeCell="C20" sqref="C20"/>
    </sheetView>
  </sheetViews>
  <sheetFormatPr defaultColWidth="8.6640625" defaultRowHeight="15" x14ac:dyDescent="0.2"/>
  <cols>
    <col min="1" max="16384" width="8.6640625" style="2"/>
  </cols>
  <sheetData>
    <row r="1" spans="1:15" x14ac:dyDescent="0.2">
      <c r="O1" s="2" t="s">
        <v>1</v>
      </c>
    </row>
    <row r="2" spans="1:15" ht="18" x14ac:dyDescent="0.25">
      <c r="A2" s="18" t="s">
        <v>2049</v>
      </c>
      <c r="O2" s="2" t="s">
        <v>1</v>
      </c>
    </row>
    <row r="3" spans="1:15" x14ac:dyDescent="0.2">
      <c r="A3" s="2" t="s">
        <v>2050</v>
      </c>
      <c r="O3" s="2" t="s">
        <v>1</v>
      </c>
    </row>
    <row r="4" spans="1:15" x14ac:dyDescent="0.2">
      <c r="O4" s="2" t="s">
        <v>1</v>
      </c>
    </row>
    <row r="5" spans="1:15" x14ac:dyDescent="0.2">
      <c r="A5" s="15" t="s">
        <v>253</v>
      </c>
      <c r="B5" s="8" t="s">
        <v>287</v>
      </c>
      <c r="C5" s="2" t="s">
        <v>2051</v>
      </c>
      <c r="D5" s="2" t="s">
        <v>82</v>
      </c>
      <c r="E5" s="8" t="s">
        <v>118</v>
      </c>
      <c r="F5" s="8" t="s">
        <v>123</v>
      </c>
      <c r="G5" s="8" t="s">
        <v>134</v>
      </c>
      <c r="H5" s="8" t="s">
        <v>136</v>
      </c>
      <c r="I5" s="8" t="s">
        <v>130</v>
      </c>
      <c r="J5" s="8" t="s">
        <v>133</v>
      </c>
      <c r="K5" s="8" t="s">
        <v>115</v>
      </c>
      <c r="L5" s="8" t="s">
        <v>121</v>
      </c>
      <c r="M5" s="8" t="s">
        <v>112</v>
      </c>
      <c r="O5" s="2" t="s">
        <v>1</v>
      </c>
    </row>
    <row r="6" spans="1:15" x14ac:dyDescent="0.2">
      <c r="B6" s="15" t="s">
        <v>291</v>
      </c>
      <c r="C6" s="2" t="s">
        <v>2052</v>
      </c>
      <c r="D6" s="2" t="s">
        <v>2053</v>
      </c>
      <c r="E6" s="8" t="s">
        <v>266</v>
      </c>
      <c r="F6" s="8" t="s">
        <v>266</v>
      </c>
      <c r="G6" s="8" t="s">
        <v>371</v>
      </c>
      <c r="H6" s="8" t="s">
        <v>144</v>
      </c>
      <c r="I6" s="8" t="s">
        <v>144</v>
      </c>
      <c r="J6" s="8" t="s">
        <v>144</v>
      </c>
      <c r="K6" s="8" t="s">
        <v>144</v>
      </c>
      <c r="L6" s="8" t="s">
        <v>144</v>
      </c>
      <c r="M6" s="8" t="s">
        <v>144</v>
      </c>
      <c r="O6" s="2" t="s">
        <v>1</v>
      </c>
    </row>
    <row r="7" spans="1:15" x14ac:dyDescent="0.2">
      <c r="A7" s="19"/>
      <c r="O7" s="2" t="s">
        <v>1</v>
      </c>
    </row>
    <row r="8" spans="1:15" x14ac:dyDescent="0.2">
      <c r="A8" s="7">
        <f>DATE(92,8,6)</f>
        <v>33822</v>
      </c>
      <c r="B8" s="2">
        <v>17.899999999999999</v>
      </c>
      <c r="C8" s="17">
        <v>36.281666666666666</v>
      </c>
      <c r="D8" s="17">
        <v>122.83666666666667</v>
      </c>
      <c r="E8" s="4">
        <v>75</v>
      </c>
      <c r="F8" s="4">
        <v>1770.5</v>
      </c>
      <c r="G8" s="4">
        <v>354.5</v>
      </c>
      <c r="H8" s="4">
        <v>531</v>
      </c>
      <c r="I8" s="4">
        <v>291.5</v>
      </c>
      <c r="J8" s="4">
        <v>65</v>
      </c>
      <c r="K8" s="4"/>
      <c r="L8" s="4">
        <v>243.5</v>
      </c>
      <c r="M8" s="4">
        <v>167</v>
      </c>
      <c r="O8" s="2" t="s">
        <v>1</v>
      </c>
    </row>
    <row r="9" spans="1:15" x14ac:dyDescent="0.2">
      <c r="A9" s="7">
        <f>DATE(92,8,8)</f>
        <v>33824</v>
      </c>
      <c r="B9" s="2">
        <v>18.5</v>
      </c>
      <c r="C9" s="17">
        <v>41.514333333333333</v>
      </c>
      <c r="D9" s="17">
        <v>128.95333333333335</v>
      </c>
      <c r="E9" s="4">
        <v>73</v>
      </c>
      <c r="F9" s="4">
        <v>1803.5</v>
      </c>
      <c r="G9" s="4">
        <v>349</v>
      </c>
      <c r="H9" s="4">
        <v>534</v>
      </c>
      <c r="I9" s="4">
        <v>287.5</v>
      </c>
      <c r="J9" s="4">
        <v>60.5</v>
      </c>
      <c r="K9" s="4"/>
      <c r="L9" s="4">
        <v>237</v>
      </c>
      <c r="M9" s="4">
        <v>164</v>
      </c>
      <c r="O9" s="2" t="s">
        <v>1</v>
      </c>
    </row>
    <row r="10" spans="1:15" x14ac:dyDescent="0.2">
      <c r="A10" s="7">
        <f>DATE(92,8,9)</f>
        <v>33825</v>
      </c>
      <c r="B10" s="2">
        <v>17.600000000000001</v>
      </c>
      <c r="C10" s="17">
        <v>43.180999999999997</v>
      </c>
      <c r="D10" s="17">
        <v>131.29583333333332</v>
      </c>
      <c r="E10" s="4">
        <v>71.5</v>
      </c>
      <c r="F10" s="4">
        <v>1809.5</v>
      </c>
      <c r="G10" s="4">
        <v>350.5</v>
      </c>
      <c r="H10" s="4">
        <v>526.5</v>
      </c>
      <c r="I10" s="4">
        <v>298</v>
      </c>
      <c r="J10" s="4">
        <v>62</v>
      </c>
      <c r="K10" s="4"/>
      <c r="L10" s="4">
        <v>226</v>
      </c>
      <c r="M10" s="4">
        <v>163.5</v>
      </c>
      <c r="O10" s="2" t="s">
        <v>1</v>
      </c>
    </row>
    <row r="11" spans="1:15" x14ac:dyDescent="0.2">
      <c r="A11" s="7">
        <f>DATE(92,8,10)</f>
        <v>33826</v>
      </c>
      <c r="B11" s="2">
        <v>15.4</v>
      </c>
      <c r="C11" s="17">
        <v>47.49816666666667</v>
      </c>
      <c r="D11" s="17">
        <v>139.71616666666668</v>
      </c>
      <c r="E11" s="4">
        <v>75</v>
      </c>
      <c r="F11" s="4">
        <v>1798</v>
      </c>
      <c r="G11" s="4">
        <v>349</v>
      </c>
      <c r="H11" s="4">
        <v>528.5</v>
      </c>
      <c r="I11" s="4">
        <v>287.5</v>
      </c>
      <c r="J11" s="4">
        <v>62</v>
      </c>
      <c r="K11" s="4">
        <v>20</v>
      </c>
      <c r="L11" s="4">
        <v>238.5</v>
      </c>
      <c r="M11" s="4">
        <v>163</v>
      </c>
      <c r="O11" s="2" t="s">
        <v>1</v>
      </c>
    </row>
    <row r="12" spans="1:15" x14ac:dyDescent="0.2">
      <c r="A12" s="7">
        <f>DATE(92,8,11)</f>
        <v>33827</v>
      </c>
      <c r="B12" s="2">
        <v>12.9</v>
      </c>
      <c r="C12" s="17">
        <v>48.953333333333333</v>
      </c>
      <c r="D12" s="17">
        <v>142.77166666666668</v>
      </c>
      <c r="E12" s="4">
        <v>68.5</v>
      </c>
      <c r="F12" s="4">
        <v>1804</v>
      </c>
      <c r="G12" s="4">
        <v>349</v>
      </c>
      <c r="H12" s="4">
        <v>529.5</v>
      </c>
      <c r="I12" s="4">
        <v>290</v>
      </c>
      <c r="J12" s="4">
        <v>60</v>
      </c>
      <c r="K12" s="4"/>
      <c r="L12" s="4">
        <v>235</v>
      </c>
      <c r="M12" s="4">
        <v>161.5</v>
      </c>
      <c r="O12" s="2" t="s">
        <v>1</v>
      </c>
    </row>
    <row r="13" spans="1:15" x14ac:dyDescent="0.2">
      <c r="A13" s="7">
        <f>DATE(92,8,12)</f>
        <v>33828</v>
      </c>
      <c r="B13" s="2">
        <v>12.6</v>
      </c>
      <c r="C13" s="17">
        <v>50.910666666666664</v>
      </c>
      <c r="D13" s="17">
        <v>148.53783333333334</v>
      </c>
      <c r="E13" s="4">
        <v>75.5</v>
      </c>
      <c r="F13" s="4">
        <v>1806.5</v>
      </c>
      <c r="G13" s="4">
        <v>348</v>
      </c>
      <c r="H13" s="4">
        <v>529.5</v>
      </c>
      <c r="I13" s="4">
        <v>293</v>
      </c>
      <c r="J13" s="4">
        <v>59.5</v>
      </c>
      <c r="K13" s="4"/>
      <c r="L13" s="4">
        <v>233.5</v>
      </c>
      <c r="M13" s="4">
        <v>161.5</v>
      </c>
      <c r="O13" s="2" t="s">
        <v>1</v>
      </c>
    </row>
    <row r="14" spans="1:15" x14ac:dyDescent="0.2">
      <c r="A14" s="7">
        <f>DATE(92,8,12)</f>
        <v>33828</v>
      </c>
      <c r="B14" s="2">
        <v>13.5</v>
      </c>
      <c r="C14" s="17">
        <v>51.7575</v>
      </c>
      <c r="D14" s="17">
        <v>151.81483333333333</v>
      </c>
      <c r="E14" s="4">
        <v>76</v>
      </c>
      <c r="F14" s="4">
        <v>1819</v>
      </c>
      <c r="G14" s="4">
        <v>346</v>
      </c>
      <c r="H14" s="4">
        <v>532</v>
      </c>
      <c r="I14" s="4">
        <v>282.5</v>
      </c>
      <c r="J14" s="4">
        <v>61.5</v>
      </c>
      <c r="K14" s="4">
        <v>24</v>
      </c>
      <c r="L14" s="4">
        <v>231</v>
      </c>
      <c r="M14" s="4">
        <v>162</v>
      </c>
      <c r="O14" s="2" t="s">
        <v>1</v>
      </c>
    </row>
    <row r="15" spans="1:15" x14ac:dyDescent="0.2">
      <c r="A15" s="7">
        <f>DATE(92,8,13)</f>
        <v>33829</v>
      </c>
      <c r="C15" s="17">
        <v>53.31666666666667</v>
      </c>
      <c r="D15" s="17">
        <v>158.58333333333334</v>
      </c>
      <c r="E15" s="4">
        <v>71.25</v>
      </c>
      <c r="F15" s="4">
        <v>1822</v>
      </c>
      <c r="G15" s="4">
        <v>346.75</v>
      </c>
      <c r="H15" s="4">
        <v>536.5</v>
      </c>
      <c r="I15" s="4">
        <v>292.75</v>
      </c>
      <c r="J15" s="4">
        <v>63.75</v>
      </c>
      <c r="K15" s="4"/>
      <c r="L15" s="4">
        <v>238.75</v>
      </c>
      <c r="M15" s="4">
        <v>160</v>
      </c>
      <c r="O15" s="2" t="s">
        <v>1</v>
      </c>
    </row>
    <row r="16" spans="1:15" x14ac:dyDescent="0.2">
      <c r="A16" s="7"/>
      <c r="C16" s="17"/>
      <c r="D16" s="17"/>
      <c r="E16" s="4"/>
      <c r="F16" s="4"/>
      <c r="G16" s="4"/>
      <c r="H16" s="4"/>
      <c r="I16" s="4"/>
      <c r="J16" s="4"/>
      <c r="K16" s="4"/>
      <c r="L16" s="4"/>
      <c r="M16" s="4"/>
      <c r="O16" s="2" t="s">
        <v>1</v>
      </c>
    </row>
    <row r="17" spans="1:15" x14ac:dyDescent="0.2">
      <c r="E17" s="8" t="s">
        <v>118</v>
      </c>
      <c r="F17" s="8" t="s">
        <v>123</v>
      </c>
      <c r="G17" s="8" t="s">
        <v>134</v>
      </c>
      <c r="H17" s="8" t="s">
        <v>136</v>
      </c>
      <c r="I17" s="8" t="s">
        <v>130</v>
      </c>
      <c r="J17" s="8" t="s">
        <v>133</v>
      </c>
      <c r="K17" s="8" t="s">
        <v>115</v>
      </c>
      <c r="L17" s="8" t="s">
        <v>121</v>
      </c>
      <c r="M17" s="8" t="s">
        <v>112</v>
      </c>
      <c r="O17" s="2" t="s">
        <v>1</v>
      </c>
    </row>
    <row r="18" spans="1:15" x14ac:dyDescent="0.2">
      <c r="B18" s="15" t="s">
        <v>291</v>
      </c>
      <c r="C18" s="2" t="s">
        <v>2052</v>
      </c>
      <c r="D18" s="2" t="s">
        <v>2053</v>
      </c>
      <c r="E18" s="8" t="s">
        <v>266</v>
      </c>
      <c r="F18" s="8" t="s">
        <v>266</v>
      </c>
      <c r="G18" s="8" t="s">
        <v>371</v>
      </c>
      <c r="H18" s="8" t="s">
        <v>144</v>
      </c>
      <c r="I18" s="8" t="s">
        <v>144</v>
      </c>
      <c r="J18" s="8" t="s">
        <v>144</v>
      </c>
      <c r="K18" s="8" t="s">
        <v>144</v>
      </c>
      <c r="L18" s="8" t="s">
        <v>144</v>
      </c>
      <c r="M18" s="8" t="s">
        <v>144</v>
      </c>
      <c r="O18" s="2" t="s">
        <v>1</v>
      </c>
    </row>
    <row r="19" spans="1:15" x14ac:dyDescent="0.2">
      <c r="O19" s="2" t="s">
        <v>1</v>
      </c>
    </row>
    <row r="20" spans="1:15" x14ac:dyDescent="0.2">
      <c r="A20" s="7">
        <f t="shared" ref="A20:M20" si="0">AVERAGE(A8:A15)</f>
        <v>33826.125</v>
      </c>
      <c r="B20" s="4">
        <f t="shared" si="0"/>
        <v>15.485714285714286</v>
      </c>
      <c r="C20" s="4">
        <f t="shared" si="0"/>
        <v>46.676666666666662</v>
      </c>
      <c r="D20" s="4">
        <f t="shared" si="0"/>
        <v>140.56370833333332</v>
      </c>
      <c r="E20" s="4">
        <f t="shared" si="0"/>
        <v>73.21875</v>
      </c>
      <c r="F20" s="4">
        <f t="shared" si="0"/>
        <v>1804.125</v>
      </c>
      <c r="G20" s="4">
        <f t="shared" si="0"/>
        <v>349.09375</v>
      </c>
      <c r="H20" s="4">
        <f t="shared" si="0"/>
        <v>530.9375</v>
      </c>
      <c r="I20" s="4">
        <f t="shared" si="0"/>
        <v>290.34375</v>
      </c>
      <c r="J20" s="4">
        <f t="shared" si="0"/>
        <v>61.78125</v>
      </c>
      <c r="K20" s="4">
        <f t="shared" si="0"/>
        <v>22</v>
      </c>
      <c r="L20" s="4">
        <f t="shared" si="0"/>
        <v>235.40625</v>
      </c>
      <c r="M20" s="4">
        <f t="shared" si="0"/>
        <v>162.8125</v>
      </c>
      <c r="O20" s="2" t="s">
        <v>1</v>
      </c>
    </row>
    <row r="21" spans="1:15" x14ac:dyDescent="0.2">
      <c r="A21" s="4"/>
      <c r="B21" s="4">
        <f t="shared" ref="B21:M21" si="1">STDEV(B8:B15)</f>
        <v>2.5281274832232188</v>
      </c>
      <c r="C21" s="4">
        <f t="shared" si="1"/>
        <v>5.8628941245662496</v>
      </c>
      <c r="D21" s="4">
        <f t="shared" si="1"/>
        <v>12.279001216992558</v>
      </c>
      <c r="E21" s="4">
        <f t="shared" si="1"/>
        <v>2.6303092566681747</v>
      </c>
      <c r="F21" s="4">
        <f t="shared" si="1"/>
        <v>15.783694117664597</v>
      </c>
      <c r="G21" s="4">
        <f t="shared" si="1"/>
        <v>2.6047261303802585</v>
      </c>
      <c r="H21" s="4">
        <f t="shared" si="1"/>
        <v>3.1896876246518469</v>
      </c>
      <c r="I21" s="4">
        <f t="shared" si="1"/>
        <v>4.638614132629332</v>
      </c>
      <c r="J21" s="4">
        <f t="shared" si="1"/>
        <v>1.8681422208019542</v>
      </c>
      <c r="K21" s="4">
        <f t="shared" si="1"/>
        <v>2.8284271247461903</v>
      </c>
      <c r="L21" s="4">
        <f t="shared" si="1"/>
        <v>5.3517979288673239</v>
      </c>
      <c r="M21" s="4">
        <f t="shared" si="1"/>
        <v>2.1202678402234265</v>
      </c>
      <c r="O21" s="2" t="s">
        <v>1</v>
      </c>
    </row>
    <row r="22" spans="1:15" x14ac:dyDescent="0.2">
      <c r="B22" s="2">
        <f t="shared" ref="B22:M22" si="2">COUNTA(B8:B15)</f>
        <v>7</v>
      </c>
      <c r="C22" s="2">
        <f t="shared" si="2"/>
        <v>8</v>
      </c>
      <c r="D22" s="2">
        <f t="shared" si="2"/>
        <v>8</v>
      </c>
      <c r="E22" s="2">
        <f t="shared" si="2"/>
        <v>8</v>
      </c>
      <c r="F22" s="2">
        <f t="shared" si="2"/>
        <v>8</v>
      </c>
      <c r="G22" s="2">
        <f t="shared" si="2"/>
        <v>8</v>
      </c>
      <c r="H22" s="2">
        <f t="shared" si="2"/>
        <v>8</v>
      </c>
      <c r="I22" s="2">
        <f t="shared" si="2"/>
        <v>8</v>
      </c>
      <c r="J22" s="2">
        <f t="shared" si="2"/>
        <v>8</v>
      </c>
      <c r="K22" s="2">
        <f t="shared" si="2"/>
        <v>2</v>
      </c>
      <c r="L22" s="2">
        <f t="shared" si="2"/>
        <v>8</v>
      </c>
      <c r="M22" s="2">
        <f t="shared" si="2"/>
        <v>8</v>
      </c>
      <c r="O22" s="2" t="s">
        <v>1</v>
      </c>
    </row>
    <row r="23" spans="1:15" x14ac:dyDescent="0.2">
      <c r="O23" s="2" t="s">
        <v>1</v>
      </c>
    </row>
    <row r="24" spans="1:15" x14ac:dyDescent="0.2">
      <c r="O24" s="2" t="s">
        <v>1</v>
      </c>
    </row>
    <row r="25" spans="1:15" x14ac:dyDescent="0.2">
      <c r="O25" s="2" t="s">
        <v>1</v>
      </c>
    </row>
    <row r="26" spans="1:15" x14ac:dyDescent="0.2">
      <c r="O26" s="2" t="s">
        <v>1</v>
      </c>
    </row>
    <row r="27" spans="1:15" x14ac:dyDescent="0.2">
      <c r="O27" s="2" t="s">
        <v>1</v>
      </c>
    </row>
    <row r="28" spans="1:15" x14ac:dyDescent="0.2">
      <c r="O28" s="2" t="s">
        <v>1</v>
      </c>
    </row>
    <row r="29" spans="1:15" x14ac:dyDescent="0.2">
      <c r="O29" s="2" t="s">
        <v>1</v>
      </c>
    </row>
    <row r="30" spans="1:15" x14ac:dyDescent="0.2">
      <c r="O30" s="2" t="s">
        <v>1</v>
      </c>
    </row>
    <row r="31" spans="1:15" x14ac:dyDescent="0.2">
      <c r="O31" s="2" t="s">
        <v>1</v>
      </c>
    </row>
    <row r="32" spans="1:15" x14ac:dyDescent="0.2">
      <c r="O32" s="2" t="s">
        <v>1</v>
      </c>
    </row>
    <row r="33" spans="15:15" x14ac:dyDescent="0.2">
      <c r="O33" s="2" t="s">
        <v>1</v>
      </c>
    </row>
    <row r="34" spans="15:15" x14ac:dyDescent="0.2">
      <c r="O34" s="2" t="s">
        <v>1</v>
      </c>
    </row>
    <row r="35" spans="15:15" x14ac:dyDescent="0.2">
      <c r="O35" s="2" t="s">
        <v>1</v>
      </c>
    </row>
    <row r="36" spans="15:15" x14ac:dyDescent="0.2">
      <c r="O36" s="2" t="s">
        <v>1</v>
      </c>
    </row>
    <row r="37" spans="15:15" x14ac:dyDescent="0.2">
      <c r="O37" s="2" t="s">
        <v>1</v>
      </c>
    </row>
    <row r="38" spans="15:15" x14ac:dyDescent="0.2">
      <c r="O38" s="2" t="s">
        <v>1</v>
      </c>
    </row>
    <row r="39" spans="15:15" x14ac:dyDescent="0.2">
      <c r="O39" s="2" t="s">
        <v>1</v>
      </c>
    </row>
    <row r="40" spans="15:15" x14ac:dyDescent="0.2">
      <c r="O40" s="2" t="s">
        <v>1</v>
      </c>
    </row>
    <row r="41" spans="15:15" x14ac:dyDescent="0.2">
      <c r="O41" s="2" t="s">
        <v>1</v>
      </c>
    </row>
    <row r="42" spans="15:15" x14ac:dyDescent="0.2">
      <c r="O42" s="2" t="s">
        <v>1</v>
      </c>
    </row>
    <row r="43" spans="15:15" x14ac:dyDescent="0.2">
      <c r="O43" s="2" t="s">
        <v>1</v>
      </c>
    </row>
    <row r="44" spans="15:15" x14ac:dyDescent="0.2">
      <c r="O44" s="2" t="s">
        <v>1</v>
      </c>
    </row>
    <row r="45" spans="15:15" x14ac:dyDescent="0.2">
      <c r="O45" s="2" t="s">
        <v>1</v>
      </c>
    </row>
  </sheetData>
  <pageMargins left="0.5" right="0.5" top="0.75" bottom="0.75" header="0.5" footer="0.5"/>
  <pageSetup orientation="portrait" horizontalDpi="0" verticalDpi="0" copies="0"/>
  <headerFooter alignWithMargins="0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77"/>
  <sheetViews>
    <sheetView showOutlineSymbols="0" defaultGridColor="0" topLeftCell="A43" colorId="9" workbookViewId="0">
      <selection activeCell="C57" sqref="C57"/>
    </sheetView>
  </sheetViews>
  <sheetFormatPr defaultColWidth="8.6640625" defaultRowHeight="15" x14ac:dyDescent="0.2"/>
  <cols>
    <col min="1" max="16384" width="8.6640625" style="2"/>
  </cols>
  <sheetData>
    <row r="1" spans="1:27" x14ac:dyDescent="0.2">
      <c r="AA1" s="2" t="s">
        <v>1</v>
      </c>
    </row>
    <row r="2" spans="1:27" ht="18" x14ac:dyDescent="0.25">
      <c r="A2" s="18" t="s">
        <v>2054</v>
      </c>
      <c r="U2" s="2" t="s">
        <v>2054</v>
      </c>
      <c r="X2" s="2" t="s">
        <v>2055</v>
      </c>
      <c r="AA2" s="2" t="s">
        <v>1</v>
      </c>
    </row>
    <row r="3" spans="1:27" x14ac:dyDescent="0.2">
      <c r="A3" s="2" t="s">
        <v>2055</v>
      </c>
      <c r="AA3" s="2" t="s">
        <v>1</v>
      </c>
    </row>
    <row r="4" spans="1:27" x14ac:dyDescent="0.2">
      <c r="A4" s="2" t="s">
        <v>2056</v>
      </c>
      <c r="AA4" s="2" t="s">
        <v>1</v>
      </c>
    </row>
    <row r="5" spans="1:27" x14ac:dyDescent="0.2">
      <c r="AA5" s="2" t="s">
        <v>1</v>
      </c>
    </row>
    <row r="6" spans="1:27" x14ac:dyDescent="0.2">
      <c r="E6" s="8" t="s">
        <v>283</v>
      </c>
      <c r="AA6" s="2" t="s">
        <v>1</v>
      </c>
    </row>
    <row r="7" spans="1:27" x14ac:dyDescent="0.2">
      <c r="A7" s="2" t="s">
        <v>285</v>
      </c>
      <c r="B7" s="15" t="s">
        <v>253</v>
      </c>
      <c r="C7" s="8" t="s">
        <v>286</v>
      </c>
      <c r="D7" s="8" t="s">
        <v>287</v>
      </c>
      <c r="E7" s="8" t="s">
        <v>368</v>
      </c>
      <c r="F7" s="8" t="s">
        <v>283</v>
      </c>
      <c r="G7" s="2" t="s">
        <v>2057</v>
      </c>
      <c r="H7" s="2" t="s">
        <v>448</v>
      </c>
      <c r="I7" s="8" t="s">
        <v>146</v>
      </c>
      <c r="J7" s="8" t="s">
        <v>123</v>
      </c>
      <c r="K7" s="8" t="s">
        <v>118</v>
      </c>
      <c r="L7" s="8" t="s">
        <v>134</v>
      </c>
      <c r="M7" s="8" t="s">
        <v>138</v>
      </c>
      <c r="N7" s="8" t="s">
        <v>136</v>
      </c>
      <c r="O7" s="8" t="s">
        <v>130</v>
      </c>
      <c r="P7" s="8" t="s">
        <v>133</v>
      </c>
      <c r="Q7" s="8" t="s">
        <v>127</v>
      </c>
      <c r="R7" s="8" t="s">
        <v>121</v>
      </c>
      <c r="S7" s="8" t="s">
        <v>112</v>
      </c>
      <c r="U7" s="2" t="s">
        <v>285</v>
      </c>
      <c r="V7" s="15" t="s">
        <v>253</v>
      </c>
      <c r="W7" s="8" t="s">
        <v>286</v>
      </c>
      <c r="X7" s="2" t="s">
        <v>203</v>
      </c>
      <c r="AA7" s="2" t="s">
        <v>1</v>
      </c>
    </row>
    <row r="8" spans="1:27" x14ac:dyDescent="0.2">
      <c r="A8" s="2" t="s">
        <v>289</v>
      </c>
      <c r="C8" s="8" t="s">
        <v>1184</v>
      </c>
      <c r="D8" s="15" t="s">
        <v>291</v>
      </c>
      <c r="E8" s="8" t="s">
        <v>2058</v>
      </c>
      <c r="F8" s="8" t="s">
        <v>292</v>
      </c>
      <c r="I8" s="8" t="s">
        <v>426</v>
      </c>
      <c r="J8" s="8" t="s">
        <v>266</v>
      </c>
      <c r="K8" s="8" t="s">
        <v>266</v>
      </c>
      <c r="L8" s="8" t="s">
        <v>371</v>
      </c>
      <c r="M8" s="8" t="s">
        <v>266</v>
      </c>
      <c r="N8" s="8" t="s">
        <v>144</v>
      </c>
      <c r="O8" s="8" t="s">
        <v>144</v>
      </c>
      <c r="P8" s="8" t="s">
        <v>144</v>
      </c>
      <c r="Q8" s="8" t="s">
        <v>144</v>
      </c>
      <c r="R8" s="8" t="s">
        <v>144</v>
      </c>
      <c r="S8" s="8" t="s">
        <v>2059</v>
      </c>
      <c r="U8" s="2" t="s">
        <v>289</v>
      </c>
      <c r="W8" s="8" t="s">
        <v>1184</v>
      </c>
      <c r="X8" s="2" t="s">
        <v>82</v>
      </c>
      <c r="AA8" s="2" t="s">
        <v>1</v>
      </c>
    </row>
    <row r="9" spans="1:27" x14ac:dyDescent="0.2">
      <c r="B9" s="19"/>
      <c r="V9" s="19"/>
      <c r="AA9" s="2" t="s">
        <v>1</v>
      </c>
    </row>
    <row r="10" spans="1:27" x14ac:dyDescent="0.2">
      <c r="A10" s="2">
        <v>1</v>
      </c>
      <c r="B10" s="19">
        <f>DATE(93,9,13)</f>
        <v>34225</v>
      </c>
      <c r="C10" s="2">
        <v>1215</v>
      </c>
      <c r="D10" s="2">
        <v>15.4</v>
      </c>
      <c r="E10" s="2">
        <v>5</v>
      </c>
      <c r="F10" s="2">
        <v>360</v>
      </c>
      <c r="G10" s="2" t="s">
        <v>2060</v>
      </c>
      <c r="H10" s="2">
        <v>2500</v>
      </c>
      <c r="I10" s="2">
        <v>12</v>
      </c>
      <c r="J10" s="2">
        <v>1807</v>
      </c>
      <c r="K10" s="2">
        <v>84</v>
      </c>
      <c r="L10" s="2">
        <v>356</v>
      </c>
      <c r="M10" s="2">
        <v>334.8</v>
      </c>
      <c r="N10" s="2">
        <v>536</v>
      </c>
      <c r="O10" s="2">
        <v>290</v>
      </c>
      <c r="P10" s="2">
        <v>59</v>
      </c>
      <c r="R10" s="2">
        <v>206</v>
      </c>
      <c r="S10" s="2">
        <v>159</v>
      </c>
      <c r="U10" s="2">
        <v>1</v>
      </c>
      <c r="V10" s="19">
        <f>DATE(93,9,13)</f>
        <v>34225</v>
      </c>
      <c r="W10" s="2">
        <v>1215</v>
      </c>
      <c r="X10" s="2" t="s">
        <v>2061</v>
      </c>
      <c r="AA10" s="2" t="s">
        <v>1</v>
      </c>
    </row>
    <row r="11" spans="1:27" x14ac:dyDescent="0.2">
      <c r="A11" s="2">
        <v>2</v>
      </c>
      <c r="B11" s="19">
        <f>DATE(93,9,13)</f>
        <v>34225</v>
      </c>
      <c r="C11" s="2">
        <v>1234</v>
      </c>
      <c r="D11" s="2">
        <v>16.100000000000001</v>
      </c>
      <c r="E11" s="2">
        <v>10</v>
      </c>
      <c r="F11" s="8" t="s">
        <v>365</v>
      </c>
      <c r="G11" s="2" t="s">
        <v>2060</v>
      </c>
      <c r="H11" s="2">
        <v>1500</v>
      </c>
      <c r="I11" s="2">
        <v>14</v>
      </c>
      <c r="J11" s="2">
        <v>1808</v>
      </c>
      <c r="K11" s="2">
        <v>96</v>
      </c>
      <c r="L11" s="2">
        <v>355</v>
      </c>
      <c r="M11" s="2">
        <v>344.2</v>
      </c>
      <c r="N11" s="2">
        <v>540</v>
      </c>
      <c r="O11" s="2">
        <v>288</v>
      </c>
      <c r="P11" s="2">
        <v>58</v>
      </c>
      <c r="R11" s="2">
        <v>207</v>
      </c>
      <c r="S11" s="2">
        <v>158</v>
      </c>
      <c r="V11" s="19"/>
      <c r="W11" s="2" t="s">
        <v>2062</v>
      </c>
      <c r="X11" s="2" t="s">
        <v>2063</v>
      </c>
      <c r="AA11" s="2" t="s">
        <v>1</v>
      </c>
    </row>
    <row r="12" spans="1:27" x14ac:dyDescent="0.2">
      <c r="A12" s="2">
        <v>3</v>
      </c>
      <c r="B12" s="19">
        <f>DATE(93,9,13)</f>
        <v>34225</v>
      </c>
      <c r="C12" s="2">
        <v>1244</v>
      </c>
      <c r="D12" s="2">
        <v>16.100000000000001</v>
      </c>
      <c r="E12" s="8" t="s">
        <v>2064</v>
      </c>
      <c r="F12" s="8" t="s">
        <v>2065</v>
      </c>
      <c r="G12" s="2" t="s">
        <v>2060</v>
      </c>
      <c r="H12" s="2">
        <v>1000</v>
      </c>
      <c r="I12" s="2">
        <v>16</v>
      </c>
      <c r="J12" s="2">
        <v>1812</v>
      </c>
      <c r="K12" s="2">
        <v>107</v>
      </c>
      <c r="L12" s="2">
        <v>356</v>
      </c>
      <c r="M12" s="2">
        <v>344.6</v>
      </c>
      <c r="N12" s="2">
        <v>543</v>
      </c>
      <c r="O12" s="2">
        <v>289</v>
      </c>
      <c r="P12" s="2">
        <v>58</v>
      </c>
      <c r="R12" s="2">
        <v>214</v>
      </c>
      <c r="S12" s="2">
        <v>159</v>
      </c>
      <c r="V12" s="19"/>
      <c r="W12" s="2" t="s">
        <v>2066</v>
      </c>
      <c r="AA12" s="2" t="s">
        <v>1</v>
      </c>
    </row>
    <row r="13" spans="1:27" x14ac:dyDescent="0.2">
      <c r="A13" s="2">
        <v>4</v>
      </c>
      <c r="B13" s="19">
        <f>DATE(93,9,13)</f>
        <v>34225</v>
      </c>
      <c r="C13" s="2">
        <v>1258</v>
      </c>
      <c r="D13" s="2">
        <v>14.7</v>
      </c>
      <c r="E13" s="2">
        <v>15</v>
      </c>
      <c r="F13" s="8" t="s">
        <v>365</v>
      </c>
      <c r="H13" s="2">
        <v>500</v>
      </c>
      <c r="I13" s="2">
        <v>22</v>
      </c>
      <c r="J13" s="2">
        <v>1822</v>
      </c>
      <c r="K13" s="2">
        <v>142</v>
      </c>
      <c r="L13" s="2">
        <v>364</v>
      </c>
      <c r="M13" s="2">
        <v>347.4</v>
      </c>
      <c r="N13" s="2">
        <v>552</v>
      </c>
      <c r="O13" s="2">
        <v>288</v>
      </c>
      <c r="P13" s="2">
        <v>59</v>
      </c>
      <c r="R13" s="2">
        <v>232</v>
      </c>
      <c r="S13" s="2">
        <v>161</v>
      </c>
      <c r="V13" s="19"/>
      <c r="AA13" s="2" t="s">
        <v>1</v>
      </c>
    </row>
    <row r="14" spans="1:27" x14ac:dyDescent="0.2">
      <c r="B14" s="19"/>
      <c r="U14" s="2">
        <v>2</v>
      </c>
      <c r="V14" s="19">
        <f>DATE(93,9,13)</f>
        <v>34225</v>
      </c>
      <c r="W14" s="2">
        <v>1234</v>
      </c>
      <c r="X14" s="2" t="s">
        <v>2067</v>
      </c>
      <c r="AA14" s="2" t="s">
        <v>1</v>
      </c>
    </row>
    <row r="15" spans="1:27" x14ac:dyDescent="0.2">
      <c r="A15" s="2">
        <v>1</v>
      </c>
      <c r="B15" s="19">
        <f>DATE(93,9,14)</f>
        <v>34226</v>
      </c>
      <c r="C15" s="2">
        <v>1034</v>
      </c>
      <c r="D15" s="2">
        <v>12.6</v>
      </c>
      <c r="G15" s="2" t="s">
        <v>1140</v>
      </c>
      <c r="H15" s="2">
        <v>2500</v>
      </c>
      <c r="I15" s="2">
        <v>9</v>
      </c>
      <c r="J15" s="2">
        <v>1804</v>
      </c>
      <c r="K15" s="2">
        <v>78</v>
      </c>
      <c r="L15" s="2">
        <v>356</v>
      </c>
      <c r="M15" s="2">
        <v>344.3</v>
      </c>
      <c r="N15" s="2">
        <v>541</v>
      </c>
      <c r="O15" s="2">
        <v>293</v>
      </c>
      <c r="P15" s="2">
        <v>58</v>
      </c>
      <c r="R15" s="2">
        <v>203</v>
      </c>
      <c r="S15" s="2">
        <v>160</v>
      </c>
      <c r="V15" s="19"/>
      <c r="W15" s="2" t="s">
        <v>2062</v>
      </c>
      <c r="X15" s="2" t="s">
        <v>2068</v>
      </c>
      <c r="AA15" s="2" t="s">
        <v>1</v>
      </c>
    </row>
    <row r="16" spans="1:27" x14ac:dyDescent="0.2">
      <c r="A16" s="2">
        <v>2</v>
      </c>
      <c r="B16" s="19">
        <f>DATE(93,9,14)</f>
        <v>34226</v>
      </c>
      <c r="C16" s="2">
        <v>1054</v>
      </c>
      <c r="D16" s="2">
        <v>12.2</v>
      </c>
      <c r="G16" s="2" t="s">
        <v>1140</v>
      </c>
      <c r="H16" s="2">
        <v>2000</v>
      </c>
      <c r="I16" s="2">
        <v>14</v>
      </c>
      <c r="J16" s="2">
        <v>1801</v>
      </c>
      <c r="K16" s="2">
        <v>74</v>
      </c>
      <c r="L16" s="2">
        <v>354</v>
      </c>
      <c r="M16" s="2">
        <v>342.5</v>
      </c>
      <c r="N16" s="2">
        <v>536</v>
      </c>
      <c r="O16" s="2">
        <v>294</v>
      </c>
      <c r="P16" s="2">
        <v>59</v>
      </c>
      <c r="R16" s="2">
        <v>204</v>
      </c>
      <c r="S16" s="2">
        <v>160</v>
      </c>
      <c r="V16" s="19"/>
      <c r="W16" s="2" t="s">
        <v>2066</v>
      </c>
      <c r="X16" s="2" t="s">
        <v>2069</v>
      </c>
      <c r="AA16" s="2" t="s">
        <v>1</v>
      </c>
    </row>
    <row r="17" spans="1:27" x14ac:dyDescent="0.2">
      <c r="A17" s="2">
        <v>3</v>
      </c>
      <c r="B17" s="19">
        <f>DATE(93,9,14)</f>
        <v>34226</v>
      </c>
      <c r="C17" s="2">
        <v>1105</v>
      </c>
      <c r="D17" s="2">
        <v>11.4</v>
      </c>
      <c r="G17" s="2" t="s">
        <v>1140</v>
      </c>
      <c r="H17" s="2">
        <v>1500</v>
      </c>
      <c r="I17" s="2">
        <v>16</v>
      </c>
      <c r="J17" s="2">
        <v>1794</v>
      </c>
      <c r="K17" s="2">
        <v>71</v>
      </c>
      <c r="L17" s="2">
        <v>356</v>
      </c>
      <c r="M17" s="2">
        <v>342.7</v>
      </c>
      <c r="N17" s="2">
        <v>540</v>
      </c>
      <c r="O17" s="2">
        <v>294</v>
      </c>
      <c r="P17" s="2">
        <v>59</v>
      </c>
      <c r="R17" s="2">
        <v>201</v>
      </c>
      <c r="S17" s="2">
        <v>161</v>
      </c>
      <c r="V17" s="19"/>
      <c r="AA17" s="2" t="s">
        <v>1</v>
      </c>
    </row>
    <row r="18" spans="1:27" x14ac:dyDescent="0.2">
      <c r="A18" s="2">
        <v>4</v>
      </c>
      <c r="B18" s="19">
        <f>DATE(93,9,14)</f>
        <v>34226</v>
      </c>
      <c r="C18" s="2">
        <v>1126</v>
      </c>
      <c r="D18" s="2">
        <v>13.8</v>
      </c>
      <c r="G18" s="2" t="s">
        <v>1140</v>
      </c>
      <c r="H18" s="2">
        <v>500</v>
      </c>
      <c r="I18" s="2">
        <v>9</v>
      </c>
      <c r="J18" s="2">
        <v>1796</v>
      </c>
      <c r="K18" s="2">
        <v>69</v>
      </c>
      <c r="L18" s="2">
        <v>356</v>
      </c>
      <c r="M18" s="2">
        <v>341.2</v>
      </c>
      <c r="N18" s="2">
        <v>534</v>
      </c>
      <c r="O18" s="2">
        <v>294</v>
      </c>
      <c r="P18" s="2">
        <v>59</v>
      </c>
      <c r="Q18" s="2">
        <v>24</v>
      </c>
      <c r="R18" s="2">
        <v>202</v>
      </c>
      <c r="S18" s="2">
        <v>163</v>
      </c>
      <c r="U18" s="2">
        <v>3</v>
      </c>
      <c r="V18" s="19">
        <f>DATE(93,9,13)</f>
        <v>34225</v>
      </c>
      <c r="W18" s="2">
        <v>1244</v>
      </c>
      <c r="X18" s="2" t="s">
        <v>2070</v>
      </c>
      <c r="AA18" s="2" t="s">
        <v>1</v>
      </c>
    </row>
    <row r="19" spans="1:27" x14ac:dyDescent="0.2">
      <c r="B19" s="19"/>
      <c r="V19" s="19"/>
      <c r="W19" s="2" t="s">
        <v>2062</v>
      </c>
      <c r="X19" s="2" t="s">
        <v>2071</v>
      </c>
      <c r="AA19" s="2" t="s">
        <v>1</v>
      </c>
    </row>
    <row r="20" spans="1:27" x14ac:dyDescent="0.2">
      <c r="A20" s="2">
        <v>1</v>
      </c>
      <c r="B20" s="19">
        <f t="shared" ref="B20:B25" si="0">DATE(93,9,15)</f>
        <v>34227</v>
      </c>
      <c r="C20" s="2">
        <v>1114</v>
      </c>
      <c r="D20" s="2">
        <v>6.5</v>
      </c>
      <c r="G20" s="2" t="s">
        <v>1140</v>
      </c>
      <c r="H20" s="2">
        <v>3500</v>
      </c>
      <c r="I20" s="2">
        <v>10</v>
      </c>
      <c r="J20" s="2">
        <v>1803</v>
      </c>
      <c r="K20" s="2">
        <v>96</v>
      </c>
      <c r="L20" s="2">
        <v>359</v>
      </c>
      <c r="M20" s="2">
        <v>342.7</v>
      </c>
      <c r="N20" s="2">
        <v>539</v>
      </c>
      <c r="O20" s="2">
        <v>300</v>
      </c>
      <c r="P20" s="2">
        <v>60</v>
      </c>
      <c r="R20" s="2">
        <v>209</v>
      </c>
      <c r="S20" s="2">
        <v>166</v>
      </c>
      <c r="V20" s="19"/>
      <c r="W20" s="2" t="s">
        <v>2066</v>
      </c>
      <c r="X20" s="2" t="s">
        <v>2072</v>
      </c>
      <c r="AA20" s="2" t="s">
        <v>1</v>
      </c>
    </row>
    <row r="21" spans="1:27" x14ac:dyDescent="0.2">
      <c r="A21" s="2">
        <v>2</v>
      </c>
      <c r="B21" s="19">
        <f t="shared" si="0"/>
        <v>34227</v>
      </c>
      <c r="C21" s="2">
        <v>1138</v>
      </c>
      <c r="D21" s="2">
        <v>9.3000000000000007</v>
      </c>
      <c r="G21" s="2" t="s">
        <v>2073</v>
      </c>
      <c r="H21" s="2">
        <v>2500</v>
      </c>
      <c r="I21" s="2">
        <v>16</v>
      </c>
      <c r="J21" s="2">
        <v>1794</v>
      </c>
      <c r="K21" s="2">
        <v>79</v>
      </c>
      <c r="L21" s="2">
        <v>356</v>
      </c>
      <c r="M21" s="2">
        <v>342.8</v>
      </c>
      <c r="N21" s="2">
        <v>540</v>
      </c>
      <c r="O21" s="2">
        <v>298</v>
      </c>
      <c r="P21" s="2">
        <v>58</v>
      </c>
      <c r="R21" s="2">
        <v>207</v>
      </c>
      <c r="S21" s="2">
        <v>164</v>
      </c>
      <c r="V21" s="19"/>
      <c r="AA21" s="2" t="s">
        <v>1</v>
      </c>
    </row>
    <row r="22" spans="1:27" x14ac:dyDescent="0.2">
      <c r="A22" s="2">
        <v>3</v>
      </c>
      <c r="B22" s="19">
        <f t="shared" si="0"/>
        <v>34227</v>
      </c>
      <c r="C22" s="2">
        <v>1200</v>
      </c>
      <c r="D22" s="2">
        <v>11.4</v>
      </c>
      <c r="H22" s="2">
        <v>1500</v>
      </c>
      <c r="I22" s="2">
        <v>12</v>
      </c>
      <c r="J22" s="2">
        <v>1810</v>
      </c>
      <c r="K22" s="2">
        <v>83</v>
      </c>
      <c r="L22" s="2">
        <v>357</v>
      </c>
      <c r="M22" s="2">
        <v>344.1</v>
      </c>
      <c r="N22" s="2">
        <v>538</v>
      </c>
      <c r="O22" s="2">
        <v>298</v>
      </c>
      <c r="P22" s="2">
        <v>59</v>
      </c>
      <c r="R22" s="2">
        <v>208</v>
      </c>
      <c r="S22" s="2">
        <v>166</v>
      </c>
      <c r="U22" s="2">
        <v>4</v>
      </c>
      <c r="V22" s="19">
        <f>DATE(93,9,13)</f>
        <v>34225</v>
      </c>
      <c r="W22" s="2">
        <v>1258</v>
      </c>
      <c r="X22" s="2" t="s">
        <v>2074</v>
      </c>
      <c r="AA22" s="2" t="s">
        <v>1</v>
      </c>
    </row>
    <row r="23" spans="1:27" x14ac:dyDescent="0.2">
      <c r="A23" s="2">
        <v>4</v>
      </c>
      <c r="B23" s="19">
        <f t="shared" si="0"/>
        <v>34227</v>
      </c>
      <c r="C23" s="2">
        <v>1222</v>
      </c>
      <c r="D23" s="2">
        <v>13.4</v>
      </c>
      <c r="G23" s="2" t="s">
        <v>2073</v>
      </c>
      <c r="H23" s="2">
        <v>500</v>
      </c>
      <c r="I23" s="2">
        <v>20</v>
      </c>
      <c r="J23" s="2">
        <v>1797</v>
      </c>
      <c r="K23" s="2">
        <v>78</v>
      </c>
      <c r="L23" s="2">
        <v>355</v>
      </c>
      <c r="M23" s="2">
        <v>338.6</v>
      </c>
      <c r="N23" s="2">
        <v>535</v>
      </c>
      <c r="O23" s="2">
        <v>292</v>
      </c>
      <c r="P23" s="2">
        <v>58</v>
      </c>
      <c r="R23" s="2">
        <v>203</v>
      </c>
      <c r="S23" s="2">
        <v>163</v>
      </c>
      <c r="V23" s="19"/>
      <c r="W23" s="2" t="s">
        <v>2062</v>
      </c>
      <c r="X23" s="2" t="s">
        <v>2075</v>
      </c>
      <c r="AA23" s="2" t="s">
        <v>1</v>
      </c>
    </row>
    <row r="24" spans="1:27" x14ac:dyDescent="0.2">
      <c r="A24" s="2">
        <v>5</v>
      </c>
      <c r="B24" s="19">
        <f t="shared" si="0"/>
        <v>34227</v>
      </c>
      <c r="C24" s="2">
        <v>1552</v>
      </c>
      <c r="I24" s="2">
        <v>13</v>
      </c>
      <c r="J24" s="2">
        <v>1799</v>
      </c>
      <c r="K24" s="2">
        <v>77</v>
      </c>
      <c r="L24" s="2">
        <v>356</v>
      </c>
      <c r="M24" s="2">
        <v>343.1</v>
      </c>
      <c r="N24" s="2">
        <v>534</v>
      </c>
      <c r="O24" s="2">
        <v>297</v>
      </c>
      <c r="P24" s="2">
        <v>58</v>
      </c>
      <c r="R24" s="2">
        <v>207</v>
      </c>
      <c r="S24" s="2">
        <v>164</v>
      </c>
      <c r="V24" s="19"/>
      <c r="W24" s="2" t="s">
        <v>2066</v>
      </c>
      <c r="X24" s="2" t="s">
        <v>2076</v>
      </c>
      <c r="AA24" s="2" t="s">
        <v>1</v>
      </c>
    </row>
    <row r="25" spans="1:27" x14ac:dyDescent="0.2">
      <c r="A25" s="2">
        <v>6</v>
      </c>
      <c r="B25" s="19">
        <f t="shared" si="0"/>
        <v>34227</v>
      </c>
      <c r="C25" s="2">
        <v>1637</v>
      </c>
      <c r="I25" s="2">
        <v>15</v>
      </c>
      <c r="J25" s="2">
        <v>1802</v>
      </c>
      <c r="K25" s="2">
        <v>80</v>
      </c>
      <c r="L25" s="2">
        <v>364</v>
      </c>
      <c r="M25" s="2">
        <v>341.1</v>
      </c>
      <c r="N25" s="2">
        <v>535</v>
      </c>
      <c r="O25" s="2">
        <v>297</v>
      </c>
      <c r="P25" s="2">
        <v>63</v>
      </c>
      <c r="R25" s="2">
        <v>206</v>
      </c>
      <c r="S25" s="2">
        <v>162</v>
      </c>
      <c r="V25" s="19"/>
      <c r="X25" s="2" t="s">
        <v>2077</v>
      </c>
      <c r="AA25" s="2" t="s">
        <v>1</v>
      </c>
    </row>
    <row r="26" spans="1:27" x14ac:dyDescent="0.2">
      <c r="B26" s="19"/>
      <c r="V26" s="19">
        <f>DATE(93,9,13)</f>
        <v>34225</v>
      </c>
      <c r="W26" s="2" t="s">
        <v>2078</v>
      </c>
      <c r="X26" s="2" t="s">
        <v>2079</v>
      </c>
      <c r="AA26" s="2" t="s">
        <v>1</v>
      </c>
    </row>
    <row r="27" spans="1:27" x14ac:dyDescent="0.2">
      <c r="A27" s="2">
        <v>1</v>
      </c>
      <c r="B27" s="19">
        <f t="shared" ref="B27:B32" si="1">DATE(93,9,16)</f>
        <v>34228</v>
      </c>
      <c r="C27" s="2">
        <v>1053</v>
      </c>
      <c r="D27" s="2">
        <v>12.7</v>
      </c>
      <c r="H27" s="2">
        <v>3000</v>
      </c>
      <c r="I27" s="2">
        <v>17</v>
      </c>
      <c r="J27" s="2">
        <v>1801</v>
      </c>
      <c r="K27" s="2">
        <v>78</v>
      </c>
      <c r="L27" s="2">
        <v>357</v>
      </c>
      <c r="M27" s="2">
        <v>340.1</v>
      </c>
      <c r="N27" s="2">
        <v>531</v>
      </c>
      <c r="O27" s="2">
        <v>291</v>
      </c>
      <c r="P27" s="2">
        <v>58</v>
      </c>
      <c r="Q27" s="2">
        <v>61</v>
      </c>
      <c r="R27" s="2">
        <v>208</v>
      </c>
      <c r="S27" s="2">
        <v>164</v>
      </c>
      <c r="V27" s="19"/>
      <c r="X27" s="2" t="s">
        <v>2080</v>
      </c>
      <c r="AA27" s="2" t="s">
        <v>1</v>
      </c>
    </row>
    <row r="28" spans="1:27" x14ac:dyDescent="0.2">
      <c r="A28" s="2">
        <v>2</v>
      </c>
      <c r="B28" s="19">
        <f t="shared" si="1"/>
        <v>34228</v>
      </c>
      <c r="C28" s="2">
        <v>1108</v>
      </c>
      <c r="D28" s="2">
        <v>15.4</v>
      </c>
      <c r="H28" s="2">
        <v>2000</v>
      </c>
      <c r="I28" s="2">
        <v>15</v>
      </c>
      <c r="J28" s="2">
        <v>1806</v>
      </c>
      <c r="K28" s="2">
        <v>94</v>
      </c>
      <c r="L28" s="2">
        <v>358</v>
      </c>
      <c r="M28" s="2">
        <v>339.8</v>
      </c>
      <c r="N28" s="2">
        <v>536</v>
      </c>
      <c r="O28" s="2">
        <v>291</v>
      </c>
      <c r="P28" s="2">
        <v>59</v>
      </c>
      <c r="Q28" s="2">
        <v>79</v>
      </c>
      <c r="R28" s="2">
        <v>206</v>
      </c>
      <c r="S28" s="2">
        <v>162</v>
      </c>
      <c r="V28" s="19"/>
      <c r="X28" s="2" t="s">
        <v>2081</v>
      </c>
      <c r="AA28" s="2" t="s">
        <v>1</v>
      </c>
    </row>
    <row r="29" spans="1:27" x14ac:dyDescent="0.2">
      <c r="A29" s="2">
        <v>3</v>
      </c>
      <c r="B29" s="19">
        <f t="shared" si="1"/>
        <v>34228</v>
      </c>
      <c r="C29" s="2">
        <v>1120</v>
      </c>
      <c r="D29" s="2">
        <v>16.3</v>
      </c>
      <c r="H29" s="2">
        <v>1000</v>
      </c>
      <c r="I29" s="2">
        <v>18</v>
      </c>
      <c r="J29" s="2">
        <v>1810</v>
      </c>
      <c r="K29" s="2">
        <v>129</v>
      </c>
      <c r="L29" s="2">
        <v>358</v>
      </c>
      <c r="M29" s="2">
        <v>338.9</v>
      </c>
      <c r="N29" s="2">
        <v>537</v>
      </c>
      <c r="O29" s="2">
        <v>292</v>
      </c>
      <c r="P29" s="2">
        <v>61</v>
      </c>
      <c r="Q29" s="2">
        <v>119</v>
      </c>
      <c r="R29" s="2">
        <v>223</v>
      </c>
      <c r="S29" s="2">
        <v>162</v>
      </c>
      <c r="V29" s="19"/>
      <c r="AA29" s="2" t="s">
        <v>1</v>
      </c>
    </row>
    <row r="30" spans="1:27" x14ac:dyDescent="0.2">
      <c r="A30" s="2">
        <v>4</v>
      </c>
      <c r="B30" s="19">
        <f t="shared" si="1"/>
        <v>34228</v>
      </c>
      <c r="C30" s="2">
        <v>1135</v>
      </c>
      <c r="D30" s="2">
        <v>14.9</v>
      </c>
      <c r="H30" s="2">
        <v>500</v>
      </c>
      <c r="I30" s="2">
        <v>31</v>
      </c>
      <c r="J30" s="2">
        <v>1831</v>
      </c>
      <c r="K30" s="2">
        <v>164</v>
      </c>
      <c r="L30" s="2">
        <v>366</v>
      </c>
      <c r="M30" s="2">
        <v>340.3</v>
      </c>
      <c r="N30" s="2">
        <v>543</v>
      </c>
      <c r="O30" s="2">
        <v>297</v>
      </c>
      <c r="P30" s="2">
        <v>62</v>
      </c>
      <c r="Q30" s="2">
        <v>177</v>
      </c>
      <c r="R30" s="2">
        <v>244</v>
      </c>
      <c r="S30" s="2">
        <v>166</v>
      </c>
      <c r="U30" s="2">
        <v>1</v>
      </c>
      <c r="V30" s="19">
        <f>DATE(93,9,14)</f>
        <v>34226</v>
      </c>
      <c r="W30" s="2">
        <v>1034</v>
      </c>
      <c r="X30" s="2" t="s">
        <v>2082</v>
      </c>
      <c r="AA30" s="2" t="s">
        <v>1</v>
      </c>
    </row>
    <row r="31" spans="1:27" x14ac:dyDescent="0.2">
      <c r="A31" s="2">
        <v>5</v>
      </c>
      <c r="B31" s="19">
        <f t="shared" si="1"/>
        <v>34228</v>
      </c>
      <c r="C31" s="2">
        <v>1325</v>
      </c>
      <c r="H31" s="2">
        <v>2000</v>
      </c>
      <c r="I31" s="2">
        <v>22</v>
      </c>
      <c r="J31" s="2">
        <v>1808</v>
      </c>
      <c r="K31" s="2">
        <v>102</v>
      </c>
      <c r="L31" s="2">
        <v>359</v>
      </c>
      <c r="M31" s="2">
        <v>342.3</v>
      </c>
      <c r="N31" s="2">
        <v>538</v>
      </c>
      <c r="O31" s="2">
        <v>302</v>
      </c>
      <c r="P31" s="2">
        <v>59</v>
      </c>
      <c r="Q31" s="8" t="s">
        <v>1187</v>
      </c>
      <c r="R31" s="2">
        <v>217</v>
      </c>
      <c r="S31" s="2">
        <v>164</v>
      </c>
      <c r="V31" s="19"/>
      <c r="W31" s="2" t="s">
        <v>2083</v>
      </c>
      <c r="X31" s="2" t="s">
        <v>2084</v>
      </c>
      <c r="AA31" s="2" t="s">
        <v>1</v>
      </c>
    </row>
    <row r="32" spans="1:27" x14ac:dyDescent="0.2">
      <c r="A32" s="2">
        <v>6</v>
      </c>
      <c r="B32" s="19">
        <f t="shared" si="1"/>
        <v>34228</v>
      </c>
      <c r="C32" s="2">
        <v>1345</v>
      </c>
      <c r="I32" s="2">
        <v>34</v>
      </c>
      <c r="J32" s="2">
        <v>1839</v>
      </c>
      <c r="K32" s="2">
        <v>162</v>
      </c>
      <c r="L32" s="2">
        <v>367</v>
      </c>
      <c r="M32" s="2">
        <v>342.9</v>
      </c>
      <c r="N32" s="2">
        <v>552</v>
      </c>
      <c r="O32" s="2">
        <v>303</v>
      </c>
      <c r="P32" s="2">
        <v>75</v>
      </c>
      <c r="Q32" s="2">
        <v>53</v>
      </c>
      <c r="R32" s="2">
        <v>246</v>
      </c>
      <c r="S32" s="2">
        <v>158</v>
      </c>
      <c r="V32" s="19"/>
      <c r="W32" s="2" t="s">
        <v>2085</v>
      </c>
      <c r="X32" s="2" t="s">
        <v>2086</v>
      </c>
      <c r="AA32" s="2" t="s">
        <v>1</v>
      </c>
    </row>
    <row r="33" spans="1:27" x14ac:dyDescent="0.2">
      <c r="B33" s="19"/>
      <c r="V33" s="19"/>
      <c r="X33" s="2" t="s">
        <v>2087</v>
      </c>
      <c r="AA33" s="2" t="s">
        <v>1</v>
      </c>
    </row>
    <row r="34" spans="1:27" x14ac:dyDescent="0.2">
      <c r="A34" s="2">
        <v>1</v>
      </c>
      <c r="B34" s="19">
        <f>DATE(93,9,17)</f>
        <v>34229</v>
      </c>
      <c r="C34" s="8" t="s">
        <v>734</v>
      </c>
      <c r="D34" s="2">
        <v>14</v>
      </c>
      <c r="F34" s="2" t="s">
        <v>365</v>
      </c>
      <c r="G34" s="2" t="s">
        <v>1140</v>
      </c>
      <c r="H34" s="2">
        <v>1400</v>
      </c>
      <c r="I34" s="2">
        <v>13</v>
      </c>
      <c r="J34" s="2">
        <v>1813</v>
      </c>
      <c r="K34" s="2">
        <v>88</v>
      </c>
      <c r="L34" s="2">
        <v>356</v>
      </c>
      <c r="M34" s="2">
        <v>339.2</v>
      </c>
      <c r="N34" s="2">
        <v>541</v>
      </c>
      <c r="O34" s="2">
        <v>291</v>
      </c>
      <c r="P34" s="2">
        <v>58</v>
      </c>
      <c r="Q34" s="8" t="s">
        <v>1187</v>
      </c>
      <c r="R34" s="2">
        <v>207</v>
      </c>
      <c r="S34" s="2">
        <v>163</v>
      </c>
      <c r="V34" s="19"/>
      <c r="AA34" s="2" t="s">
        <v>1</v>
      </c>
    </row>
    <row r="35" spans="1:27" x14ac:dyDescent="0.2">
      <c r="A35" s="2">
        <v>2</v>
      </c>
      <c r="B35" s="19">
        <f>DATE(93,9,17)</f>
        <v>34229</v>
      </c>
      <c r="C35" s="2">
        <v>1018</v>
      </c>
      <c r="D35" s="2">
        <v>15</v>
      </c>
      <c r="F35" s="2" t="s">
        <v>365</v>
      </c>
      <c r="G35" s="2" t="s">
        <v>1140</v>
      </c>
      <c r="H35" s="2">
        <v>1450</v>
      </c>
      <c r="I35" s="2">
        <v>16</v>
      </c>
      <c r="J35" s="2">
        <v>1811</v>
      </c>
      <c r="K35" s="2">
        <v>100</v>
      </c>
      <c r="L35" s="2">
        <v>356</v>
      </c>
      <c r="M35" s="2">
        <v>340.9</v>
      </c>
      <c r="N35" s="2">
        <v>538</v>
      </c>
      <c r="O35" s="2">
        <v>292</v>
      </c>
      <c r="P35" s="2">
        <v>59</v>
      </c>
      <c r="Q35" s="2">
        <v>26</v>
      </c>
      <c r="R35" s="2">
        <v>209</v>
      </c>
      <c r="S35" s="2">
        <v>163</v>
      </c>
      <c r="U35" s="2">
        <v>2</v>
      </c>
      <c r="V35" s="19">
        <f>DATE(93,9,14)</f>
        <v>34226</v>
      </c>
      <c r="W35" s="2">
        <v>1054</v>
      </c>
      <c r="X35" s="2" t="s">
        <v>2088</v>
      </c>
      <c r="AA35" s="2" t="s">
        <v>1</v>
      </c>
    </row>
    <row r="36" spans="1:27" x14ac:dyDescent="0.2">
      <c r="A36" s="2">
        <v>3</v>
      </c>
      <c r="B36" s="19">
        <f>DATE(93,9,17)</f>
        <v>34229</v>
      </c>
      <c r="C36" s="2">
        <v>1028</v>
      </c>
      <c r="D36" s="2">
        <v>9.4</v>
      </c>
      <c r="F36" s="2" t="s">
        <v>365</v>
      </c>
      <c r="G36" s="2" t="s">
        <v>1140</v>
      </c>
      <c r="H36" s="2">
        <v>1200</v>
      </c>
      <c r="I36" s="2">
        <v>9</v>
      </c>
      <c r="J36" s="2">
        <v>1806</v>
      </c>
      <c r="K36" s="2">
        <v>82</v>
      </c>
      <c r="L36" s="2">
        <v>358</v>
      </c>
      <c r="M36" s="2">
        <v>338.4</v>
      </c>
      <c r="N36" s="2">
        <v>530</v>
      </c>
      <c r="O36" s="2">
        <v>291</v>
      </c>
      <c r="P36" s="2">
        <v>58</v>
      </c>
      <c r="Q36" s="8" t="s">
        <v>1187</v>
      </c>
      <c r="R36" s="2">
        <v>205</v>
      </c>
      <c r="S36" s="2">
        <v>163</v>
      </c>
      <c r="V36" s="19"/>
      <c r="AA36" s="2" t="s">
        <v>1</v>
      </c>
    </row>
    <row r="37" spans="1:27" x14ac:dyDescent="0.2">
      <c r="A37" s="2">
        <v>4</v>
      </c>
      <c r="B37" s="19">
        <f>DATE(93,9,17)</f>
        <v>34229</v>
      </c>
      <c r="C37" s="2">
        <v>1040</v>
      </c>
      <c r="D37" s="2">
        <v>10.3</v>
      </c>
      <c r="F37" s="2" t="s">
        <v>365</v>
      </c>
      <c r="G37" s="2" t="s">
        <v>1140</v>
      </c>
      <c r="H37" s="2">
        <v>400</v>
      </c>
      <c r="I37" s="2">
        <v>14</v>
      </c>
      <c r="J37" s="2">
        <v>1804</v>
      </c>
      <c r="K37" s="2">
        <v>80</v>
      </c>
      <c r="L37" s="2">
        <v>358</v>
      </c>
      <c r="M37" s="2">
        <v>341.3</v>
      </c>
      <c r="N37" s="2">
        <v>532</v>
      </c>
      <c r="O37" s="2">
        <v>290</v>
      </c>
      <c r="P37" s="2">
        <v>58</v>
      </c>
      <c r="Q37" s="2">
        <v>35</v>
      </c>
      <c r="R37" s="2">
        <v>207</v>
      </c>
      <c r="S37" s="2">
        <v>164</v>
      </c>
      <c r="U37" s="2">
        <v>3</v>
      </c>
      <c r="V37" s="19">
        <f>DATE(93,9,14)</f>
        <v>34226</v>
      </c>
      <c r="W37" s="2">
        <v>1105</v>
      </c>
      <c r="X37" s="2" t="s">
        <v>2089</v>
      </c>
      <c r="AA37" s="2" t="s">
        <v>1</v>
      </c>
    </row>
    <row r="38" spans="1:27" x14ac:dyDescent="0.2">
      <c r="B38" s="19"/>
      <c r="V38" s="19"/>
      <c r="X38" s="2" t="s">
        <v>2090</v>
      </c>
      <c r="AA38" s="2" t="s">
        <v>1</v>
      </c>
    </row>
    <row r="39" spans="1:27" x14ac:dyDescent="0.2">
      <c r="A39" s="2">
        <v>1</v>
      </c>
      <c r="B39" s="19">
        <f t="shared" ref="B39:B44" si="2">DATE(93,9,20)</f>
        <v>34232</v>
      </c>
      <c r="C39" s="2">
        <v>1235</v>
      </c>
      <c r="D39" s="2">
        <v>3.5</v>
      </c>
      <c r="G39" s="2" t="s">
        <v>2073</v>
      </c>
      <c r="H39" s="2">
        <v>4300</v>
      </c>
      <c r="I39" s="2">
        <v>16</v>
      </c>
      <c r="J39" s="2">
        <v>1825</v>
      </c>
      <c r="K39" s="2">
        <v>85</v>
      </c>
      <c r="L39" s="2">
        <v>354</v>
      </c>
      <c r="M39" s="2">
        <v>344.3</v>
      </c>
      <c r="N39" s="2">
        <v>534</v>
      </c>
      <c r="O39" s="2">
        <v>291</v>
      </c>
      <c r="P39" s="2">
        <v>58</v>
      </c>
      <c r="Q39" s="8" t="s">
        <v>1187</v>
      </c>
      <c r="R39" s="2">
        <v>204</v>
      </c>
      <c r="S39" s="2">
        <v>158</v>
      </c>
      <c r="V39" s="19"/>
      <c r="AA39" s="2" t="s">
        <v>1</v>
      </c>
    </row>
    <row r="40" spans="1:27" x14ac:dyDescent="0.2">
      <c r="A40" s="2">
        <v>2</v>
      </c>
      <c r="B40" s="19">
        <f t="shared" si="2"/>
        <v>34232</v>
      </c>
      <c r="C40" s="2">
        <v>1248</v>
      </c>
      <c r="D40" s="2">
        <v>4</v>
      </c>
      <c r="G40" s="2" t="s">
        <v>2073</v>
      </c>
      <c r="H40" s="2">
        <v>4000</v>
      </c>
      <c r="I40" s="2">
        <v>21</v>
      </c>
      <c r="J40" s="2">
        <v>1821</v>
      </c>
      <c r="K40" s="2">
        <v>90</v>
      </c>
      <c r="L40" s="2">
        <v>354</v>
      </c>
      <c r="M40" s="17">
        <v>344</v>
      </c>
      <c r="N40" s="2">
        <v>534</v>
      </c>
      <c r="O40" s="2">
        <v>297</v>
      </c>
      <c r="P40" s="2">
        <v>58</v>
      </c>
      <c r="Q40" s="8" t="s">
        <v>1187</v>
      </c>
      <c r="R40" s="2">
        <v>246</v>
      </c>
      <c r="S40" s="2">
        <v>158</v>
      </c>
      <c r="U40" s="2">
        <v>4</v>
      </c>
      <c r="V40" s="19">
        <f>DATE(93,9,14)</f>
        <v>34226</v>
      </c>
      <c r="W40" s="2">
        <v>1126</v>
      </c>
      <c r="X40" s="2" t="s">
        <v>2091</v>
      </c>
      <c r="AA40" s="2" t="s">
        <v>1</v>
      </c>
    </row>
    <row r="41" spans="1:27" x14ac:dyDescent="0.2">
      <c r="A41" s="2">
        <v>3</v>
      </c>
      <c r="B41" s="19">
        <f t="shared" si="2"/>
        <v>34232</v>
      </c>
      <c r="C41" s="2">
        <v>1302</v>
      </c>
      <c r="D41" s="2">
        <v>5.6</v>
      </c>
      <c r="G41" s="2" t="s">
        <v>2073</v>
      </c>
      <c r="H41" s="2">
        <v>3000</v>
      </c>
      <c r="I41" s="2">
        <v>11</v>
      </c>
      <c r="J41" s="2">
        <v>1845</v>
      </c>
      <c r="K41" s="2">
        <v>86</v>
      </c>
      <c r="L41" s="2">
        <v>360</v>
      </c>
      <c r="M41" s="2">
        <v>342.8</v>
      </c>
      <c r="N41" s="2">
        <v>533</v>
      </c>
      <c r="O41" s="2">
        <v>292</v>
      </c>
      <c r="P41" s="2">
        <v>58</v>
      </c>
      <c r="Q41" s="2">
        <v>32</v>
      </c>
      <c r="R41" s="2">
        <v>210</v>
      </c>
      <c r="S41" s="2">
        <v>160</v>
      </c>
      <c r="V41" s="19"/>
      <c r="X41" s="2" t="s">
        <v>2075</v>
      </c>
      <c r="AA41" s="2" t="s">
        <v>1</v>
      </c>
    </row>
    <row r="42" spans="1:27" x14ac:dyDescent="0.2">
      <c r="A42" s="2">
        <v>4</v>
      </c>
      <c r="B42" s="19">
        <f t="shared" si="2"/>
        <v>34232</v>
      </c>
      <c r="C42" s="2">
        <v>1313</v>
      </c>
      <c r="D42" s="2">
        <v>7.6</v>
      </c>
      <c r="G42" s="2" t="s">
        <v>2073</v>
      </c>
      <c r="H42" s="2">
        <v>2000</v>
      </c>
      <c r="I42" s="2">
        <v>15</v>
      </c>
      <c r="J42" s="2">
        <v>1823</v>
      </c>
      <c r="K42" s="2">
        <v>87</v>
      </c>
      <c r="L42" s="2">
        <v>354</v>
      </c>
      <c r="M42" s="2">
        <v>339.6</v>
      </c>
      <c r="N42" s="2">
        <v>530</v>
      </c>
      <c r="O42" s="2">
        <v>294</v>
      </c>
      <c r="P42" s="2">
        <v>59</v>
      </c>
      <c r="Q42" s="2">
        <v>34</v>
      </c>
      <c r="R42" s="2">
        <v>205</v>
      </c>
      <c r="S42" s="2">
        <v>159</v>
      </c>
      <c r="V42" s="19"/>
      <c r="AA42" s="2" t="s">
        <v>1</v>
      </c>
    </row>
    <row r="43" spans="1:27" x14ac:dyDescent="0.2">
      <c r="A43" s="2">
        <v>5</v>
      </c>
      <c r="B43" s="19">
        <f t="shared" si="2"/>
        <v>34232</v>
      </c>
      <c r="C43" s="2">
        <v>1325</v>
      </c>
      <c r="D43" s="2">
        <v>10.3</v>
      </c>
      <c r="G43" s="2" t="s">
        <v>2073</v>
      </c>
      <c r="H43" s="2">
        <v>1000</v>
      </c>
      <c r="I43" s="2">
        <v>11</v>
      </c>
      <c r="J43" s="2">
        <v>1836</v>
      </c>
      <c r="K43" s="2">
        <v>88</v>
      </c>
      <c r="L43" s="2">
        <v>355</v>
      </c>
      <c r="M43" s="2">
        <v>341.3</v>
      </c>
      <c r="N43" s="2">
        <v>533</v>
      </c>
      <c r="O43" s="2">
        <v>295</v>
      </c>
      <c r="P43" s="2">
        <v>60</v>
      </c>
      <c r="Q43" s="2">
        <v>28</v>
      </c>
      <c r="R43" s="2">
        <v>213</v>
      </c>
      <c r="S43" s="2">
        <v>165</v>
      </c>
      <c r="U43" s="2">
        <v>1</v>
      </c>
      <c r="V43" s="19">
        <f>DATE(93,9,15)</f>
        <v>34227</v>
      </c>
      <c r="W43" s="2">
        <v>1114</v>
      </c>
      <c r="X43" s="2" t="s">
        <v>2092</v>
      </c>
      <c r="AA43" s="2" t="s">
        <v>1</v>
      </c>
    </row>
    <row r="44" spans="1:27" x14ac:dyDescent="0.2">
      <c r="A44" s="2">
        <v>6</v>
      </c>
      <c r="B44" s="19">
        <f t="shared" si="2"/>
        <v>34232</v>
      </c>
      <c r="C44" s="2">
        <v>1334</v>
      </c>
      <c r="D44" s="2">
        <v>11.7</v>
      </c>
      <c r="G44" s="2" t="s">
        <v>2073</v>
      </c>
      <c r="H44" s="2">
        <v>500</v>
      </c>
      <c r="I44" s="2">
        <v>12</v>
      </c>
      <c r="J44" s="2">
        <v>1827</v>
      </c>
      <c r="K44" s="2">
        <v>88</v>
      </c>
      <c r="L44" s="2">
        <v>355</v>
      </c>
      <c r="M44" s="2">
        <v>340.9</v>
      </c>
      <c r="N44" s="2">
        <v>535</v>
      </c>
      <c r="O44" s="2">
        <v>296</v>
      </c>
      <c r="P44" s="2">
        <v>59</v>
      </c>
      <c r="Q44" s="2">
        <v>30</v>
      </c>
      <c r="R44" s="2">
        <v>211</v>
      </c>
      <c r="S44" s="2">
        <v>166</v>
      </c>
      <c r="V44" s="19"/>
      <c r="X44" s="2" t="s">
        <v>2093</v>
      </c>
      <c r="AA44" s="2" t="s">
        <v>1</v>
      </c>
    </row>
    <row r="45" spans="1:27" x14ac:dyDescent="0.2">
      <c r="B45" s="19"/>
      <c r="V45" s="19"/>
      <c r="X45" s="2" t="s">
        <v>2094</v>
      </c>
      <c r="AA45" s="2" t="s">
        <v>1</v>
      </c>
    </row>
    <row r="46" spans="1:27" x14ac:dyDescent="0.2">
      <c r="A46" s="2">
        <v>1</v>
      </c>
      <c r="B46" s="19">
        <f t="shared" ref="B46:B51" si="3">DATE(93,9,21)</f>
        <v>34233</v>
      </c>
      <c r="C46" s="8" t="s">
        <v>2095</v>
      </c>
      <c r="D46" s="2">
        <v>8.5</v>
      </c>
      <c r="E46" s="2">
        <v>8</v>
      </c>
      <c r="F46" s="2" t="s">
        <v>365</v>
      </c>
      <c r="G46" s="2" t="s">
        <v>2060</v>
      </c>
      <c r="H46" s="2">
        <v>100</v>
      </c>
      <c r="I46" s="2">
        <v>26</v>
      </c>
      <c r="J46" s="2">
        <v>1823</v>
      </c>
      <c r="K46" s="2">
        <v>130</v>
      </c>
      <c r="L46" s="2">
        <v>373</v>
      </c>
      <c r="V46" s="19"/>
    </row>
    <row r="47" spans="1:27" x14ac:dyDescent="0.2">
      <c r="A47" s="2">
        <v>2</v>
      </c>
      <c r="B47" s="19">
        <f t="shared" si="3"/>
        <v>34233</v>
      </c>
      <c r="C47" s="2">
        <v>1014</v>
      </c>
      <c r="D47" s="2">
        <v>8.9</v>
      </c>
      <c r="E47" s="2">
        <v>12</v>
      </c>
      <c r="H47" s="2">
        <v>500</v>
      </c>
      <c r="I47" s="2">
        <v>15</v>
      </c>
      <c r="J47" s="2">
        <v>1828</v>
      </c>
      <c r="K47" s="2">
        <v>90</v>
      </c>
      <c r="L47" s="2">
        <v>364</v>
      </c>
      <c r="M47" s="2">
        <v>343.6</v>
      </c>
      <c r="N47" s="2">
        <v>529</v>
      </c>
      <c r="O47" s="2">
        <v>297</v>
      </c>
      <c r="P47" s="2">
        <v>58</v>
      </c>
      <c r="Q47" s="2">
        <v>31</v>
      </c>
      <c r="R47" s="2">
        <v>210</v>
      </c>
      <c r="S47" s="2">
        <v>162</v>
      </c>
      <c r="U47" s="2">
        <v>2</v>
      </c>
      <c r="V47" s="19">
        <f>DATE(93,9,15)</f>
        <v>34227</v>
      </c>
      <c r="W47" s="2">
        <v>1138</v>
      </c>
      <c r="X47" s="2" t="s">
        <v>2096</v>
      </c>
    </row>
    <row r="48" spans="1:27" x14ac:dyDescent="0.2">
      <c r="A48" s="2">
        <v>3</v>
      </c>
      <c r="B48" s="19">
        <f t="shared" si="3"/>
        <v>34233</v>
      </c>
      <c r="C48" s="2">
        <v>1045</v>
      </c>
      <c r="D48" s="2">
        <v>9.9</v>
      </c>
      <c r="E48" s="2">
        <v>10</v>
      </c>
      <c r="H48" s="2">
        <v>1000</v>
      </c>
      <c r="I48" s="2">
        <v>17</v>
      </c>
      <c r="J48" s="2">
        <v>1829</v>
      </c>
      <c r="K48" s="2">
        <v>90</v>
      </c>
      <c r="L48" s="2">
        <v>357</v>
      </c>
      <c r="M48" s="17">
        <v>341</v>
      </c>
      <c r="N48" s="2">
        <v>535</v>
      </c>
      <c r="O48" s="2">
        <v>298</v>
      </c>
      <c r="P48" s="2">
        <v>59</v>
      </c>
      <c r="Q48" s="2">
        <v>32</v>
      </c>
      <c r="R48" s="2">
        <v>212</v>
      </c>
      <c r="S48" s="2">
        <v>167</v>
      </c>
      <c r="V48" s="19"/>
      <c r="X48" s="2" t="s">
        <v>2084</v>
      </c>
    </row>
    <row r="49" spans="1:24" x14ac:dyDescent="0.2">
      <c r="A49" s="2">
        <v>4</v>
      </c>
      <c r="B49" s="19">
        <f t="shared" si="3"/>
        <v>34233</v>
      </c>
      <c r="C49" s="2">
        <v>1059</v>
      </c>
      <c r="D49" s="2">
        <v>10</v>
      </c>
      <c r="E49" s="2">
        <v>7</v>
      </c>
      <c r="H49" s="2">
        <v>2000</v>
      </c>
      <c r="I49" s="2">
        <v>10</v>
      </c>
      <c r="J49" s="2">
        <v>1820</v>
      </c>
      <c r="K49" s="2">
        <v>86</v>
      </c>
      <c r="L49" s="2">
        <v>353</v>
      </c>
      <c r="M49" s="2">
        <v>341.5</v>
      </c>
      <c r="N49" s="2">
        <v>534</v>
      </c>
      <c r="O49" s="2">
        <v>296</v>
      </c>
      <c r="P49" s="2">
        <v>60</v>
      </c>
      <c r="Q49" s="2">
        <v>22</v>
      </c>
      <c r="R49" s="2">
        <v>214</v>
      </c>
      <c r="S49" s="2">
        <v>167</v>
      </c>
      <c r="V49" s="19"/>
    </row>
    <row r="50" spans="1:24" x14ac:dyDescent="0.2">
      <c r="A50" s="2">
        <v>5</v>
      </c>
      <c r="B50" s="19">
        <f t="shared" si="3"/>
        <v>34233</v>
      </c>
      <c r="C50" s="2">
        <v>1115</v>
      </c>
      <c r="D50" s="2">
        <v>8.1</v>
      </c>
      <c r="E50" s="8" t="s">
        <v>1210</v>
      </c>
      <c r="H50" s="2">
        <v>3000</v>
      </c>
      <c r="I50" s="2">
        <v>14</v>
      </c>
      <c r="J50" s="2">
        <v>1822</v>
      </c>
      <c r="K50" s="2">
        <v>92</v>
      </c>
      <c r="L50" s="2">
        <v>354</v>
      </c>
      <c r="M50" s="2">
        <v>341.9</v>
      </c>
      <c r="N50" s="2">
        <v>534</v>
      </c>
      <c r="O50" s="2">
        <v>297</v>
      </c>
      <c r="P50" s="2">
        <v>59</v>
      </c>
      <c r="R50" s="2">
        <v>210</v>
      </c>
      <c r="S50" s="2">
        <v>161</v>
      </c>
      <c r="U50" s="2">
        <v>3</v>
      </c>
      <c r="V50" s="19">
        <f>DATE(93,9,15)</f>
        <v>34227</v>
      </c>
      <c r="W50" s="2">
        <v>1200</v>
      </c>
      <c r="X50" s="2" t="s">
        <v>2097</v>
      </c>
    </row>
    <row r="51" spans="1:24" x14ac:dyDescent="0.2">
      <c r="A51" s="2">
        <v>6</v>
      </c>
      <c r="B51" s="19">
        <f t="shared" si="3"/>
        <v>34233</v>
      </c>
      <c r="C51" s="2">
        <v>1131</v>
      </c>
      <c r="D51" s="2">
        <v>5.6</v>
      </c>
      <c r="E51" s="8" t="s">
        <v>2098</v>
      </c>
      <c r="H51" s="2">
        <v>4000</v>
      </c>
      <c r="I51" s="2">
        <v>13</v>
      </c>
      <c r="J51" s="2">
        <v>1826</v>
      </c>
      <c r="K51" s="2">
        <v>101</v>
      </c>
      <c r="L51" s="2">
        <v>355</v>
      </c>
      <c r="M51" s="2">
        <v>344.5</v>
      </c>
      <c r="N51" s="2">
        <v>532</v>
      </c>
      <c r="O51" s="2">
        <v>297</v>
      </c>
      <c r="P51" s="2">
        <v>59</v>
      </c>
      <c r="Q51" s="2">
        <v>24</v>
      </c>
      <c r="R51" s="2">
        <v>216</v>
      </c>
      <c r="S51" s="2">
        <v>162</v>
      </c>
      <c r="V51" s="19"/>
      <c r="X51" s="2" t="s">
        <v>2068</v>
      </c>
    </row>
    <row r="52" spans="1:24" x14ac:dyDescent="0.2">
      <c r="B52" s="19"/>
      <c r="V52" s="19"/>
    </row>
    <row r="53" spans="1:24" x14ac:dyDescent="0.2">
      <c r="B53" s="19"/>
      <c r="H53" s="2" t="s">
        <v>448</v>
      </c>
      <c r="I53" s="8" t="s">
        <v>146</v>
      </c>
      <c r="J53" s="8" t="s">
        <v>123</v>
      </c>
      <c r="K53" s="8" t="s">
        <v>118</v>
      </c>
      <c r="L53" s="8" t="s">
        <v>134</v>
      </c>
      <c r="M53" s="8" t="s">
        <v>138</v>
      </c>
      <c r="N53" s="8" t="s">
        <v>136</v>
      </c>
      <c r="O53" s="8" t="s">
        <v>130</v>
      </c>
      <c r="P53" s="8" t="s">
        <v>133</v>
      </c>
      <c r="Q53" s="8" t="s">
        <v>127</v>
      </c>
      <c r="R53" s="8" t="s">
        <v>121</v>
      </c>
      <c r="S53" s="8" t="s">
        <v>112</v>
      </c>
      <c r="U53" s="2">
        <v>4</v>
      </c>
      <c r="V53" s="19">
        <f>DATE(93,9,15)</f>
        <v>34227</v>
      </c>
      <c r="W53" s="2">
        <v>1222</v>
      </c>
      <c r="X53" s="2" t="s">
        <v>2099</v>
      </c>
    </row>
    <row r="54" spans="1:24" x14ac:dyDescent="0.2">
      <c r="B54" s="19"/>
      <c r="I54" s="8" t="s">
        <v>426</v>
      </c>
      <c r="J54" s="8" t="s">
        <v>266</v>
      </c>
      <c r="K54" s="8" t="s">
        <v>266</v>
      </c>
      <c r="L54" s="8" t="s">
        <v>371</v>
      </c>
      <c r="M54" s="8" t="s">
        <v>266</v>
      </c>
      <c r="N54" s="8" t="s">
        <v>144</v>
      </c>
      <c r="O54" s="8" t="s">
        <v>144</v>
      </c>
      <c r="P54" s="8" t="s">
        <v>144</v>
      </c>
      <c r="Q54" s="8" t="s">
        <v>144</v>
      </c>
      <c r="R54" s="8" t="s">
        <v>144</v>
      </c>
      <c r="S54" s="8" t="s">
        <v>2059</v>
      </c>
      <c r="V54" s="19"/>
      <c r="X54" s="2" t="s">
        <v>2075</v>
      </c>
    </row>
    <row r="55" spans="1:24" x14ac:dyDescent="0.2">
      <c r="B55" s="7">
        <f>AVERAGE(B10:B51)</f>
        <v>34228.888888888891</v>
      </c>
      <c r="C55" s="4">
        <f>AVERAGE(C10:C51)</f>
        <v>1189</v>
      </c>
      <c r="H55" s="4">
        <f t="shared" ref="H55:S55" si="4">AVERAGE(H10:H51)</f>
        <v>1768.1818181818182</v>
      </c>
      <c r="I55" s="4">
        <f t="shared" si="4"/>
        <v>15.777777777777779</v>
      </c>
      <c r="J55" s="4">
        <f t="shared" si="4"/>
        <v>1813.9722222222222</v>
      </c>
      <c r="K55" s="4">
        <f t="shared" si="4"/>
        <v>94.611111111111114</v>
      </c>
      <c r="L55" s="4">
        <f t="shared" si="4"/>
        <v>357.80555555555554</v>
      </c>
      <c r="M55" s="4">
        <f t="shared" si="4"/>
        <v>341.81714285714276</v>
      </c>
      <c r="N55" s="4">
        <f t="shared" si="4"/>
        <v>536.68571428571431</v>
      </c>
      <c r="O55" s="4">
        <f t="shared" si="4"/>
        <v>294.34285714285716</v>
      </c>
      <c r="P55" s="4">
        <f t="shared" si="4"/>
        <v>59.4</v>
      </c>
      <c r="Q55" s="4">
        <f t="shared" si="4"/>
        <v>50.4375</v>
      </c>
      <c r="R55" s="4">
        <f t="shared" si="4"/>
        <v>212.34285714285716</v>
      </c>
      <c r="S55" s="4">
        <f t="shared" si="4"/>
        <v>162.28571428571428</v>
      </c>
      <c r="V55" s="19"/>
    </row>
    <row r="56" spans="1:24" x14ac:dyDescent="0.2">
      <c r="B56" s="4"/>
      <c r="C56" s="4">
        <f>STDEV(C10:C51)</f>
        <v>146.57338631469759</v>
      </c>
      <c r="H56" s="4">
        <f t="shared" ref="H56:S56" si="5">STDEV(H10:H51)</f>
        <v>1162.4205740217656</v>
      </c>
      <c r="I56" s="4">
        <f t="shared" si="5"/>
        <v>5.68261062294994</v>
      </c>
      <c r="J56" s="4">
        <f t="shared" si="5"/>
        <v>13.442971846414471</v>
      </c>
      <c r="K56" s="4">
        <f t="shared" si="5"/>
        <v>23.097653285595651</v>
      </c>
      <c r="L56" s="4">
        <f t="shared" si="5"/>
        <v>4.3806029881378805</v>
      </c>
      <c r="M56" s="4">
        <f t="shared" si="5"/>
        <v>2.3579010748951266</v>
      </c>
      <c r="N56" s="4">
        <f t="shared" si="5"/>
        <v>5.2511703377405672</v>
      </c>
      <c r="O56" s="4">
        <f t="shared" si="5"/>
        <v>3.7880839261997332</v>
      </c>
      <c r="P56" s="4">
        <f t="shared" si="5"/>
        <v>2.9525661819548654</v>
      </c>
      <c r="Q56" s="4">
        <f t="shared" si="5"/>
        <v>42.382337122910059</v>
      </c>
      <c r="R56" s="4">
        <f t="shared" si="5"/>
        <v>11.891526536208232</v>
      </c>
      <c r="S56" s="4">
        <f t="shared" si="5"/>
        <v>2.71782166851483</v>
      </c>
      <c r="U56" s="2">
        <v>5</v>
      </c>
      <c r="V56" s="19">
        <f>DATE(93,9,15)</f>
        <v>34227</v>
      </c>
      <c r="W56" s="2">
        <v>1552</v>
      </c>
      <c r="X56" s="2" t="s">
        <v>2100</v>
      </c>
    </row>
    <row r="57" spans="1:24" x14ac:dyDescent="0.2">
      <c r="C57" s="2">
        <f>COUNTA(C10:C51)</f>
        <v>36</v>
      </c>
      <c r="H57" s="2">
        <f t="shared" ref="H57:S57" si="6">COUNTA(H10:H51)</f>
        <v>33</v>
      </c>
      <c r="I57" s="2">
        <f t="shared" si="6"/>
        <v>36</v>
      </c>
      <c r="J57" s="2">
        <f t="shared" si="6"/>
        <v>36</v>
      </c>
      <c r="K57" s="2">
        <f t="shared" si="6"/>
        <v>36</v>
      </c>
      <c r="L57" s="2">
        <f t="shared" si="6"/>
        <v>36</v>
      </c>
      <c r="M57" s="2">
        <f t="shared" si="6"/>
        <v>35</v>
      </c>
      <c r="N57" s="2">
        <f t="shared" si="6"/>
        <v>35</v>
      </c>
      <c r="O57" s="2">
        <f t="shared" si="6"/>
        <v>35</v>
      </c>
      <c r="P57" s="2">
        <f t="shared" si="6"/>
        <v>35</v>
      </c>
      <c r="Q57" s="2">
        <f t="shared" si="6"/>
        <v>21</v>
      </c>
      <c r="R57" s="2">
        <f t="shared" si="6"/>
        <v>35</v>
      </c>
      <c r="S57" s="2">
        <f t="shared" si="6"/>
        <v>35</v>
      </c>
      <c r="V57" s="19"/>
      <c r="X57" s="2" t="s">
        <v>2101</v>
      </c>
    </row>
    <row r="58" spans="1:24" x14ac:dyDescent="0.2">
      <c r="B58" s="19"/>
      <c r="U58" s="2">
        <v>6</v>
      </c>
      <c r="V58" s="19">
        <f>DATE(93,9,15)</f>
        <v>34227</v>
      </c>
      <c r="W58" s="2">
        <v>1637</v>
      </c>
      <c r="X58" s="2" t="s">
        <v>2102</v>
      </c>
    </row>
    <row r="59" spans="1:24" x14ac:dyDescent="0.2">
      <c r="B59" s="19"/>
    </row>
    <row r="60" spans="1:24" x14ac:dyDescent="0.2">
      <c r="B60" s="19"/>
    </row>
    <row r="61" spans="1:24" x14ac:dyDescent="0.2">
      <c r="B61" s="19"/>
    </row>
    <row r="62" spans="1:24" x14ac:dyDescent="0.2">
      <c r="B62" s="19"/>
      <c r="V62" s="19"/>
    </row>
    <row r="63" spans="1:24" x14ac:dyDescent="0.2">
      <c r="B63" s="19"/>
    </row>
    <row r="64" spans="1:24" x14ac:dyDescent="0.2">
      <c r="B64" s="19"/>
    </row>
    <row r="65" spans="2:24" x14ac:dyDescent="0.2">
      <c r="B65" s="19"/>
    </row>
    <row r="66" spans="2:24" x14ac:dyDescent="0.2">
      <c r="B66" s="19"/>
      <c r="U66" s="2">
        <v>1</v>
      </c>
      <c r="V66" s="19">
        <f>DATE(93,9,16)</f>
        <v>34228</v>
      </c>
      <c r="W66" s="2">
        <v>1053</v>
      </c>
      <c r="X66" s="2" t="s">
        <v>2103</v>
      </c>
    </row>
    <row r="67" spans="2:24" x14ac:dyDescent="0.2">
      <c r="B67" s="19"/>
      <c r="V67" s="19"/>
      <c r="W67" s="2" t="s">
        <v>2104</v>
      </c>
      <c r="X67" s="2" t="s">
        <v>2105</v>
      </c>
    </row>
    <row r="68" spans="2:24" x14ac:dyDescent="0.2">
      <c r="B68" s="19"/>
      <c r="X68" s="2" t="s">
        <v>2106</v>
      </c>
    </row>
    <row r="69" spans="2:24" x14ac:dyDescent="0.2">
      <c r="B69" s="19"/>
    </row>
    <row r="70" spans="2:24" x14ac:dyDescent="0.2">
      <c r="B70" s="19"/>
      <c r="U70" s="2">
        <v>2</v>
      </c>
      <c r="V70" s="19">
        <f>DATE(93,9,16)</f>
        <v>34228</v>
      </c>
      <c r="W70" s="2">
        <v>1108</v>
      </c>
      <c r="X70" s="2" t="s">
        <v>2103</v>
      </c>
    </row>
    <row r="71" spans="2:24" x14ac:dyDescent="0.2">
      <c r="B71" s="19"/>
      <c r="X71" s="2" t="s">
        <v>2105</v>
      </c>
    </row>
    <row r="72" spans="2:24" x14ac:dyDescent="0.2">
      <c r="B72" s="19"/>
      <c r="X72" s="2" t="s">
        <v>2107</v>
      </c>
    </row>
    <row r="73" spans="2:24" x14ac:dyDescent="0.2">
      <c r="B73" s="19"/>
    </row>
    <row r="74" spans="2:24" x14ac:dyDescent="0.2">
      <c r="B74" s="19"/>
      <c r="U74" s="2">
        <v>3</v>
      </c>
      <c r="V74" s="19">
        <f>DATE(93,9,16)</f>
        <v>34228</v>
      </c>
      <c r="W74" s="2">
        <v>1120</v>
      </c>
      <c r="X74" s="2" t="s">
        <v>2103</v>
      </c>
    </row>
    <row r="75" spans="2:24" x14ac:dyDescent="0.2">
      <c r="B75" s="19"/>
      <c r="V75" s="19"/>
      <c r="X75" s="2" t="s">
        <v>2105</v>
      </c>
    </row>
    <row r="76" spans="2:24" x14ac:dyDescent="0.2">
      <c r="B76" s="19"/>
      <c r="X76" s="2" t="s">
        <v>2071</v>
      </c>
    </row>
    <row r="77" spans="2:24" x14ac:dyDescent="0.2">
      <c r="B77" s="19"/>
    </row>
    <row r="78" spans="2:24" x14ac:dyDescent="0.2">
      <c r="B78" s="19"/>
      <c r="U78" s="2">
        <v>4</v>
      </c>
      <c r="V78" s="19">
        <f>DATE(93,9,16)</f>
        <v>34228</v>
      </c>
      <c r="W78" s="2">
        <v>1135</v>
      </c>
      <c r="X78" s="2" t="s">
        <v>2103</v>
      </c>
    </row>
    <row r="79" spans="2:24" x14ac:dyDescent="0.2">
      <c r="B79" s="19"/>
      <c r="X79" s="2" t="s">
        <v>2105</v>
      </c>
    </row>
    <row r="80" spans="2:24" x14ac:dyDescent="0.2">
      <c r="B80" s="19"/>
      <c r="X80" s="2" t="s">
        <v>2075</v>
      </c>
    </row>
    <row r="81" spans="2:24" x14ac:dyDescent="0.2">
      <c r="B81" s="19"/>
    </row>
    <row r="82" spans="2:24" x14ac:dyDescent="0.2">
      <c r="B82" s="19"/>
    </row>
    <row r="83" spans="2:24" x14ac:dyDescent="0.2">
      <c r="B83" s="19"/>
      <c r="U83" s="2">
        <v>5</v>
      </c>
      <c r="V83" s="19">
        <f>DATE(93,9,16)</f>
        <v>34228</v>
      </c>
      <c r="W83" s="2">
        <v>1325</v>
      </c>
      <c r="X83" s="2" t="s">
        <v>2108</v>
      </c>
    </row>
    <row r="84" spans="2:24" x14ac:dyDescent="0.2">
      <c r="X84" s="2" t="s">
        <v>2109</v>
      </c>
    </row>
    <row r="85" spans="2:24" x14ac:dyDescent="0.2">
      <c r="U85" s="2">
        <v>6</v>
      </c>
      <c r="V85" s="19">
        <f>DATE(93,9,16)</f>
        <v>34228</v>
      </c>
      <c r="W85" s="2">
        <v>1345</v>
      </c>
      <c r="X85" s="2" t="s">
        <v>2110</v>
      </c>
    </row>
    <row r="86" spans="2:24" x14ac:dyDescent="0.2">
      <c r="X86" s="2" t="s">
        <v>2111</v>
      </c>
    </row>
    <row r="87" spans="2:24" x14ac:dyDescent="0.2">
      <c r="V87" s="19"/>
    </row>
    <row r="88" spans="2:24" x14ac:dyDescent="0.2">
      <c r="V88" s="19"/>
    </row>
    <row r="89" spans="2:24" x14ac:dyDescent="0.2">
      <c r="V89" s="19"/>
    </row>
    <row r="90" spans="2:24" x14ac:dyDescent="0.2">
      <c r="U90" s="2">
        <v>1</v>
      </c>
      <c r="V90" s="19">
        <f>DATE(93,9,17)</f>
        <v>34229</v>
      </c>
      <c r="W90" s="8" t="s">
        <v>734</v>
      </c>
      <c r="X90" s="2" t="s">
        <v>2112</v>
      </c>
    </row>
    <row r="91" spans="2:24" x14ac:dyDescent="0.2">
      <c r="V91" s="19"/>
      <c r="W91" s="2" t="s">
        <v>2113</v>
      </c>
      <c r="X91" s="2" t="s">
        <v>2114</v>
      </c>
    </row>
    <row r="92" spans="2:24" x14ac:dyDescent="0.2">
      <c r="V92" s="19"/>
      <c r="X92" s="2" t="s">
        <v>2115</v>
      </c>
    </row>
    <row r="93" spans="2:24" x14ac:dyDescent="0.2">
      <c r="V93" s="19"/>
    </row>
    <row r="94" spans="2:24" x14ac:dyDescent="0.2">
      <c r="U94" s="2">
        <v>2</v>
      </c>
      <c r="V94" s="19">
        <f>DATE(93,9,17)</f>
        <v>34229</v>
      </c>
      <c r="W94" s="2">
        <v>1018</v>
      </c>
      <c r="X94" s="2" t="s">
        <v>2116</v>
      </c>
    </row>
    <row r="95" spans="2:24" x14ac:dyDescent="0.2">
      <c r="V95" s="19"/>
      <c r="W95" s="2" t="s">
        <v>2113</v>
      </c>
      <c r="X95" s="2" t="s">
        <v>2117</v>
      </c>
    </row>
    <row r="96" spans="2:24" x14ac:dyDescent="0.2">
      <c r="V96" s="19"/>
      <c r="X96" s="2" t="s">
        <v>2118</v>
      </c>
    </row>
    <row r="97" spans="21:24" x14ac:dyDescent="0.2">
      <c r="V97" s="19"/>
    </row>
    <row r="98" spans="21:24" x14ac:dyDescent="0.2">
      <c r="U98" s="2">
        <v>3</v>
      </c>
      <c r="V98" s="19">
        <f>DATE(93,9,17)</f>
        <v>34229</v>
      </c>
      <c r="W98" s="2">
        <v>1028</v>
      </c>
      <c r="X98" s="2" t="s">
        <v>2119</v>
      </c>
    </row>
    <row r="99" spans="21:24" x14ac:dyDescent="0.2">
      <c r="V99" s="19"/>
      <c r="W99" s="2" t="s">
        <v>2113</v>
      </c>
      <c r="X99" s="2" t="s">
        <v>2120</v>
      </c>
    </row>
    <row r="100" spans="21:24" x14ac:dyDescent="0.2">
      <c r="V100" s="19"/>
      <c r="X100" s="2" t="s">
        <v>2121</v>
      </c>
    </row>
    <row r="101" spans="21:24" x14ac:dyDescent="0.2">
      <c r="V101" s="19"/>
      <c r="X101" s="2" t="s">
        <v>2122</v>
      </c>
    </row>
    <row r="103" spans="21:24" x14ac:dyDescent="0.2">
      <c r="U103" s="2">
        <v>4</v>
      </c>
      <c r="V103" s="19">
        <f>DATE(93,9,17)</f>
        <v>34229</v>
      </c>
      <c r="W103" s="2">
        <v>1040</v>
      </c>
      <c r="X103" s="2" t="s">
        <v>2123</v>
      </c>
    </row>
    <row r="104" spans="21:24" x14ac:dyDescent="0.2">
      <c r="V104" s="19"/>
      <c r="W104" s="2" t="s">
        <v>2113</v>
      </c>
      <c r="X104" s="2" t="s">
        <v>2124</v>
      </c>
    </row>
    <row r="105" spans="21:24" x14ac:dyDescent="0.2">
      <c r="V105" s="19"/>
      <c r="X105" s="2" t="s">
        <v>2125</v>
      </c>
    </row>
    <row r="106" spans="21:24" x14ac:dyDescent="0.2">
      <c r="V106" s="19"/>
    </row>
    <row r="107" spans="21:24" x14ac:dyDescent="0.2">
      <c r="V107" s="19"/>
    </row>
    <row r="108" spans="21:24" x14ac:dyDescent="0.2">
      <c r="U108" s="2">
        <v>1</v>
      </c>
      <c r="V108" s="19">
        <f>DATE(93,9,20)</f>
        <v>34232</v>
      </c>
      <c r="W108" s="2">
        <v>1235</v>
      </c>
      <c r="X108" s="2" t="s">
        <v>2123</v>
      </c>
    </row>
    <row r="109" spans="21:24" x14ac:dyDescent="0.2">
      <c r="V109" s="19"/>
      <c r="W109" s="2" t="s">
        <v>2113</v>
      </c>
      <c r="X109" s="2" t="s">
        <v>2126</v>
      </c>
    </row>
    <row r="110" spans="21:24" x14ac:dyDescent="0.2">
      <c r="V110" s="19"/>
    </row>
    <row r="111" spans="21:24" x14ac:dyDescent="0.2">
      <c r="U111" s="2">
        <v>2</v>
      </c>
      <c r="V111" s="19">
        <f>DATE(93,9,20)</f>
        <v>34232</v>
      </c>
      <c r="W111" s="2">
        <v>1248</v>
      </c>
      <c r="X111" s="2" t="s">
        <v>2127</v>
      </c>
    </row>
    <row r="112" spans="21:24" x14ac:dyDescent="0.2">
      <c r="V112" s="19"/>
      <c r="X112" s="2" t="s">
        <v>2128</v>
      </c>
    </row>
    <row r="113" spans="21:24" x14ac:dyDescent="0.2">
      <c r="V113" s="19"/>
    </row>
    <row r="114" spans="21:24" x14ac:dyDescent="0.2">
      <c r="U114" s="2">
        <v>3</v>
      </c>
      <c r="V114" s="19">
        <f>DATE(93,9,20)</f>
        <v>34232</v>
      </c>
      <c r="W114" s="2">
        <v>1302</v>
      </c>
      <c r="X114" s="2" t="s">
        <v>2129</v>
      </c>
    </row>
    <row r="115" spans="21:24" x14ac:dyDescent="0.2">
      <c r="V115" s="19"/>
      <c r="X115" s="2" t="s">
        <v>2106</v>
      </c>
    </row>
    <row r="116" spans="21:24" x14ac:dyDescent="0.2">
      <c r="V116" s="19"/>
    </row>
    <row r="117" spans="21:24" x14ac:dyDescent="0.2">
      <c r="U117" s="2">
        <v>4</v>
      </c>
      <c r="V117" s="19">
        <f>DATE(93,9,20)</f>
        <v>34232</v>
      </c>
      <c r="W117" s="2">
        <v>1313</v>
      </c>
      <c r="X117" s="2" t="s">
        <v>2130</v>
      </c>
    </row>
    <row r="118" spans="21:24" x14ac:dyDescent="0.2">
      <c r="V118" s="19"/>
      <c r="X118" s="2" t="s">
        <v>2107</v>
      </c>
    </row>
    <row r="119" spans="21:24" x14ac:dyDescent="0.2">
      <c r="V119" s="19"/>
    </row>
    <row r="120" spans="21:24" x14ac:dyDescent="0.2">
      <c r="U120" s="2">
        <v>5</v>
      </c>
      <c r="V120" s="19">
        <f>DATE(93,9,20)</f>
        <v>34232</v>
      </c>
      <c r="W120" s="2">
        <v>1325</v>
      </c>
      <c r="X120" s="2" t="s">
        <v>2131</v>
      </c>
    </row>
    <row r="121" spans="21:24" x14ac:dyDescent="0.2">
      <c r="V121" s="19"/>
      <c r="X121" s="2" t="s">
        <v>2132</v>
      </c>
    </row>
    <row r="122" spans="21:24" x14ac:dyDescent="0.2">
      <c r="V122" s="19"/>
    </row>
    <row r="123" spans="21:24" x14ac:dyDescent="0.2">
      <c r="U123" s="2">
        <v>6</v>
      </c>
      <c r="V123" s="19">
        <f>DATE(93,9,20)</f>
        <v>34232</v>
      </c>
      <c r="W123" s="2">
        <v>1334</v>
      </c>
      <c r="X123" s="2" t="s">
        <v>2129</v>
      </c>
    </row>
    <row r="124" spans="21:24" x14ac:dyDescent="0.2">
      <c r="V124" s="19"/>
      <c r="X124" s="2" t="s">
        <v>2075</v>
      </c>
    </row>
    <row r="125" spans="21:24" x14ac:dyDescent="0.2">
      <c r="V125" s="19"/>
    </row>
    <row r="126" spans="21:24" x14ac:dyDescent="0.2">
      <c r="V126" s="19"/>
    </row>
    <row r="127" spans="21:24" x14ac:dyDescent="0.2">
      <c r="V127" s="19"/>
    </row>
    <row r="128" spans="21:24" x14ac:dyDescent="0.2">
      <c r="V128" s="19"/>
    </row>
    <row r="129" spans="21:24" x14ac:dyDescent="0.2">
      <c r="V129" s="19"/>
    </row>
    <row r="130" spans="21:24" x14ac:dyDescent="0.2">
      <c r="U130" s="2">
        <v>1</v>
      </c>
      <c r="V130" s="19">
        <f>DATE(93,9,21)</f>
        <v>34233</v>
      </c>
      <c r="W130" s="8" t="s">
        <v>2095</v>
      </c>
      <c r="X130" s="2" t="s">
        <v>2133</v>
      </c>
    </row>
    <row r="131" spans="21:24" x14ac:dyDescent="0.2">
      <c r="V131" s="19" t="s">
        <v>2134</v>
      </c>
      <c r="X131" s="2" t="s">
        <v>2135</v>
      </c>
    </row>
    <row r="132" spans="21:24" x14ac:dyDescent="0.2">
      <c r="V132" s="19"/>
    </row>
    <row r="133" spans="21:24" x14ac:dyDescent="0.2">
      <c r="U133" s="2">
        <v>2</v>
      </c>
      <c r="V133" s="19">
        <f>DATE(93,9,21)</f>
        <v>34233</v>
      </c>
      <c r="W133" s="2">
        <v>1014</v>
      </c>
      <c r="X133" s="2" t="s">
        <v>2133</v>
      </c>
    </row>
    <row r="134" spans="21:24" x14ac:dyDescent="0.2">
      <c r="V134" s="19"/>
      <c r="X134" s="2" t="s">
        <v>2075</v>
      </c>
    </row>
    <row r="135" spans="21:24" x14ac:dyDescent="0.2">
      <c r="V135" s="19"/>
    </row>
    <row r="136" spans="21:24" x14ac:dyDescent="0.2">
      <c r="U136" s="2">
        <v>3</v>
      </c>
      <c r="V136" s="19">
        <f>DATE(93,9,21)</f>
        <v>34233</v>
      </c>
      <c r="W136" s="2">
        <v>1045</v>
      </c>
      <c r="X136" s="2" t="s">
        <v>2136</v>
      </c>
    </row>
    <row r="137" spans="21:24" x14ac:dyDescent="0.2">
      <c r="V137" s="19"/>
      <c r="X137" s="2" t="s">
        <v>2071</v>
      </c>
    </row>
    <row r="138" spans="21:24" x14ac:dyDescent="0.2">
      <c r="V138" s="19"/>
    </row>
    <row r="139" spans="21:24" x14ac:dyDescent="0.2">
      <c r="U139" s="2">
        <v>4</v>
      </c>
      <c r="V139" s="19">
        <f>DATE(93,9,21)</f>
        <v>34233</v>
      </c>
      <c r="W139" s="2">
        <v>1059</v>
      </c>
      <c r="X139" s="2" t="s">
        <v>2137</v>
      </c>
    </row>
    <row r="140" spans="21:24" x14ac:dyDescent="0.2">
      <c r="V140" s="19"/>
      <c r="X140" s="2" t="s">
        <v>2107</v>
      </c>
    </row>
    <row r="141" spans="21:24" x14ac:dyDescent="0.2">
      <c r="V141" s="19"/>
    </row>
    <row r="142" spans="21:24" x14ac:dyDescent="0.2">
      <c r="U142" s="2">
        <v>5</v>
      </c>
      <c r="V142" s="19">
        <f>DATE(93,9,21)</f>
        <v>34233</v>
      </c>
      <c r="W142" s="2">
        <v>1115</v>
      </c>
      <c r="X142" s="2" t="s">
        <v>2138</v>
      </c>
    </row>
    <row r="143" spans="21:24" x14ac:dyDescent="0.2">
      <c r="V143" s="19"/>
      <c r="X143" s="2" t="s">
        <v>2106</v>
      </c>
    </row>
    <row r="144" spans="21:24" x14ac:dyDescent="0.2">
      <c r="V144" s="19"/>
    </row>
    <row r="145" spans="21:24" x14ac:dyDescent="0.2">
      <c r="U145" s="2">
        <v>6</v>
      </c>
      <c r="V145" s="19">
        <f>DATE(93,9,21)</f>
        <v>34233</v>
      </c>
      <c r="W145" s="2">
        <v>1131</v>
      </c>
      <c r="X145" s="2" t="s">
        <v>2139</v>
      </c>
    </row>
    <row r="146" spans="21:24" x14ac:dyDescent="0.2">
      <c r="V146" s="19"/>
      <c r="X146" s="2" t="s">
        <v>2140</v>
      </c>
    </row>
    <row r="147" spans="21:24" x14ac:dyDescent="0.2">
      <c r="V147" s="19"/>
    </row>
    <row r="148" spans="21:24" x14ac:dyDescent="0.2">
      <c r="V148" s="19"/>
    </row>
    <row r="149" spans="21:24" x14ac:dyDescent="0.2">
      <c r="V149" s="19"/>
    </row>
    <row r="150" spans="21:24" x14ac:dyDescent="0.2">
      <c r="V150" s="19"/>
    </row>
    <row r="151" spans="21:24" x14ac:dyDescent="0.2">
      <c r="V151" s="19"/>
    </row>
    <row r="152" spans="21:24" x14ac:dyDescent="0.2">
      <c r="V152" s="19"/>
    </row>
    <row r="153" spans="21:24" x14ac:dyDescent="0.2">
      <c r="V153" s="19"/>
    </row>
    <row r="154" spans="21:24" x14ac:dyDescent="0.2">
      <c r="V154" s="19"/>
    </row>
    <row r="155" spans="21:24" x14ac:dyDescent="0.2">
      <c r="V155" s="19"/>
    </row>
    <row r="156" spans="21:24" x14ac:dyDescent="0.2">
      <c r="V156" s="19"/>
    </row>
    <row r="157" spans="21:24" x14ac:dyDescent="0.2">
      <c r="V157" s="19"/>
    </row>
    <row r="158" spans="21:24" x14ac:dyDescent="0.2">
      <c r="V158" s="19"/>
    </row>
    <row r="159" spans="21:24" x14ac:dyDescent="0.2">
      <c r="V159" s="19"/>
    </row>
    <row r="160" spans="21:24" x14ac:dyDescent="0.2">
      <c r="V160" s="19"/>
    </row>
    <row r="161" spans="22:22" x14ac:dyDescent="0.2">
      <c r="V161" s="19"/>
    </row>
    <row r="162" spans="22:22" x14ac:dyDescent="0.2">
      <c r="V162" s="19"/>
    </row>
    <row r="163" spans="22:22" x14ac:dyDescent="0.2">
      <c r="V163" s="19"/>
    </row>
    <row r="164" spans="22:22" x14ac:dyDescent="0.2">
      <c r="V164" s="19"/>
    </row>
    <row r="165" spans="22:22" x14ac:dyDescent="0.2">
      <c r="V165" s="19"/>
    </row>
    <row r="166" spans="22:22" x14ac:dyDescent="0.2">
      <c r="V166" s="19"/>
    </row>
    <row r="167" spans="22:22" x14ac:dyDescent="0.2">
      <c r="V167" s="19"/>
    </row>
    <row r="168" spans="22:22" x14ac:dyDescent="0.2">
      <c r="V168" s="19"/>
    </row>
    <row r="169" spans="22:22" x14ac:dyDescent="0.2">
      <c r="V169" s="19"/>
    </row>
    <row r="170" spans="22:22" x14ac:dyDescent="0.2">
      <c r="V170" s="19"/>
    </row>
    <row r="171" spans="22:22" x14ac:dyDescent="0.2">
      <c r="V171" s="19"/>
    </row>
    <row r="172" spans="22:22" x14ac:dyDescent="0.2">
      <c r="V172" s="19"/>
    </row>
    <row r="173" spans="22:22" x14ac:dyDescent="0.2">
      <c r="V173" s="19"/>
    </row>
    <row r="174" spans="22:22" x14ac:dyDescent="0.2">
      <c r="V174" s="19"/>
    </row>
    <row r="175" spans="22:22" x14ac:dyDescent="0.2">
      <c r="V175" s="19"/>
    </row>
    <row r="176" spans="22:22" x14ac:dyDescent="0.2">
      <c r="V176" s="19"/>
    </row>
    <row r="177" spans="22:22" x14ac:dyDescent="0.2">
      <c r="V177" s="19"/>
    </row>
  </sheetData>
  <pageMargins left="0.5" right="0.5" top="0.75" bottom="0.75" header="0.5" footer="0.5"/>
  <pageSetup orientation="portrait" horizontalDpi="0" verticalDpi="0" copies="0"/>
  <headerFooter alignWithMargins="0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46"/>
  <sheetViews>
    <sheetView showOutlineSymbols="0" defaultGridColor="0" colorId="9" workbookViewId="0">
      <selection activeCell="F24" sqref="F24"/>
    </sheetView>
  </sheetViews>
  <sheetFormatPr defaultColWidth="8.6640625" defaultRowHeight="15" x14ac:dyDescent="0.2"/>
  <cols>
    <col min="1" max="16384" width="8.6640625" style="2"/>
  </cols>
  <sheetData>
    <row r="1" spans="1:43" ht="18" x14ac:dyDescent="0.25">
      <c r="A1" s="18" t="s">
        <v>2141</v>
      </c>
      <c r="AQ1" s="2" t="s">
        <v>1</v>
      </c>
    </row>
    <row r="2" spans="1:43" x14ac:dyDescent="0.2">
      <c r="AQ2" s="2" t="s">
        <v>1</v>
      </c>
    </row>
    <row r="3" spans="1:43" x14ac:dyDescent="0.2">
      <c r="A3" s="2">
        <v>1988</v>
      </c>
      <c r="AQ3" s="2" t="s">
        <v>1</v>
      </c>
    </row>
    <row r="4" spans="1:43" x14ac:dyDescent="0.2">
      <c r="AG4" s="8" t="s">
        <v>1146</v>
      </c>
      <c r="AQ4" s="2" t="s">
        <v>1</v>
      </c>
    </row>
    <row r="5" spans="1:43" x14ac:dyDescent="0.2">
      <c r="A5" s="2" t="s">
        <v>284</v>
      </c>
      <c r="B5" s="2" t="s">
        <v>682</v>
      </c>
      <c r="C5" s="15" t="s">
        <v>253</v>
      </c>
      <c r="D5" s="8" t="s">
        <v>286</v>
      </c>
      <c r="E5" s="15" t="s">
        <v>203</v>
      </c>
      <c r="F5" s="8" t="s">
        <v>117</v>
      </c>
      <c r="G5" s="8" t="s">
        <v>118</v>
      </c>
      <c r="H5" s="8" t="s">
        <v>123</v>
      </c>
      <c r="I5" s="8" t="s">
        <v>134</v>
      </c>
      <c r="J5" s="8" t="s">
        <v>138</v>
      </c>
      <c r="K5" s="8" t="s">
        <v>136</v>
      </c>
      <c r="L5" s="8" t="s">
        <v>130</v>
      </c>
      <c r="M5" s="8" t="s">
        <v>133</v>
      </c>
      <c r="N5" s="8" t="s">
        <v>127</v>
      </c>
      <c r="O5" s="8" t="s">
        <v>121</v>
      </c>
      <c r="P5" s="8" t="s">
        <v>112</v>
      </c>
      <c r="Q5" s="8" t="s">
        <v>148</v>
      </c>
      <c r="R5" s="8" t="s">
        <v>115</v>
      </c>
      <c r="S5" s="8" t="s">
        <v>133</v>
      </c>
      <c r="T5" s="8" t="s">
        <v>126</v>
      </c>
      <c r="U5" s="8" t="s">
        <v>122</v>
      </c>
      <c r="V5" s="8" t="s">
        <v>113</v>
      </c>
      <c r="W5" s="8" t="s">
        <v>131</v>
      </c>
      <c r="X5" s="8" t="s">
        <v>129</v>
      </c>
      <c r="Y5" s="8" t="s">
        <v>149</v>
      </c>
      <c r="Z5" s="8" t="s">
        <v>151</v>
      </c>
      <c r="AA5" s="8" t="s">
        <v>120</v>
      </c>
      <c r="AB5" s="8" t="s">
        <v>2142</v>
      </c>
      <c r="AC5" s="8" t="s">
        <v>2142</v>
      </c>
      <c r="AD5" s="8" t="s">
        <v>160</v>
      </c>
      <c r="AE5" s="8" t="s">
        <v>171</v>
      </c>
      <c r="AF5" s="8" t="s">
        <v>171</v>
      </c>
      <c r="AG5" s="8" t="s">
        <v>120</v>
      </c>
      <c r="AH5" s="8" t="s">
        <v>150</v>
      </c>
      <c r="AI5" s="8" t="s">
        <v>150</v>
      </c>
      <c r="AJ5" s="8" t="s">
        <v>169</v>
      </c>
      <c r="AK5" s="8" t="s">
        <v>166</v>
      </c>
      <c r="AL5" s="8" t="s">
        <v>166</v>
      </c>
      <c r="AM5" s="8" t="s">
        <v>161</v>
      </c>
      <c r="AN5" s="8" t="s">
        <v>159</v>
      </c>
      <c r="AO5" s="8" t="s">
        <v>159</v>
      </c>
      <c r="AQ5" s="2" t="s">
        <v>1</v>
      </c>
    </row>
    <row r="6" spans="1:43" x14ac:dyDescent="0.2">
      <c r="A6" s="2" t="s">
        <v>289</v>
      </c>
      <c r="C6" s="19"/>
      <c r="F6" s="8" t="s">
        <v>266</v>
      </c>
      <c r="G6" s="8" t="s">
        <v>266</v>
      </c>
      <c r="H6" s="8" t="s">
        <v>266</v>
      </c>
      <c r="I6" s="8" t="s">
        <v>371</v>
      </c>
      <c r="J6" s="8" t="s">
        <v>266</v>
      </c>
      <c r="K6" s="8" t="s">
        <v>144</v>
      </c>
      <c r="L6" s="8" t="s">
        <v>144</v>
      </c>
      <c r="M6" s="8" t="s">
        <v>144</v>
      </c>
      <c r="N6" s="8" t="s">
        <v>144</v>
      </c>
      <c r="O6" s="8" t="s">
        <v>144</v>
      </c>
      <c r="P6" s="8" t="s">
        <v>144</v>
      </c>
      <c r="Q6" s="8" t="s">
        <v>144</v>
      </c>
      <c r="R6" s="8" t="s">
        <v>144</v>
      </c>
      <c r="S6" s="8" t="s">
        <v>144</v>
      </c>
      <c r="T6" s="8" t="s">
        <v>144</v>
      </c>
      <c r="U6" s="8" t="s">
        <v>144</v>
      </c>
      <c r="V6" s="8" t="s">
        <v>144</v>
      </c>
      <c r="W6" s="8" t="s">
        <v>144</v>
      </c>
      <c r="X6" s="8" t="s">
        <v>144</v>
      </c>
      <c r="Y6" s="8" t="s">
        <v>144</v>
      </c>
      <c r="Z6" s="8" t="s">
        <v>144</v>
      </c>
      <c r="AA6" s="8" t="s">
        <v>426</v>
      </c>
      <c r="AB6" s="8" t="s">
        <v>635</v>
      </c>
      <c r="AC6" s="8" t="s">
        <v>266</v>
      </c>
      <c r="AD6" s="8" t="s">
        <v>426</v>
      </c>
      <c r="AE6" s="8" t="s">
        <v>635</v>
      </c>
      <c r="AF6" s="8" t="s">
        <v>144</v>
      </c>
      <c r="AG6" s="8" t="s">
        <v>426</v>
      </c>
      <c r="AH6" s="8" t="s">
        <v>635</v>
      </c>
      <c r="AI6" s="8" t="s">
        <v>144</v>
      </c>
      <c r="AJ6" s="8" t="s">
        <v>426</v>
      </c>
      <c r="AK6" s="8" t="s">
        <v>635</v>
      </c>
      <c r="AL6" s="8" t="s">
        <v>144</v>
      </c>
      <c r="AM6" s="8" t="s">
        <v>426</v>
      </c>
      <c r="AN6" s="8" t="s">
        <v>635</v>
      </c>
      <c r="AO6" s="8" t="s">
        <v>144</v>
      </c>
      <c r="AQ6" s="2" t="s">
        <v>1</v>
      </c>
    </row>
    <row r="7" spans="1:43" x14ac:dyDescent="0.2">
      <c r="C7" s="19"/>
      <c r="AQ7" s="2" t="s">
        <v>1</v>
      </c>
    </row>
    <row r="8" spans="1:43" x14ac:dyDescent="0.2">
      <c r="A8" s="2">
        <v>9</v>
      </c>
      <c r="B8" s="2" t="s">
        <v>618</v>
      </c>
      <c r="C8" s="7">
        <f>DATE(88,10,17)</f>
        <v>32433</v>
      </c>
      <c r="D8" s="2">
        <v>1300</v>
      </c>
      <c r="F8" s="2">
        <v>554</v>
      </c>
      <c r="G8" s="2">
        <v>581</v>
      </c>
      <c r="H8" s="2">
        <v>1981</v>
      </c>
      <c r="I8" s="2">
        <v>387</v>
      </c>
      <c r="J8" s="2">
        <v>341.9</v>
      </c>
      <c r="K8" s="2">
        <v>476</v>
      </c>
      <c r="L8" s="2">
        <v>288</v>
      </c>
      <c r="M8" s="2">
        <v>47</v>
      </c>
      <c r="N8" s="2">
        <v>157</v>
      </c>
      <c r="O8" s="2">
        <v>210</v>
      </c>
      <c r="P8" s="2">
        <v>257</v>
      </c>
      <c r="Q8" s="2">
        <v>268</v>
      </c>
      <c r="R8" s="2">
        <v>975</v>
      </c>
      <c r="S8" s="2">
        <v>50</v>
      </c>
      <c r="T8" s="2">
        <v>4210</v>
      </c>
      <c r="U8" s="2">
        <v>6000</v>
      </c>
      <c r="V8" s="2">
        <v>3770</v>
      </c>
      <c r="W8" s="2">
        <v>1400</v>
      </c>
      <c r="X8" s="2">
        <v>819</v>
      </c>
      <c r="Y8" s="2">
        <v>634</v>
      </c>
      <c r="Z8" s="2">
        <v>607</v>
      </c>
      <c r="AA8" s="17">
        <v>3.5</v>
      </c>
      <c r="AB8" s="17">
        <v>5.3</v>
      </c>
      <c r="AC8" s="17">
        <v>1.1000000000000001</v>
      </c>
      <c r="AD8" s="17">
        <v>2.1</v>
      </c>
      <c r="AE8" s="17">
        <v>3.2</v>
      </c>
      <c r="AF8" s="17">
        <v>0.6</v>
      </c>
      <c r="AG8" s="17">
        <v>1.4</v>
      </c>
      <c r="AH8" s="17">
        <v>2.1</v>
      </c>
      <c r="AI8" s="17">
        <v>0.3</v>
      </c>
      <c r="AJ8" s="17">
        <v>0</v>
      </c>
      <c r="AK8" s="17">
        <v>0</v>
      </c>
      <c r="AL8" s="17">
        <v>0</v>
      </c>
      <c r="AM8" s="17">
        <v>3.1</v>
      </c>
      <c r="AN8" s="17">
        <v>4.5999999999999996</v>
      </c>
      <c r="AO8" s="17">
        <v>0.7</v>
      </c>
      <c r="AQ8" s="2" t="s">
        <v>1</v>
      </c>
    </row>
    <row r="9" spans="1:43" x14ac:dyDescent="0.2">
      <c r="A9" s="2">
        <v>10</v>
      </c>
      <c r="B9" s="2" t="s">
        <v>2143</v>
      </c>
      <c r="C9" s="7"/>
      <c r="D9" s="2">
        <v>1700</v>
      </c>
      <c r="F9" s="2">
        <v>528</v>
      </c>
      <c r="G9" s="2">
        <v>412</v>
      </c>
      <c r="H9" s="2">
        <v>1896</v>
      </c>
      <c r="I9" s="2">
        <v>361</v>
      </c>
      <c r="J9" s="2">
        <v>342.2</v>
      </c>
      <c r="K9" s="2">
        <v>464</v>
      </c>
      <c r="L9" s="2">
        <v>287</v>
      </c>
      <c r="M9" s="2">
        <v>48</v>
      </c>
      <c r="N9" s="2">
        <v>123</v>
      </c>
      <c r="O9" s="2">
        <v>209</v>
      </c>
      <c r="P9" s="2">
        <v>196</v>
      </c>
      <c r="Q9" s="2">
        <v>151</v>
      </c>
      <c r="R9" s="2">
        <v>911</v>
      </c>
      <c r="S9" s="2">
        <v>52</v>
      </c>
      <c r="T9" s="2">
        <v>3040</v>
      </c>
      <c r="U9" s="2">
        <v>3450</v>
      </c>
      <c r="V9" s="2">
        <v>2790</v>
      </c>
      <c r="W9" s="2">
        <v>937</v>
      </c>
      <c r="X9" s="2">
        <v>368</v>
      </c>
      <c r="Y9" s="2">
        <v>208</v>
      </c>
      <c r="Z9" s="2">
        <v>289</v>
      </c>
      <c r="AA9" s="17">
        <v>3.6</v>
      </c>
      <c r="AB9" s="17">
        <v>5.4</v>
      </c>
      <c r="AC9" s="17">
        <v>1.1000000000000001</v>
      </c>
      <c r="AD9" s="17">
        <v>1.3</v>
      </c>
      <c r="AE9" s="17">
        <v>1.9</v>
      </c>
      <c r="AF9" s="17">
        <v>0.3</v>
      </c>
      <c r="AG9" s="17">
        <v>0</v>
      </c>
      <c r="AH9" s="17">
        <v>0</v>
      </c>
      <c r="AI9" s="17">
        <v>0</v>
      </c>
      <c r="AJ9" s="17">
        <v>0.7</v>
      </c>
      <c r="AK9" s="17">
        <v>1.1000000000000001</v>
      </c>
      <c r="AL9" s="17">
        <v>0.2</v>
      </c>
      <c r="AM9" s="17">
        <v>1.5</v>
      </c>
      <c r="AN9" s="17">
        <v>2.2999999999999998</v>
      </c>
      <c r="AO9" s="17">
        <v>0.4</v>
      </c>
      <c r="AQ9" s="2" t="s">
        <v>1</v>
      </c>
    </row>
    <row r="10" spans="1:43" x14ac:dyDescent="0.2">
      <c r="A10" s="2">
        <v>11</v>
      </c>
      <c r="B10" s="2" t="s">
        <v>2144</v>
      </c>
      <c r="C10" s="7"/>
      <c r="D10" s="2">
        <v>2135</v>
      </c>
      <c r="E10" s="2" t="s">
        <v>2145</v>
      </c>
      <c r="F10" s="2">
        <v>566</v>
      </c>
      <c r="G10" s="2">
        <v>545</v>
      </c>
      <c r="H10" s="2">
        <v>1958</v>
      </c>
      <c r="I10" s="2">
        <v>367</v>
      </c>
      <c r="J10" s="2">
        <v>344.2</v>
      </c>
      <c r="K10" s="2">
        <v>468</v>
      </c>
      <c r="L10" s="2">
        <v>286</v>
      </c>
      <c r="M10" s="2">
        <v>47</v>
      </c>
      <c r="N10" s="2">
        <v>145</v>
      </c>
      <c r="O10" s="2">
        <v>208</v>
      </c>
      <c r="P10" s="2">
        <v>197</v>
      </c>
      <c r="Q10" s="2">
        <v>142</v>
      </c>
      <c r="R10" s="2">
        <v>1128</v>
      </c>
      <c r="S10" s="2">
        <v>49</v>
      </c>
      <c r="T10" s="2">
        <v>3800</v>
      </c>
      <c r="U10" s="2">
        <v>8430</v>
      </c>
      <c r="V10" s="2">
        <v>4450</v>
      </c>
      <c r="W10" s="2">
        <v>1080</v>
      </c>
      <c r="X10" s="2">
        <v>990</v>
      </c>
      <c r="Y10" s="2">
        <v>238</v>
      </c>
      <c r="Z10" s="2">
        <v>304</v>
      </c>
      <c r="AA10" s="17">
        <v>4.4000000000000004</v>
      </c>
      <c r="AB10" s="17">
        <v>6.7</v>
      </c>
      <c r="AC10" s="17">
        <v>1.4</v>
      </c>
      <c r="AD10" s="17">
        <v>2.4</v>
      </c>
      <c r="AE10" s="17">
        <v>3.5</v>
      </c>
      <c r="AF10" s="17">
        <v>0.6</v>
      </c>
      <c r="AG10" s="17">
        <v>0</v>
      </c>
      <c r="AH10" s="17">
        <v>0</v>
      </c>
      <c r="AI10" s="17">
        <v>0</v>
      </c>
      <c r="AJ10" s="17">
        <v>0</v>
      </c>
      <c r="AK10" s="17">
        <v>0</v>
      </c>
      <c r="AL10" s="17">
        <v>0</v>
      </c>
      <c r="AM10" s="17">
        <v>1.5</v>
      </c>
      <c r="AN10" s="17">
        <v>2.2000000000000002</v>
      </c>
      <c r="AO10" s="17">
        <v>0.3</v>
      </c>
      <c r="AQ10" s="2" t="s">
        <v>1</v>
      </c>
    </row>
    <row r="11" spans="1:43" x14ac:dyDescent="0.2">
      <c r="A11" s="2">
        <v>12</v>
      </c>
      <c r="B11" s="2" t="s">
        <v>2146</v>
      </c>
      <c r="C11" s="7">
        <f>DATE(88,10,18)</f>
        <v>32434</v>
      </c>
      <c r="D11" s="2">
        <v>630</v>
      </c>
      <c r="E11" s="2" t="s">
        <v>2145</v>
      </c>
      <c r="F11" s="2">
        <v>539</v>
      </c>
      <c r="G11" s="2">
        <v>659</v>
      </c>
      <c r="H11" s="2">
        <v>2062</v>
      </c>
      <c r="I11" s="2">
        <v>382</v>
      </c>
      <c r="J11" s="2">
        <v>346.1</v>
      </c>
      <c r="K11" s="2">
        <v>472</v>
      </c>
      <c r="L11" s="2">
        <v>286</v>
      </c>
      <c r="M11" s="2">
        <v>48</v>
      </c>
      <c r="N11" s="2">
        <v>126</v>
      </c>
      <c r="O11" s="2">
        <v>208</v>
      </c>
      <c r="P11" s="2">
        <v>188</v>
      </c>
      <c r="Q11" s="2">
        <v>130</v>
      </c>
      <c r="R11" s="2">
        <v>1356</v>
      </c>
      <c r="S11" s="2">
        <v>45</v>
      </c>
      <c r="T11" s="2">
        <v>4480</v>
      </c>
      <c r="U11" s="2">
        <v>13500</v>
      </c>
      <c r="V11" s="2">
        <v>6250</v>
      </c>
      <c r="W11" s="2">
        <v>1230</v>
      </c>
      <c r="X11" s="2">
        <v>1590</v>
      </c>
      <c r="Y11" s="2">
        <v>237</v>
      </c>
      <c r="Z11" s="2">
        <v>363</v>
      </c>
      <c r="AA11" s="17">
        <v>6.5</v>
      </c>
      <c r="AB11" s="17">
        <v>9.8000000000000007</v>
      </c>
      <c r="AC11" s="17">
        <v>2</v>
      </c>
      <c r="AD11" s="17">
        <v>2.2000000000000002</v>
      </c>
      <c r="AE11" s="17">
        <v>3.3</v>
      </c>
      <c r="AF11" s="17">
        <v>0.6</v>
      </c>
      <c r="AG11" s="17">
        <v>0</v>
      </c>
      <c r="AH11" s="17">
        <v>0</v>
      </c>
      <c r="AI11" s="17">
        <v>0</v>
      </c>
      <c r="AJ11" s="17">
        <v>0</v>
      </c>
      <c r="AK11" s="17">
        <v>0</v>
      </c>
      <c r="AL11" s="17">
        <v>0</v>
      </c>
      <c r="AM11" s="17">
        <v>1</v>
      </c>
      <c r="AN11" s="17">
        <v>1.5</v>
      </c>
      <c r="AO11" s="17">
        <v>0.2</v>
      </c>
      <c r="AQ11" s="2" t="s">
        <v>1</v>
      </c>
    </row>
    <row r="12" spans="1:43" x14ac:dyDescent="0.2">
      <c r="A12" s="2">
        <v>13</v>
      </c>
      <c r="B12" s="2" t="s">
        <v>2147</v>
      </c>
      <c r="C12" s="7"/>
      <c r="D12" s="2">
        <v>845</v>
      </c>
      <c r="E12" s="2" t="s">
        <v>2148</v>
      </c>
      <c r="F12" s="2">
        <v>518</v>
      </c>
      <c r="G12" s="2">
        <v>452</v>
      </c>
      <c r="H12" s="2">
        <v>1992</v>
      </c>
      <c r="I12" s="2">
        <v>375</v>
      </c>
      <c r="J12" s="2">
        <v>341.3</v>
      </c>
      <c r="K12" s="2">
        <v>462</v>
      </c>
      <c r="L12" s="2">
        <v>285</v>
      </c>
      <c r="M12" s="2">
        <v>47</v>
      </c>
      <c r="N12" s="2">
        <v>219</v>
      </c>
      <c r="O12" s="2">
        <v>210</v>
      </c>
      <c r="P12" s="2">
        <v>230</v>
      </c>
      <c r="Q12" s="2">
        <v>127</v>
      </c>
      <c r="R12" s="2">
        <v>825</v>
      </c>
      <c r="S12" s="2">
        <v>43</v>
      </c>
      <c r="T12" s="2">
        <v>3480</v>
      </c>
      <c r="U12" s="2">
        <v>5180</v>
      </c>
      <c r="V12" s="2">
        <v>3340</v>
      </c>
      <c r="W12" s="2">
        <v>1040</v>
      </c>
      <c r="X12" s="2">
        <v>606</v>
      </c>
      <c r="Y12" s="2">
        <v>238</v>
      </c>
      <c r="Z12" s="2">
        <v>305</v>
      </c>
      <c r="AA12" s="17">
        <v>2.7</v>
      </c>
      <c r="AB12" s="17">
        <v>4.0999999999999996</v>
      </c>
      <c r="AC12" s="17">
        <v>0.9</v>
      </c>
      <c r="AD12" s="17">
        <v>1.5</v>
      </c>
      <c r="AE12" s="17">
        <v>2.2999999999999998</v>
      </c>
      <c r="AF12" s="17">
        <v>0.4</v>
      </c>
      <c r="AG12" s="17">
        <v>0</v>
      </c>
      <c r="AH12" s="17">
        <v>0</v>
      </c>
      <c r="AI12" s="17">
        <v>0</v>
      </c>
      <c r="AJ12" s="17">
        <v>0</v>
      </c>
      <c r="AK12" s="17">
        <v>0</v>
      </c>
      <c r="AL12" s="17">
        <v>0</v>
      </c>
      <c r="AM12" s="17">
        <v>0.7</v>
      </c>
      <c r="AN12" s="17">
        <v>1</v>
      </c>
      <c r="AO12" s="17">
        <v>0.2</v>
      </c>
      <c r="AQ12" s="2" t="s">
        <v>1</v>
      </c>
    </row>
    <row r="13" spans="1:43" x14ac:dyDescent="0.2">
      <c r="A13" s="2">
        <v>14</v>
      </c>
      <c r="B13" s="2" t="s">
        <v>2149</v>
      </c>
      <c r="C13" s="7"/>
      <c r="D13" s="2">
        <v>1250</v>
      </c>
      <c r="F13" s="2">
        <v>534</v>
      </c>
      <c r="G13" s="2">
        <v>386</v>
      </c>
      <c r="H13" s="2">
        <v>1870</v>
      </c>
      <c r="I13" s="2">
        <v>363</v>
      </c>
      <c r="J13" s="2">
        <v>341.2</v>
      </c>
      <c r="K13" s="2">
        <v>457</v>
      </c>
      <c r="L13" s="2">
        <v>288</v>
      </c>
      <c r="M13" s="2">
        <v>46</v>
      </c>
      <c r="N13" s="2">
        <v>112</v>
      </c>
      <c r="O13" s="2">
        <v>211</v>
      </c>
      <c r="P13" s="2">
        <v>212</v>
      </c>
      <c r="Q13" s="2">
        <v>131</v>
      </c>
      <c r="R13" s="2">
        <v>704</v>
      </c>
      <c r="S13" s="2">
        <v>48</v>
      </c>
      <c r="T13" s="2">
        <v>2960</v>
      </c>
      <c r="U13" s="2">
        <v>2190</v>
      </c>
      <c r="V13" s="2">
        <v>2190</v>
      </c>
      <c r="W13" s="2">
        <v>1120</v>
      </c>
      <c r="X13" s="2">
        <v>235</v>
      </c>
      <c r="Y13" s="2">
        <v>512</v>
      </c>
      <c r="Z13" s="2">
        <v>513</v>
      </c>
      <c r="AA13" s="17">
        <v>1.9</v>
      </c>
      <c r="AB13" s="17">
        <v>2.9</v>
      </c>
      <c r="AC13" s="17">
        <v>0.6</v>
      </c>
      <c r="AD13" s="17">
        <v>0.9</v>
      </c>
      <c r="AE13" s="17">
        <v>1.4</v>
      </c>
      <c r="AF13" s="17">
        <v>0.2</v>
      </c>
      <c r="AG13" s="17">
        <v>0</v>
      </c>
      <c r="AH13" s="17">
        <v>0</v>
      </c>
      <c r="AI13" s="17">
        <v>0</v>
      </c>
      <c r="AJ13" s="17">
        <v>0</v>
      </c>
      <c r="AK13" s="17">
        <v>0</v>
      </c>
      <c r="AL13" s="17">
        <v>0</v>
      </c>
      <c r="AM13" s="17">
        <v>0</v>
      </c>
      <c r="AN13" s="17">
        <v>0</v>
      </c>
      <c r="AO13" s="17">
        <v>0</v>
      </c>
      <c r="AQ13" s="2" t="s">
        <v>1</v>
      </c>
    </row>
    <row r="14" spans="1:43" x14ac:dyDescent="0.2">
      <c r="A14" s="2">
        <v>15</v>
      </c>
      <c r="B14" s="2" t="s">
        <v>2150</v>
      </c>
      <c r="C14" s="7"/>
      <c r="D14" s="2">
        <v>1830</v>
      </c>
      <c r="E14" s="2" t="s">
        <v>2151</v>
      </c>
      <c r="F14" s="2">
        <v>567</v>
      </c>
      <c r="G14" s="2">
        <v>406</v>
      </c>
      <c r="H14" s="2">
        <v>1874</v>
      </c>
      <c r="I14" s="2">
        <v>362</v>
      </c>
      <c r="J14" s="2">
        <v>342.6</v>
      </c>
      <c r="K14" s="2">
        <v>462</v>
      </c>
      <c r="L14" s="2">
        <v>285</v>
      </c>
      <c r="M14" s="2">
        <v>46</v>
      </c>
      <c r="N14" s="2">
        <v>124</v>
      </c>
      <c r="O14" s="2">
        <v>211</v>
      </c>
      <c r="P14" s="2">
        <v>204</v>
      </c>
      <c r="Q14" s="2">
        <v>129</v>
      </c>
      <c r="R14" s="2">
        <v>806</v>
      </c>
      <c r="S14" s="2">
        <v>49</v>
      </c>
      <c r="T14" s="2">
        <v>3150</v>
      </c>
      <c r="U14" s="2">
        <v>2720</v>
      </c>
      <c r="V14" s="2">
        <v>2590</v>
      </c>
      <c r="W14" s="2">
        <v>1140</v>
      </c>
      <c r="X14" s="2">
        <v>615</v>
      </c>
      <c r="Y14" s="2">
        <v>302</v>
      </c>
      <c r="Z14" s="2">
        <v>401</v>
      </c>
      <c r="AA14" s="17">
        <v>1.9</v>
      </c>
      <c r="AB14" s="17">
        <v>2.8</v>
      </c>
      <c r="AC14" s="17">
        <v>0.6</v>
      </c>
      <c r="AD14" s="17">
        <v>1.2</v>
      </c>
      <c r="AE14" s="17">
        <v>1.9</v>
      </c>
      <c r="AF14" s="17">
        <v>0.3</v>
      </c>
      <c r="AG14" s="17">
        <v>0</v>
      </c>
      <c r="AH14" s="17">
        <v>0</v>
      </c>
      <c r="AI14" s="17">
        <v>0</v>
      </c>
      <c r="AJ14" s="17">
        <v>0</v>
      </c>
      <c r="AK14" s="17">
        <v>0</v>
      </c>
      <c r="AL14" s="17">
        <v>0</v>
      </c>
      <c r="AM14" s="17">
        <v>0</v>
      </c>
      <c r="AN14" s="17"/>
      <c r="AO14" s="17"/>
      <c r="AQ14" s="2" t="s">
        <v>1</v>
      </c>
    </row>
    <row r="15" spans="1:43" x14ac:dyDescent="0.2">
      <c r="A15" s="2">
        <v>16</v>
      </c>
      <c r="B15" s="2" t="s">
        <v>2152</v>
      </c>
      <c r="C15" s="7">
        <f>DATE(88,10,19)</f>
        <v>32435</v>
      </c>
      <c r="D15" s="2">
        <v>615</v>
      </c>
      <c r="F15" s="2">
        <v>695</v>
      </c>
      <c r="G15" s="2">
        <v>744</v>
      </c>
      <c r="H15" s="2">
        <v>2374</v>
      </c>
      <c r="I15" s="2">
        <v>424</v>
      </c>
      <c r="J15" s="2">
        <v>346.2</v>
      </c>
      <c r="K15" s="2">
        <v>465</v>
      </c>
      <c r="L15" s="2">
        <v>286</v>
      </c>
      <c r="M15" s="2">
        <v>47</v>
      </c>
      <c r="N15" s="2">
        <v>224</v>
      </c>
      <c r="O15" s="2">
        <v>209</v>
      </c>
      <c r="P15" s="2">
        <v>232</v>
      </c>
      <c r="Q15" s="2">
        <v>135</v>
      </c>
      <c r="R15" s="2">
        <v>946</v>
      </c>
      <c r="S15" s="2">
        <v>49</v>
      </c>
      <c r="T15" s="2">
        <v>4640</v>
      </c>
      <c r="U15" s="2">
        <v>6170</v>
      </c>
      <c r="V15" s="2">
        <v>3710</v>
      </c>
      <c r="W15" s="2">
        <v>2550</v>
      </c>
      <c r="X15" s="2">
        <v>1150</v>
      </c>
      <c r="Y15" s="2">
        <v>1060</v>
      </c>
      <c r="Z15" s="2">
        <v>1930</v>
      </c>
      <c r="AA15" s="17">
        <v>4.5</v>
      </c>
      <c r="AB15" s="17">
        <v>6.7</v>
      </c>
      <c r="AC15" s="17">
        <v>1.4</v>
      </c>
      <c r="AD15" s="17">
        <v>1.7</v>
      </c>
      <c r="AE15" s="17">
        <v>2.6</v>
      </c>
      <c r="AF15" s="17">
        <v>0.5</v>
      </c>
      <c r="AG15" s="17">
        <v>0.7</v>
      </c>
      <c r="AH15" s="17">
        <v>1.1000000000000001</v>
      </c>
      <c r="AI15" s="17">
        <v>0.2</v>
      </c>
      <c r="AJ15" s="17">
        <v>0</v>
      </c>
      <c r="AK15" s="17">
        <v>0</v>
      </c>
      <c r="AL15" s="17">
        <v>0</v>
      </c>
      <c r="AM15" s="17">
        <v>0.6</v>
      </c>
      <c r="AN15" s="17">
        <v>0.9</v>
      </c>
      <c r="AO15" s="17">
        <v>0.1</v>
      </c>
      <c r="AQ15" s="2" t="s">
        <v>1</v>
      </c>
    </row>
    <row r="16" spans="1:43" x14ac:dyDescent="0.2">
      <c r="A16" s="2">
        <v>17</v>
      </c>
      <c r="B16" s="2" t="s">
        <v>2153</v>
      </c>
      <c r="C16" s="7"/>
      <c r="D16" s="2">
        <v>830</v>
      </c>
      <c r="E16" s="2" t="s">
        <v>2154</v>
      </c>
      <c r="G16" s="2">
        <v>1146</v>
      </c>
      <c r="H16" s="2">
        <v>2259</v>
      </c>
      <c r="I16" s="2">
        <v>389</v>
      </c>
      <c r="J16" s="2">
        <v>342.1</v>
      </c>
      <c r="K16" s="2">
        <v>474</v>
      </c>
      <c r="L16" s="2">
        <v>291</v>
      </c>
      <c r="M16" s="2">
        <v>47</v>
      </c>
      <c r="N16" s="2">
        <v>176</v>
      </c>
      <c r="O16" s="2">
        <v>222</v>
      </c>
      <c r="P16" s="2">
        <v>217</v>
      </c>
      <c r="Q16" s="2">
        <v>146</v>
      </c>
      <c r="R16" s="2">
        <v>866</v>
      </c>
      <c r="S16" s="2">
        <v>49</v>
      </c>
      <c r="T16" s="2">
        <v>3690</v>
      </c>
      <c r="U16" s="2">
        <v>4960</v>
      </c>
      <c r="V16" s="2">
        <v>3610</v>
      </c>
      <c r="W16" s="2">
        <v>1260</v>
      </c>
      <c r="X16" s="2">
        <v>969</v>
      </c>
      <c r="Y16" s="2">
        <v>500</v>
      </c>
      <c r="Z16" s="2">
        <v>495</v>
      </c>
      <c r="AA16" s="17">
        <v>3.8</v>
      </c>
      <c r="AB16" s="17">
        <v>5.7</v>
      </c>
      <c r="AC16" s="17">
        <v>1.2</v>
      </c>
      <c r="AD16" s="17">
        <v>1.4</v>
      </c>
      <c r="AE16" s="17">
        <v>2.1</v>
      </c>
      <c r="AF16" s="17">
        <v>0.4</v>
      </c>
      <c r="AG16" s="17">
        <v>0</v>
      </c>
      <c r="AH16" s="17">
        <v>0</v>
      </c>
      <c r="AI16" s="17">
        <v>0</v>
      </c>
      <c r="AJ16" s="17">
        <v>0</v>
      </c>
      <c r="AK16" s="17">
        <v>0</v>
      </c>
      <c r="AL16" s="17">
        <v>0</v>
      </c>
      <c r="AM16" s="17">
        <v>0.9</v>
      </c>
      <c r="AN16" s="17">
        <v>1.4</v>
      </c>
      <c r="AO16" s="17">
        <v>0.2</v>
      </c>
      <c r="AQ16" s="2" t="s">
        <v>1</v>
      </c>
    </row>
    <row r="17" spans="1:43" x14ac:dyDescent="0.2">
      <c r="A17" s="2">
        <v>18</v>
      </c>
      <c r="B17" s="2" t="s">
        <v>2155</v>
      </c>
      <c r="C17" s="7"/>
      <c r="D17" s="2">
        <v>1000</v>
      </c>
      <c r="E17" s="2" t="s">
        <v>2156</v>
      </c>
      <c r="F17" s="2">
        <v>629</v>
      </c>
      <c r="G17" s="2">
        <v>588</v>
      </c>
      <c r="H17" s="2">
        <v>1942</v>
      </c>
      <c r="I17" s="2">
        <v>366</v>
      </c>
      <c r="J17" s="2">
        <v>342.1</v>
      </c>
      <c r="K17" s="2">
        <v>464</v>
      </c>
      <c r="L17" s="2">
        <v>288</v>
      </c>
      <c r="M17" s="2">
        <v>46</v>
      </c>
      <c r="N17" s="2">
        <v>152</v>
      </c>
      <c r="O17" s="2">
        <v>211</v>
      </c>
      <c r="P17" s="2">
        <v>208</v>
      </c>
      <c r="Q17" s="2">
        <v>169</v>
      </c>
      <c r="R17" s="2">
        <v>924</v>
      </c>
      <c r="S17" s="2">
        <v>49</v>
      </c>
      <c r="T17" s="2">
        <v>3080</v>
      </c>
      <c r="U17" s="2">
        <v>3970</v>
      </c>
      <c r="V17" s="2">
        <v>3400</v>
      </c>
      <c r="W17" s="2">
        <v>931</v>
      </c>
      <c r="X17" s="2">
        <v>269</v>
      </c>
      <c r="Y17" s="2">
        <v>228</v>
      </c>
      <c r="Z17" s="2">
        <v>303</v>
      </c>
      <c r="AA17" s="17">
        <v>3.7</v>
      </c>
      <c r="AB17" s="17">
        <v>5.6</v>
      </c>
      <c r="AC17" s="17">
        <v>1.2</v>
      </c>
      <c r="AD17" s="17">
        <v>0.7</v>
      </c>
      <c r="AE17" s="17">
        <v>1</v>
      </c>
      <c r="AF17" s="17">
        <v>0.2</v>
      </c>
      <c r="AG17" s="17">
        <v>0</v>
      </c>
      <c r="AH17" s="17">
        <v>0</v>
      </c>
      <c r="AI17" s="17">
        <v>0</v>
      </c>
      <c r="AJ17" s="17">
        <v>0</v>
      </c>
      <c r="AK17" s="17">
        <v>0</v>
      </c>
      <c r="AL17" s="17">
        <v>0</v>
      </c>
      <c r="AM17" s="17">
        <v>0</v>
      </c>
      <c r="AN17" s="17">
        <v>0</v>
      </c>
      <c r="AO17" s="17">
        <v>0</v>
      </c>
      <c r="AQ17" s="2" t="s">
        <v>1</v>
      </c>
    </row>
    <row r="18" spans="1:43" x14ac:dyDescent="0.2">
      <c r="A18" s="2">
        <v>19</v>
      </c>
      <c r="B18" s="2" t="s">
        <v>2157</v>
      </c>
      <c r="C18" s="7"/>
      <c r="D18" s="2">
        <v>1230</v>
      </c>
      <c r="E18" s="2" t="s">
        <v>2158</v>
      </c>
      <c r="F18" s="2">
        <v>570</v>
      </c>
      <c r="G18" s="2">
        <v>468</v>
      </c>
      <c r="H18" s="2">
        <v>1878</v>
      </c>
      <c r="I18" s="2">
        <v>359</v>
      </c>
      <c r="J18" s="2">
        <v>340.9</v>
      </c>
      <c r="K18" s="2">
        <v>463</v>
      </c>
      <c r="L18" s="2">
        <v>288</v>
      </c>
      <c r="M18" s="2">
        <v>46</v>
      </c>
      <c r="N18" s="2">
        <v>126</v>
      </c>
      <c r="O18" s="2">
        <v>210</v>
      </c>
      <c r="P18" s="2">
        <v>200</v>
      </c>
      <c r="Q18" s="2">
        <v>164</v>
      </c>
      <c r="R18" s="2">
        <v>906</v>
      </c>
      <c r="S18" s="2">
        <v>52</v>
      </c>
      <c r="T18" s="2">
        <v>2610</v>
      </c>
      <c r="U18" s="2">
        <v>1840</v>
      </c>
      <c r="V18" s="2">
        <v>2530</v>
      </c>
      <c r="W18" s="2">
        <v>763</v>
      </c>
      <c r="X18" s="2">
        <v>109</v>
      </c>
      <c r="Y18" s="2">
        <v>218</v>
      </c>
      <c r="Z18" s="2">
        <v>238</v>
      </c>
      <c r="AA18" s="17">
        <v>3.2</v>
      </c>
      <c r="AB18" s="17">
        <v>4.8</v>
      </c>
      <c r="AC18" s="17">
        <v>1</v>
      </c>
      <c r="AD18" s="17">
        <v>1.3</v>
      </c>
      <c r="AE18" s="17">
        <v>2</v>
      </c>
      <c r="AF18" s="17">
        <v>0.4</v>
      </c>
      <c r="AG18" s="17">
        <v>0</v>
      </c>
      <c r="AH18" s="17">
        <v>0</v>
      </c>
      <c r="AI18" s="17">
        <v>0</v>
      </c>
      <c r="AJ18" s="17">
        <v>0</v>
      </c>
      <c r="AK18" s="17">
        <v>0</v>
      </c>
      <c r="AL18" s="17">
        <v>0</v>
      </c>
      <c r="AM18" s="17">
        <v>0</v>
      </c>
      <c r="AN18" s="17">
        <v>0</v>
      </c>
      <c r="AO18" s="17">
        <v>0</v>
      </c>
      <c r="AQ18" s="2" t="s">
        <v>1</v>
      </c>
    </row>
    <row r="19" spans="1:43" x14ac:dyDescent="0.2">
      <c r="A19" s="2">
        <v>20</v>
      </c>
      <c r="B19" s="2" t="s">
        <v>2159</v>
      </c>
      <c r="C19" s="7"/>
      <c r="D19" s="2">
        <v>1300</v>
      </c>
      <c r="E19" s="2" t="s">
        <v>2160</v>
      </c>
      <c r="F19" s="2">
        <v>570</v>
      </c>
      <c r="G19" s="2">
        <v>439</v>
      </c>
      <c r="H19" s="2">
        <v>1859</v>
      </c>
      <c r="I19" s="2">
        <v>358</v>
      </c>
      <c r="J19" s="2">
        <v>340.6</v>
      </c>
      <c r="K19" s="2">
        <v>464</v>
      </c>
      <c r="L19" s="2">
        <v>288</v>
      </c>
      <c r="M19" s="2">
        <v>46</v>
      </c>
      <c r="N19" s="2">
        <v>63</v>
      </c>
      <c r="O19" s="2">
        <v>210</v>
      </c>
      <c r="P19" s="2">
        <v>173</v>
      </c>
      <c r="Q19" s="2">
        <v>162</v>
      </c>
      <c r="R19" s="2">
        <v>871</v>
      </c>
      <c r="S19" s="2">
        <v>51</v>
      </c>
      <c r="T19" s="2">
        <v>2560</v>
      </c>
      <c r="U19" s="2">
        <v>1620</v>
      </c>
      <c r="V19" s="2">
        <v>2360</v>
      </c>
      <c r="W19" s="2">
        <v>762</v>
      </c>
      <c r="X19" s="2">
        <v>108</v>
      </c>
      <c r="Y19" s="2">
        <v>171</v>
      </c>
      <c r="Z19" s="2">
        <v>242</v>
      </c>
      <c r="AA19" s="17">
        <v>4</v>
      </c>
      <c r="AB19" s="17">
        <v>6</v>
      </c>
      <c r="AC19" s="17">
        <v>1.3</v>
      </c>
      <c r="AD19" s="17">
        <v>0.8</v>
      </c>
      <c r="AE19" s="17">
        <v>1.3</v>
      </c>
      <c r="AF19" s="17">
        <v>0.2</v>
      </c>
      <c r="AG19" s="17">
        <v>0</v>
      </c>
      <c r="AH19" s="17">
        <v>0</v>
      </c>
      <c r="AI19" s="17">
        <v>0</v>
      </c>
      <c r="AJ19" s="17">
        <v>0</v>
      </c>
      <c r="AK19" s="17">
        <v>0</v>
      </c>
      <c r="AL19" s="17">
        <v>0</v>
      </c>
      <c r="AM19" s="17">
        <v>0</v>
      </c>
      <c r="AN19" s="17">
        <v>0</v>
      </c>
      <c r="AO19" s="17">
        <v>0</v>
      </c>
      <c r="AQ19" s="2" t="s">
        <v>1</v>
      </c>
    </row>
    <row r="20" spans="1:43" x14ac:dyDescent="0.2">
      <c r="C20" s="7"/>
      <c r="AQ20" s="2" t="s">
        <v>1</v>
      </c>
    </row>
    <row r="21" spans="1:43" x14ac:dyDescent="0.2">
      <c r="C21" s="7"/>
      <c r="F21" s="8" t="s">
        <v>117</v>
      </c>
      <c r="G21" s="8" t="s">
        <v>118</v>
      </c>
      <c r="H21" s="8" t="s">
        <v>123</v>
      </c>
      <c r="I21" s="8" t="s">
        <v>134</v>
      </c>
      <c r="J21" s="8" t="s">
        <v>138</v>
      </c>
      <c r="K21" s="8" t="s">
        <v>136</v>
      </c>
      <c r="L21" s="8" t="s">
        <v>130</v>
      </c>
      <c r="M21" s="8" t="s">
        <v>133</v>
      </c>
      <c r="N21" s="8" t="s">
        <v>127</v>
      </c>
      <c r="O21" s="8" t="s">
        <v>121</v>
      </c>
      <c r="P21" s="8" t="s">
        <v>112</v>
      </c>
      <c r="Q21" s="8" t="s">
        <v>148</v>
      </c>
      <c r="R21" s="8" t="s">
        <v>115</v>
      </c>
      <c r="S21" s="8" t="s">
        <v>133</v>
      </c>
      <c r="T21" s="8" t="s">
        <v>126</v>
      </c>
      <c r="U21" s="8" t="s">
        <v>122</v>
      </c>
      <c r="V21" s="8" t="s">
        <v>113</v>
      </c>
      <c r="W21" s="8" t="s">
        <v>131</v>
      </c>
      <c r="X21" s="8" t="s">
        <v>129</v>
      </c>
      <c r="Y21" s="8" t="s">
        <v>149</v>
      </c>
      <c r="Z21" s="8" t="s">
        <v>151</v>
      </c>
      <c r="AA21" s="8" t="s">
        <v>120</v>
      </c>
      <c r="AB21" s="8" t="s">
        <v>2142</v>
      </c>
      <c r="AC21" s="8" t="s">
        <v>2142</v>
      </c>
      <c r="AD21" s="8" t="s">
        <v>160</v>
      </c>
      <c r="AE21" s="8" t="s">
        <v>171</v>
      </c>
      <c r="AF21" s="8" t="s">
        <v>171</v>
      </c>
      <c r="AG21" s="8" t="s">
        <v>120</v>
      </c>
      <c r="AH21" s="8" t="s">
        <v>150</v>
      </c>
      <c r="AI21" s="8" t="s">
        <v>150</v>
      </c>
      <c r="AJ21" s="8" t="s">
        <v>169</v>
      </c>
      <c r="AK21" s="8" t="s">
        <v>166</v>
      </c>
      <c r="AL21" s="8" t="s">
        <v>166</v>
      </c>
      <c r="AM21" s="8" t="s">
        <v>161</v>
      </c>
      <c r="AN21" s="8" t="s">
        <v>159</v>
      </c>
      <c r="AO21" s="8" t="s">
        <v>159</v>
      </c>
      <c r="AQ21" s="2" t="s">
        <v>1</v>
      </c>
    </row>
    <row r="22" spans="1:43" x14ac:dyDescent="0.2">
      <c r="C22" s="7"/>
      <c r="F22" s="8" t="s">
        <v>266</v>
      </c>
      <c r="G22" s="8" t="s">
        <v>266</v>
      </c>
      <c r="H22" s="8" t="s">
        <v>266</v>
      </c>
      <c r="I22" s="8" t="s">
        <v>371</v>
      </c>
      <c r="J22" s="8" t="s">
        <v>266</v>
      </c>
      <c r="K22" s="8" t="s">
        <v>144</v>
      </c>
      <c r="L22" s="8" t="s">
        <v>144</v>
      </c>
      <c r="M22" s="8" t="s">
        <v>144</v>
      </c>
      <c r="N22" s="8" t="s">
        <v>144</v>
      </c>
      <c r="O22" s="8" t="s">
        <v>144</v>
      </c>
      <c r="P22" s="8" t="s">
        <v>144</v>
      </c>
      <c r="Q22" s="8" t="s">
        <v>144</v>
      </c>
      <c r="R22" s="8" t="s">
        <v>144</v>
      </c>
      <c r="S22" s="8" t="s">
        <v>144</v>
      </c>
      <c r="T22" s="8" t="s">
        <v>144</v>
      </c>
      <c r="U22" s="8" t="s">
        <v>144</v>
      </c>
      <c r="V22" s="8" t="s">
        <v>144</v>
      </c>
      <c r="W22" s="8" t="s">
        <v>144</v>
      </c>
      <c r="X22" s="8" t="s">
        <v>144</v>
      </c>
      <c r="Y22" s="8" t="s">
        <v>144</v>
      </c>
      <c r="Z22" s="8" t="s">
        <v>144</v>
      </c>
      <c r="AA22" s="8" t="s">
        <v>426</v>
      </c>
      <c r="AB22" s="8" t="s">
        <v>635</v>
      </c>
      <c r="AC22" s="8" t="s">
        <v>266</v>
      </c>
      <c r="AD22" s="8" t="s">
        <v>426</v>
      </c>
      <c r="AE22" s="8" t="s">
        <v>635</v>
      </c>
      <c r="AF22" s="8" t="s">
        <v>144</v>
      </c>
      <c r="AG22" s="8" t="s">
        <v>426</v>
      </c>
      <c r="AH22" s="8" t="s">
        <v>635</v>
      </c>
      <c r="AI22" s="8" t="s">
        <v>144</v>
      </c>
      <c r="AJ22" s="8" t="s">
        <v>426</v>
      </c>
      <c r="AK22" s="8" t="s">
        <v>635</v>
      </c>
      <c r="AL22" s="8" t="s">
        <v>144</v>
      </c>
      <c r="AM22" s="8" t="s">
        <v>426</v>
      </c>
      <c r="AN22" s="8" t="s">
        <v>635</v>
      </c>
      <c r="AO22" s="8" t="s">
        <v>144</v>
      </c>
      <c r="AQ22" s="2" t="s">
        <v>1</v>
      </c>
    </row>
    <row r="23" spans="1:43" x14ac:dyDescent="0.2">
      <c r="AQ23" s="2" t="s">
        <v>1</v>
      </c>
    </row>
    <row r="24" spans="1:43" x14ac:dyDescent="0.2">
      <c r="C24" s="7">
        <f>AVERAGE(C8:C15)</f>
        <v>32434</v>
      </c>
      <c r="F24" s="4">
        <f t="shared" ref="F24:AO24" si="0">AVERAGE(F8:F19)</f>
        <v>570</v>
      </c>
      <c r="G24" s="4">
        <f t="shared" si="0"/>
        <v>568.83333333333337</v>
      </c>
      <c r="H24" s="4">
        <f t="shared" si="0"/>
        <v>1995.4166666666667</v>
      </c>
      <c r="I24" s="4">
        <f t="shared" si="0"/>
        <v>374.41666666666669</v>
      </c>
      <c r="J24" s="4">
        <f t="shared" si="0"/>
        <v>342.61666666666662</v>
      </c>
      <c r="K24" s="4">
        <f t="shared" si="0"/>
        <v>465.91666666666669</v>
      </c>
      <c r="L24" s="4">
        <f t="shared" si="0"/>
        <v>287.16666666666669</v>
      </c>
      <c r="M24" s="4">
        <f t="shared" si="0"/>
        <v>46.75</v>
      </c>
      <c r="N24" s="4">
        <f t="shared" si="0"/>
        <v>145.58333333333334</v>
      </c>
      <c r="O24" s="4">
        <f t="shared" si="0"/>
        <v>210.75</v>
      </c>
      <c r="P24" s="4">
        <f t="shared" si="0"/>
        <v>209.5</v>
      </c>
      <c r="Q24" s="4">
        <f t="shared" si="0"/>
        <v>154.5</v>
      </c>
      <c r="R24" s="4">
        <f t="shared" si="0"/>
        <v>934.83333333333337</v>
      </c>
      <c r="S24" s="4">
        <f t="shared" si="0"/>
        <v>48.833333333333336</v>
      </c>
      <c r="T24" s="4">
        <f t="shared" si="0"/>
        <v>3475</v>
      </c>
      <c r="U24" s="4">
        <f t="shared" si="0"/>
        <v>5002.5</v>
      </c>
      <c r="V24" s="4">
        <f t="shared" si="0"/>
        <v>3415.8333333333335</v>
      </c>
      <c r="W24" s="4">
        <f t="shared" si="0"/>
        <v>1184.4166666666667</v>
      </c>
      <c r="X24" s="4">
        <f t="shared" si="0"/>
        <v>652.33333333333337</v>
      </c>
      <c r="Y24" s="4">
        <f t="shared" si="0"/>
        <v>378.83333333333331</v>
      </c>
      <c r="Z24" s="4">
        <f t="shared" si="0"/>
        <v>499.16666666666669</v>
      </c>
      <c r="AA24" s="4">
        <f t="shared" si="0"/>
        <v>3.6416666666666671</v>
      </c>
      <c r="AB24" s="4">
        <f t="shared" si="0"/>
        <v>5.4833333333333334</v>
      </c>
      <c r="AC24" s="4">
        <f t="shared" si="0"/>
        <v>1.1499999999999999</v>
      </c>
      <c r="AD24" s="4">
        <f t="shared" si="0"/>
        <v>1.4583333333333333</v>
      </c>
      <c r="AE24" s="4">
        <f t="shared" si="0"/>
        <v>2.2083333333333335</v>
      </c>
      <c r="AF24" s="4">
        <f t="shared" si="0"/>
        <v>0.39166666666666666</v>
      </c>
      <c r="AG24" s="4">
        <f t="shared" si="0"/>
        <v>0.17499999999999996</v>
      </c>
      <c r="AH24" s="4">
        <f t="shared" si="0"/>
        <v>0.26666666666666666</v>
      </c>
      <c r="AI24" s="4">
        <f t="shared" si="0"/>
        <v>4.1666666666666664E-2</v>
      </c>
      <c r="AJ24" s="4">
        <f t="shared" si="0"/>
        <v>5.8333333333333327E-2</v>
      </c>
      <c r="AK24" s="4">
        <f t="shared" si="0"/>
        <v>9.1666666666666674E-2</v>
      </c>
      <c r="AL24" s="4">
        <f t="shared" si="0"/>
        <v>1.6666666666666666E-2</v>
      </c>
      <c r="AM24" s="4">
        <f t="shared" si="0"/>
        <v>0.77500000000000002</v>
      </c>
      <c r="AN24" s="4">
        <f t="shared" si="0"/>
        <v>1.2636363636363637</v>
      </c>
      <c r="AO24" s="4">
        <f t="shared" si="0"/>
        <v>0.19090909090909092</v>
      </c>
      <c r="AQ24" s="2" t="s">
        <v>1</v>
      </c>
    </row>
    <row r="25" spans="1:43" x14ac:dyDescent="0.2">
      <c r="F25" s="4">
        <f t="shared" ref="F25:AO25" si="1">STDEV(F8:F19)</f>
        <v>51.099902152548196</v>
      </c>
      <c r="G25" s="4">
        <f t="shared" si="1"/>
        <v>212.82337249181037</v>
      </c>
      <c r="H25" s="4">
        <f t="shared" si="1"/>
        <v>163.61232357081914</v>
      </c>
      <c r="I25" s="4">
        <f t="shared" si="1"/>
        <v>19.033264342071003</v>
      </c>
      <c r="J25" s="4">
        <f t="shared" si="1"/>
        <v>1.8939296969448731</v>
      </c>
      <c r="K25" s="4">
        <f t="shared" si="1"/>
        <v>5.5507302276913135</v>
      </c>
      <c r="L25" s="4">
        <f t="shared" si="1"/>
        <v>1.6966991126265962</v>
      </c>
      <c r="M25" s="4">
        <f t="shared" si="1"/>
        <v>0.75377836144440913</v>
      </c>
      <c r="N25" s="4">
        <f t="shared" si="1"/>
        <v>45.052410556702689</v>
      </c>
      <c r="O25" s="4">
        <f t="shared" si="1"/>
        <v>3.6958207355188248</v>
      </c>
      <c r="P25" s="4">
        <f t="shared" si="1"/>
        <v>22.362712471677245</v>
      </c>
      <c r="Q25" s="4">
        <f t="shared" si="1"/>
        <v>38.634652368519689</v>
      </c>
      <c r="R25" s="4">
        <f t="shared" si="1"/>
        <v>167.52412761549687</v>
      </c>
      <c r="S25" s="4">
        <f t="shared" si="1"/>
        <v>2.6227443411030134</v>
      </c>
      <c r="T25" s="4">
        <f t="shared" si="1"/>
        <v>698.10783225411922</v>
      </c>
      <c r="U25" s="4">
        <f t="shared" si="1"/>
        <v>3362.7048771649725</v>
      </c>
      <c r="V25" s="4">
        <f t="shared" si="1"/>
        <v>1121.4232704537349</v>
      </c>
      <c r="W25" s="4">
        <f t="shared" si="1"/>
        <v>470.82412434008324</v>
      </c>
      <c r="X25" s="4">
        <f t="shared" si="1"/>
        <v>463.77626528577792</v>
      </c>
      <c r="Y25" s="4">
        <f t="shared" si="1"/>
        <v>260.80254925320367</v>
      </c>
      <c r="Z25" s="4">
        <f t="shared" si="1"/>
        <v>465.15722333877864</v>
      </c>
      <c r="AA25" s="4">
        <f t="shared" si="1"/>
        <v>1.2361658709922632</v>
      </c>
      <c r="AB25" s="4">
        <f t="shared" si="1"/>
        <v>1.8639319795106344</v>
      </c>
      <c r="AC25" s="4">
        <f t="shared" si="1"/>
        <v>0.37779263191236639</v>
      </c>
      <c r="AD25" s="4">
        <f t="shared" si="1"/>
        <v>0.55178772817968436</v>
      </c>
      <c r="AE25" s="4">
        <f t="shared" si="1"/>
        <v>0.80843095318066838</v>
      </c>
      <c r="AF25" s="4">
        <f t="shared" si="1"/>
        <v>0.15642792899510297</v>
      </c>
      <c r="AG25" s="4">
        <f t="shared" si="1"/>
        <v>0.43510709235564277</v>
      </c>
      <c r="AH25" s="4">
        <f t="shared" si="1"/>
        <v>0.65828058860438332</v>
      </c>
      <c r="AI25" s="4">
        <f t="shared" si="1"/>
        <v>9.9620491989562202E-2</v>
      </c>
      <c r="AJ25" s="4">
        <f t="shared" si="1"/>
        <v>0.202072594216369</v>
      </c>
      <c r="AK25" s="4">
        <f t="shared" si="1"/>
        <v>0.31754264805429416</v>
      </c>
      <c r="AL25" s="4">
        <f t="shared" si="1"/>
        <v>5.7735026918962581E-2</v>
      </c>
      <c r="AM25" s="4">
        <f t="shared" si="1"/>
        <v>0.93237234076209152</v>
      </c>
      <c r="AN25" s="4">
        <f t="shared" si="1"/>
        <v>1.4051852029342802</v>
      </c>
      <c r="AO25" s="4">
        <f t="shared" si="1"/>
        <v>0.21658506621900528</v>
      </c>
      <c r="AQ25" s="2" t="s">
        <v>1</v>
      </c>
    </row>
    <row r="26" spans="1:43" x14ac:dyDescent="0.2">
      <c r="F26" s="4">
        <f t="shared" ref="F26:AO26" si="2">COUNTA(F8:F19)</f>
        <v>11</v>
      </c>
      <c r="G26" s="4">
        <f t="shared" si="2"/>
        <v>12</v>
      </c>
      <c r="H26" s="4">
        <f t="shared" si="2"/>
        <v>12</v>
      </c>
      <c r="I26" s="4">
        <f t="shared" si="2"/>
        <v>12</v>
      </c>
      <c r="J26" s="4">
        <f t="shared" si="2"/>
        <v>12</v>
      </c>
      <c r="K26" s="4">
        <f t="shared" si="2"/>
        <v>12</v>
      </c>
      <c r="L26" s="4">
        <f t="shared" si="2"/>
        <v>12</v>
      </c>
      <c r="M26" s="4">
        <f t="shared" si="2"/>
        <v>12</v>
      </c>
      <c r="N26" s="4">
        <f t="shared" si="2"/>
        <v>12</v>
      </c>
      <c r="O26" s="4">
        <f t="shared" si="2"/>
        <v>12</v>
      </c>
      <c r="P26" s="4">
        <f t="shared" si="2"/>
        <v>12</v>
      </c>
      <c r="Q26" s="4">
        <f t="shared" si="2"/>
        <v>12</v>
      </c>
      <c r="R26" s="4">
        <f t="shared" si="2"/>
        <v>12</v>
      </c>
      <c r="S26" s="4">
        <f t="shared" si="2"/>
        <v>12</v>
      </c>
      <c r="T26" s="4">
        <f t="shared" si="2"/>
        <v>12</v>
      </c>
      <c r="U26" s="4">
        <f t="shared" si="2"/>
        <v>12</v>
      </c>
      <c r="V26" s="4">
        <f t="shared" si="2"/>
        <v>12</v>
      </c>
      <c r="W26" s="4">
        <f t="shared" si="2"/>
        <v>12</v>
      </c>
      <c r="X26" s="4">
        <f t="shared" si="2"/>
        <v>12</v>
      </c>
      <c r="Y26" s="4">
        <f t="shared" si="2"/>
        <v>12</v>
      </c>
      <c r="Z26" s="4">
        <f t="shared" si="2"/>
        <v>12</v>
      </c>
      <c r="AA26" s="4">
        <f t="shared" si="2"/>
        <v>12</v>
      </c>
      <c r="AB26" s="4">
        <f t="shared" si="2"/>
        <v>12</v>
      </c>
      <c r="AC26" s="4">
        <f t="shared" si="2"/>
        <v>12</v>
      </c>
      <c r="AD26" s="4">
        <f t="shared" si="2"/>
        <v>12</v>
      </c>
      <c r="AE26" s="4">
        <f t="shared" si="2"/>
        <v>12</v>
      </c>
      <c r="AF26" s="4">
        <f t="shared" si="2"/>
        <v>12</v>
      </c>
      <c r="AG26" s="4">
        <f t="shared" si="2"/>
        <v>12</v>
      </c>
      <c r="AH26" s="4">
        <f t="shared" si="2"/>
        <v>12</v>
      </c>
      <c r="AI26" s="4">
        <f t="shared" si="2"/>
        <v>12</v>
      </c>
      <c r="AJ26" s="4">
        <f t="shared" si="2"/>
        <v>12</v>
      </c>
      <c r="AK26" s="4">
        <f t="shared" si="2"/>
        <v>12</v>
      </c>
      <c r="AL26" s="4">
        <f t="shared" si="2"/>
        <v>12</v>
      </c>
      <c r="AM26" s="4">
        <f t="shared" si="2"/>
        <v>12</v>
      </c>
      <c r="AN26" s="4">
        <f t="shared" si="2"/>
        <v>11</v>
      </c>
      <c r="AO26" s="4">
        <f t="shared" si="2"/>
        <v>11</v>
      </c>
      <c r="AQ26" s="2" t="s">
        <v>1</v>
      </c>
    </row>
    <row r="27" spans="1:43" x14ac:dyDescent="0.2">
      <c r="AQ27" s="2" t="s">
        <v>1</v>
      </c>
    </row>
    <row r="28" spans="1:43" x14ac:dyDescent="0.2">
      <c r="AQ28" s="2" t="s">
        <v>1</v>
      </c>
    </row>
    <row r="29" spans="1:43" x14ac:dyDescent="0.2">
      <c r="AQ29" s="2" t="s">
        <v>1</v>
      </c>
    </row>
    <row r="30" spans="1:43" x14ac:dyDescent="0.2">
      <c r="AQ30" s="2" t="s">
        <v>1</v>
      </c>
    </row>
    <row r="31" spans="1:43" x14ac:dyDescent="0.2">
      <c r="AQ31" s="2" t="s">
        <v>1</v>
      </c>
    </row>
    <row r="32" spans="1:43" x14ac:dyDescent="0.2">
      <c r="AQ32" s="2" t="s">
        <v>1</v>
      </c>
    </row>
    <row r="33" spans="43:43" x14ac:dyDescent="0.2">
      <c r="AQ33" s="2" t="s">
        <v>1</v>
      </c>
    </row>
    <row r="34" spans="43:43" x14ac:dyDescent="0.2">
      <c r="AQ34" s="2" t="s">
        <v>1</v>
      </c>
    </row>
    <row r="35" spans="43:43" x14ac:dyDescent="0.2">
      <c r="AQ35" s="2" t="s">
        <v>1</v>
      </c>
    </row>
    <row r="36" spans="43:43" x14ac:dyDescent="0.2">
      <c r="AQ36" s="2" t="s">
        <v>1</v>
      </c>
    </row>
    <row r="37" spans="43:43" x14ac:dyDescent="0.2">
      <c r="AQ37" s="2" t="s">
        <v>1</v>
      </c>
    </row>
    <row r="38" spans="43:43" x14ac:dyDescent="0.2">
      <c r="AQ38" s="2" t="s">
        <v>1</v>
      </c>
    </row>
    <row r="39" spans="43:43" x14ac:dyDescent="0.2">
      <c r="AQ39" s="2" t="s">
        <v>1</v>
      </c>
    </row>
    <row r="40" spans="43:43" x14ac:dyDescent="0.2">
      <c r="AQ40" s="2" t="s">
        <v>1</v>
      </c>
    </row>
    <row r="41" spans="43:43" x14ac:dyDescent="0.2">
      <c r="AQ41" s="2" t="s">
        <v>1</v>
      </c>
    </row>
    <row r="42" spans="43:43" x14ac:dyDescent="0.2">
      <c r="AQ42" s="2" t="s">
        <v>1</v>
      </c>
    </row>
    <row r="43" spans="43:43" x14ac:dyDescent="0.2">
      <c r="AQ43" s="2" t="s">
        <v>1</v>
      </c>
    </row>
    <row r="44" spans="43:43" x14ac:dyDescent="0.2">
      <c r="AQ44" s="2" t="s">
        <v>1</v>
      </c>
    </row>
    <row r="45" spans="43:43" x14ac:dyDescent="0.2">
      <c r="AQ45" s="2" t="s">
        <v>1</v>
      </c>
    </row>
    <row r="46" spans="43:43" x14ac:dyDescent="0.2">
      <c r="AQ46" s="2" t="s">
        <v>1</v>
      </c>
    </row>
  </sheetData>
  <pageMargins left="0.5" right="0.5" top="0.75" bottom="0.75" header="0.5" footer="0.5"/>
  <pageSetup orientation="portrait" horizontalDpi="0" verticalDpi="0" copies="0"/>
  <headerFooter alignWithMargins="0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9"/>
  <sheetViews>
    <sheetView showOutlineSymbols="0" defaultGridColor="0" colorId="9" workbookViewId="0">
      <selection activeCell="D6" sqref="D6"/>
    </sheetView>
  </sheetViews>
  <sheetFormatPr defaultColWidth="8.6640625" defaultRowHeight="15" x14ac:dyDescent="0.2"/>
  <cols>
    <col min="1" max="16384" width="8.6640625" style="2"/>
  </cols>
  <sheetData>
    <row r="1" spans="1:15" ht="18" x14ac:dyDescent="0.25">
      <c r="A1" s="18" t="s">
        <v>2161</v>
      </c>
      <c r="O1" s="2" t="s">
        <v>1</v>
      </c>
    </row>
    <row r="2" spans="1:15" x14ac:dyDescent="0.2">
      <c r="A2" s="2" t="s">
        <v>2162</v>
      </c>
      <c r="O2" s="2" t="s">
        <v>1</v>
      </c>
    </row>
    <row r="3" spans="1:15" x14ac:dyDescent="0.2">
      <c r="O3" s="2" t="s">
        <v>1</v>
      </c>
    </row>
    <row r="4" spans="1:15" x14ac:dyDescent="0.2">
      <c r="O4" s="2" t="s">
        <v>1</v>
      </c>
    </row>
    <row r="5" spans="1:15" x14ac:dyDescent="0.2">
      <c r="O5" s="2" t="s">
        <v>1</v>
      </c>
    </row>
    <row r="6" spans="1:15" x14ac:dyDescent="0.2">
      <c r="A6" s="2" t="s">
        <v>682</v>
      </c>
      <c r="B6" s="21" t="s">
        <v>253</v>
      </c>
      <c r="C6" s="8" t="s">
        <v>286</v>
      </c>
      <c r="D6" s="8" t="s">
        <v>138</v>
      </c>
      <c r="E6" s="8" t="s">
        <v>136</v>
      </c>
      <c r="F6" s="8" t="s">
        <v>130</v>
      </c>
      <c r="G6" s="8" t="s">
        <v>133</v>
      </c>
      <c r="H6" s="8" t="s">
        <v>127</v>
      </c>
      <c r="I6" s="8" t="s">
        <v>121</v>
      </c>
      <c r="J6" s="8" t="s">
        <v>112</v>
      </c>
      <c r="K6" s="8" t="s">
        <v>124</v>
      </c>
      <c r="L6" s="8" t="s">
        <v>114</v>
      </c>
      <c r="O6" s="2" t="s">
        <v>1</v>
      </c>
    </row>
    <row r="7" spans="1:15" x14ac:dyDescent="0.2">
      <c r="D7" s="8" t="s">
        <v>266</v>
      </c>
      <c r="E7" s="8" t="s">
        <v>144</v>
      </c>
      <c r="F7" s="8" t="s">
        <v>144</v>
      </c>
      <c r="G7" s="8" t="s">
        <v>144</v>
      </c>
      <c r="H7" s="8" t="s">
        <v>144</v>
      </c>
      <c r="I7" s="8" t="s">
        <v>144</v>
      </c>
      <c r="J7" s="8" t="s">
        <v>144</v>
      </c>
      <c r="K7" s="8" t="s">
        <v>144</v>
      </c>
      <c r="L7" s="8" t="s">
        <v>144</v>
      </c>
      <c r="O7" s="2" t="s">
        <v>1</v>
      </c>
    </row>
    <row r="8" spans="1:15" x14ac:dyDescent="0.2">
      <c r="B8" s="19"/>
      <c r="O8" s="2" t="s">
        <v>1</v>
      </c>
    </row>
    <row r="9" spans="1:15" x14ac:dyDescent="0.2">
      <c r="A9" s="2" t="s">
        <v>2163</v>
      </c>
      <c r="B9" s="19">
        <f>DATE(90,7,13)</f>
        <v>33067</v>
      </c>
      <c r="C9" s="8" t="s">
        <v>2164</v>
      </c>
      <c r="D9" s="4">
        <v>344</v>
      </c>
      <c r="E9" s="4">
        <v>542</v>
      </c>
      <c r="F9" s="4">
        <v>294</v>
      </c>
      <c r="G9" s="4">
        <v>55</v>
      </c>
      <c r="H9" s="4">
        <v>12</v>
      </c>
      <c r="I9" s="4">
        <v>190</v>
      </c>
      <c r="J9" s="4">
        <v>100</v>
      </c>
      <c r="K9" s="4"/>
      <c r="L9" s="4">
        <v>25</v>
      </c>
      <c r="O9" s="2" t="s">
        <v>1</v>
      </c>
    </row>
    <row r="10" spans="1:15" x14ac:dyDescent="0.2">
      <c r="A10" s="2" t="s">
        <v>2165</v>
      </c>
      <c r="B10" s="19">
        <f>DATE(90,7,13)</f>
        <v>33067</v>
      </c>
      <c r="C10" s="8" t="s">
        <v>2166</v>
      </c>
      <c r="D10" s="4">
        <v>340</v>
      </c>
      <c r="E10" s="4">
        <v>551</v>
      </c>
      <c r="F10" s="4">
        <v>286</v>
      </c>
      <c r="G10" s="4">
        <v>58</v>
      </c>
      <c r="H10" s="4">
        <v>28</v>
      </c>
      <c r="I10" s="4">
        <v>212</v>
      </c>
      <c r="J10" s="4">
        <v>108</v>
      </c>
      <c r="K10" s="4"/>
      <c r="L10" s="4">
        <v>17</v>
      </c>
      <c r="O10" s="2" t="s">
        <v>1</v>
      </c>
    </row>
    <row r="11" spans="1:15" x14ac:dyDescent="0.2">
      <c r="A11" s="2" t="s">
        <v>2167</v>
      </c>
      <c r="B11" s="19">
        <f>DATE(90,7,13)</f>
        <v>33067</v>
      </c>
      <c r="C11" s="8" t="s">
        <v>2168</v>
      </c>
      <c r="D11" s="4">
        <v>352</v>
      </c>
      <c r="E11" s="4">
        <v>560</v>
      </c>
      <c r="F11" s="4">
        <v>297</v>
      </c>
      <c r="G11" s="4">
        <v>60</v>
      </c>
      <c r="H11" s="4">
        <v>58</v>
      </c>
      <c r="I11" s="4">
        <v>252</v>
      </c>
      <c r="J11" s="4">
        <v>110</v>
      </c>
      <c r="K11" s="4"/>
      <c r="L11" s="4">
        <v>32</v>
      </c>
      <c r="O11" s="2" t="s">
        <v>1</v>
      </c>
    </row>
    <row r="12" spans="1:15" x14ac:dyDescent="0.2">
      <c r="A12" s="2" t="s">
        <v>2169</v>
      </c>
      <c r="B12" s="19">
        <f>DATE(90,7,14)</f>
        <v>33068</v>
      </c>
      <c r="C12" s="8" t="s">
        <v>2168</v>
      </c>
      <c r="D12" s="4">
        <v>342</v>
      </c>
      <c r="E12" s="4">
        <v>537</v>
      </c>
      <c r="F12" s="4">
        <v>292</v>
      </c>
      <c r="G12" s="4">
        <v>59</v>
      </c>
      <c r="H12" s="4">
        <v>20</v>
      </c>
      <c r="I12" s="4">
        <v>224</v>
      </c>
      <c r="J12" s="4">
        <v>108</v>
      </c>
      <c r="K12" s="4"/>
      <c r="L12" s="4">
        <v>20</v>
      </c>
      <c r="O12" s="2" t="s">
        <v>1</v>
      </c>
    </row>
    <row r="13" spans="1:15" x14ac:dyDescent="0.2">
      <c r="A13" s="2" t="s">
        <v>2170</v>
      </c>
      <c r="B13" s="19">
        <f>DATE(90,7,14)</f>
        <v>33068</v>
      </c>
      <c r="C13" s="8" t="s">
        <v>2164</v>
      </c>
      <c r="D13" s="4">
        <v>354</v>
      </c>
      <c r="E13" s="4">
        <v>533</v>
      </c>
      <c r="F13" s="4">
        <v>288</v>
      </c>
      <c r="G13" s="4">
        <v>58</v>
      </c>
      <c r="H13" s="4">
        <v>7</v>
      </c>
      <c r="I13" s="4">
        <v>200</v>
      </c>
      <c r="J13" s="4">
        <v>110</v>
      </c>
      <c r="K13" s="4"/>
      <c r="L13" s="4">
        <v>20</v>
      </c>
      <c r="O13" s="2" t="s">
        <v>1</v>
      </c>
    </row>
    <row r="14" spans="1:15" x14ac:dyDescent="0.2">
      <c r="A14" s="2" t="s">
        <v>2171</v>
      </c>
      <c r="B14" s="19">
        <f>DATE(90,7,14)</f>
        <v>33068</v>
      </c>
      <c r="C14" s="8" t="s">
        <v>2166</v>
      </c>
      <c r="D14" s="4">
        <v>350</v>
      </c>
      <c r="E14" s="4">
        <v>535</v>
      </c>
      <c r="F14" s="4">
        <v>290</v>
      </c>
      <c r="G14" s="4">
        <v>57</v>
      </c>
      <c r="H14" s="4">
        <v>22</v>
      </c>
      <c r="I14" s="4">
        <v>201</v>
      </c>
      <c r="J14" s="4">
        <v>109</v>
      </c>
      <c r="K14" s="4"/>
      <c r="L14" s="4">
        <v>16</v>
      </c>
      <c r="O14" s="2" t="s">
        <v>1</v>
      </c>
    </row>
    <row r="15" spans="1:15" x14ac:dyDescent="0.2">
      <c r="A15" s="2" t="s">
        <v>2172</v>
      </c>
      <c r="B15" s="19">
        <f>DATE(90,7,21)</f>
        <v>33075</v>
      </c>
      <c r="C15" s="8" t="s">
        <v>2166</v>
      </c>
      <c r="D15" s="4">
        <v>342</v>
      </c>
      <c r="E15" s="4">
        <v>538</v>
      </c>
      <c r="F15" s="4">
        <v>291</v>
      </c>
      <c r="G15" s="4">
        <v>57</v>
      </c>
      <c r="H15" s="4">
        <v>16</v>
      </c>
      <c r="I15" s="4">
        <v>201</v>
      </c>
      <c r="J15" s="4">
        <v>107</v>
      </c>
      <c r="K15" s="4"/>
      <c r="L15" s="4">
        <v>16</v>
      </c>
      <c r="O15" s="2" t="s">
        <v>1</v>
      </c>
    </row>
    <row r="16" spans="1:15" x14ac:dyDescent="0.2">
      <c r="A16" s="2" t="s">
        <v>2170</v>
      </c>
      <c r="B16" s="19">
        <f>DATE(90,7,21)</f>
        <v>33075</v>
      </c>
      <c r="C16" s="8" t="s">
        <v>2168</v>
      </c>
      <c r="D16" s="4">
        <v>338</v>
      </c>
      <c r="E16" s="4">
        <v>534</v>
      </c>
      <c r="F16" s="4">
        <v>285</v>
      </c>
      <c r="G16" s="4">
        <v>56</v>
      </c>
      <c r="H16" s="4">
        <v>13</v>
      </c>
      <c r="I16" s="4">
        <v>200</v>
      </c>
      <c r="J16" s="4">
        <v>108</v>
      </c>
      <c r="K16" s="4"/>
      <c r="L16" s="4">
        <v>16</v>
      </c>
      <c r="O16" s="2" t="s">
        <v>1</v>
      </c>
    </row>
    <row r="17" spans="1:15" x14ac:dyDescent="0.2">
      <c r="A17" s="2" t="s">
        <v>2173</v>
      </c>
      <c r="B17" s="19">
        <f>DATE(90,7,21)</f>
        <v>33075</v>
      </c>
      <c r="C17" s="8" t="s">
        <v>2164</v>
      </c>
      <c r="D17" s="4">
        <v>344</v>
      </c>
      <c r="E17" s="4">
        <v>564</v>
      </c>
      <c r="F17" s="4">
        <v>290</v>
      </c>
      <c r="G17" s="4">
        <v>56</v>
      </c>
      <c r="H17" s="4">
        <v>50</v>
      </c>
      <c r="I17" s="4">
        <v>214</v>
      </c>
      <c r="J17" s="4">
        <v>107</v>
      </c>
      <c r="K17" s="4"/>
      <c r="L17" s="4">
        <v>24</v>
      </c>
      <c r="O17" s="2" t="s">
        <v>1</v>
      </c>
    </row>
    <row r="18" spans="1:15" x14ac:dyDescent="0.2">
      <c r="A18" s="2" t="s">
        <v>2174</v>
      </c>
      <c r="B18" s="19">
        <f>DATE(90,7,22)</f>
        <v>33076</v>
      </c>
      <c r="C18" s="8" t="s">
        <v>2166</v>
      </c>
      <c r="D18" s="4">
        <v>338</v>
      </c>
      <c r="E18" s="4">
        <v>552</v>
      </c>
      <c r="F18" s="4">
        <v>289</v>
      </c>
      <c r="G18" s="4">
        <v>65</v>
      </c>
      <c r="H18" s="4">
        <v>17</v>
      </c>
      <c r="I18" s="4">
        <v>206</v>
      </c>
      <c r="J18" s="4">
        <v>110</v>
      </c>
      <c r="K18" s="4"/>
      <c r="L18" s="4">
        <v>20</v>
      </c>
      <c r="O18" s="2" t="s">
        <v>1</v>
      </c>
    </row>
    <row r="19" spans="1:15" x14ac:dyDescent="0.2">
      <c r="A19" s="2" t="s">
        <v>2175</v>
      </c>
      <c r="B19" s="19">
        <f>DATE(90,7,22)</f>
        <v>33076</v>
      </c>
      <c r="C19" s="8" t="s">
        <v>2168</v>
      </c>
      <c r="D19" s="4">
        <v>342</v>
      </c>
      <c r="E19" s="4">
        <v>537</v>
      </c>
      <c r="F19" s="4">
        <v>288</v>
      </c>
      <c r="G19" s="4">
        <v>62</v>
      </c>
      <c r="H19" s="4">
        <v>42</v>
      </c>
      <c r="I19" s="4">
        <v>192</v>
      </c>
      <c r="J19" s="4">
        <v>110</v>
      </c>
      <c r="K19" s="4">
        <v>164</v>
      </c>
      <c r="L19" s="4">
        <v>16</v>
      </c>
      <c r="O19" s="2" t="s">
        <v>1</v>
      </c>
    </row>
    <row r="20" spans="1:15" x14ac:dyDescent="0.2">
      <c r="A20" s="2" t="s">
        <v>2176</v>
      </c>
      <c r="B20" s="19">
        <f>DATE(90,7,22)</f>
        <v>33076</v>
      </c>
      <c r="C20" s="8" t="s">
        <v>2164</v>
      </c>
      <c r="D20" s="4">
        <v>343</v>
      </c>
      <c r="E20" s="4">
        <v>541</v>
      </c>
      <c r="F20" s="4">
        <v>291</v>
      </c>
      <c r="G20" s="4">
        <v>66</v>
      </c>
      <c r="H20" s="4">
        <v>16</v>
      </c>
      <c r="I20" s="4">
        <v>210</v>
      </c>
      <c r="J20" s="4">
        <v>110</v>
      </c>
      <c r="K20" s="4"/>
      <c r="L20" s="4">
        <v>16</v>
      </c>
      <c r="O20" s="2" t="s">
        <v>1</v>
      </c>
    </row>
    <row r="21" spans="1:15" x14ac:dyDescent="0.2">
      <c r="A21" s="2" t="s">
        <v>2177</v>
      </c>
      <c r="B21" s="19">
        <f>DATE(90,7,27)</f>
        <v>33081</v>
      </c>
      <c r="C21" s="8" t="s">
        <v>2168</v>
      </c>
      <c r="D21" s="4">
        <v>342</v>
      </c>
      <c r="E21" s="4">
        <v>560</v>
      </c>
      <c r="F21" s="4">
        <v>290</v>
      </c>
      <c r="G21" s="4">
        <v>70</v>
      </c>
      <c r="H21" s="4">
        <v>29</v>
      </c>
      <c r="I21" s="4">
        <v>254</v>
      </c>
      <c r="J21" s="4">
        <v>110</v>
      </c>
      <c r="K21" s="4"/>
      <c r="L21" s="4">
        <v>28</v>
      </c>
      <c r="O21" s="2" t="s">
        <v>1</v>
      </c>
    </row>
    <row r="22" spans="1:15" x14ac:dyDescent="0.2">
      <c r="A22" s="2" t="s">
        <v>2178</v>
      </c>
      <c r="B22" s="19">
        <f>DATE(90,7,27)</f>
        <v>33081</v>
      </c>
      <c r="C22" s="8" t="s">
        <v>2166</v>
      </c>
      <c r="D22" s="4">
        <v>339</v>
      </c>
      <c r="E22" s="4">
        <v>552</v>
      </c>
      <c r="F22" s="4">
        <v>290</v>
      </c>
      <c r="G22" s="4">
        <v>70</v>
      </c>
      <c r="H22" s="4">
        <v>19</v>
      </c>
      <c r="I22" s="4">
        <v>240</v>
      </c>
      <c r="J22" s="4">
        <v>108</v>
      </c>
      <c r="K22" s="4"/>
      <c r="L22" s="4">
        <v>24</v>
      </c>
      <c r="O22" s="2" t="s">
        <v>1</v>
      </c>
    </row>
    <row r="23" spans="1:15" x14ac:dyDescent="0.2">
      <c r="A23" s="2" t="s">
        <v>2179</v>
      </c>
      <c r="B23" s="19">
        <f>DATE(90,7,27)</f>
        <v>33081</v>
      </c>
      <c r="C23" s="8" t="s">
        <v>2164</v>
      </c>
      <c r="D23" s="4">
        <v>339</v>
      </c>
      <c r="E23" s="4">
        <v>560</v>
      </c>
      <c r="F23" s="4">
        <v>297</v>
      </c>
      <c r="G23" s="4">
        <v>65</v>
      </c>
      <c r="H23" s="4">
        <v>26</v>
      </c>
      <c r="I23" s="4">
        <v>262</v>
      </c>
      <c r="J23" s="4">
        <v>108</v>
      </c>
      <c r="K23" s="4"/>
      <c r="L23" s="4">
        <v>32</v>
      </c>
      <c r="O23" s="2" t="s">
        <v>1</v>
      </c>
    </row>
    <row r="24" spans="1:15" x14ac:dyDescent="0.2">
      <c r="A24" s="2" t="s">
        <v>2180</v>
      </c>
      <c r="B24" s="19">
        <f>DATE(90,7,28)</f>
        <v>33082</v>
      </c>
      <c r="C24" s="8" t="s">
        <v>2164</v>
      </c>
      <c r="D24" s="4">
        <v>339</v>
      </c>
      <c r="E24" s="4">
        <v>553</v>
      </c>
      <c r="F24" s="4">
        <v>268</v>
      </c>
      <c r="G24" s="4">
        <v>64</v>
      </c>
      <c r="H24" s="4">
        <v>8</v>
      </c>
      <c r="I24" s="4">
        <v>254</v>
      </c>
      <c r="J24" s="4">
        <v>108</v>
      </c>
      <c r="K24" s="4"/>
      <c r="L24" s="4">
        <v>24</v>
      </c>
      <c r="O24" s="2" t="s">
        <v>1</v>
      </c>
    </row>
    <row r="25" spans="1:15" x14ac:dyDescent="0.2">
      <c r="A25" s="2" t="s">
        <v>2181</v>
      </c>
      <c r="B25" s="19">
        <f>DATE(90,7,28)</f>
        <v>33082</v>
      </c>
      <c r="C25" s="8" t="s">
        <v>2168</v>
      </c>
      <c r="D25" s="4">
        <v>338</v>
      </c>
      <c r="E25" s="4">
        <v>558</v>
      </c>
      <c r="F25" s="4">
        <v>299</v>
      </c>
      <c r="G25" s="4">
        <v>75</v>
      </c>
      <c r="H25" s="4">
        <v>28</v>
      </c>
      <c r="I25" s="4">
        <v>271</v>
      </c>
      <c r="J25" s="4">
        <v>113</v>
      </c>
      <c r="K25" s="4"/>
      <c r="L25" s="4">
        <v>33</v>
      </c>
      <c r="O25" s="2" t="s">
        <v>1</v>
      </c>
    </row>
    <row r="26" spans="1:15" x14ac:dyDescent="0.2">
      <c r="A26" s="2" t="s">
        <v>2182</v>
      </c>
      <c r="B26" s="19">
        <f>DATE(90,7,28)</f>
        <v>33082</v>
      </c>
      <c r="C26" s="8" t="s">
        <v>2166</v>
      </c>
      <c r="D26" s="4">
        <v>339</v>
      </c>
      <c r="E26" s="4">
        <v>555</v>
      </c>
      <c r="F26" s="4">
        <v>297</v>
      </c>
      <c r="G26" s="4">
        <v>67</v>
      </c>
      <c r="H26" s="4">
        <v>21</v>
      </c>
      <c r="I26" s="4">
        <v>277</v>
      </c>
      <c r="J26" s="4">
        <v>115</v>
      </c>
      <c r="K26" s="4"/>
      <c r="L26" s="4">
        <v>29</v>
      </c>
      <c r="O26" s="2" t="s">
        <v>1</v>
      </c>
    </row>
    <row r="27" spans="1:15" x14ac:dyDescent="0.2">
      <c r="A27" s="2" t="s">
        <v>2183</v>
      </c>
      <c r="B27" s="19">
        <f>DATE(90,7,29)</f>
        <v>33083</v>
      </c>
      <c r="C27" s="8" t="s">
        <v>2164</v>
      </c>
      <c r="D27" s="4">
        <v>338</v>
      </c>
      <c r="E27" s="4">
        <v>552</v>
      </c>
      <c r="F27" s="4">
        <v>296</v>
      </c>
      <c r="G27" s="4">
        <v>76</v>
      </c>
      <c r="H27" s="4">
        <v>24</v>
      </c>
      <c r="I27" s="4">
        <v>275</v>
      </c>
      <c r="J27" s="4">
        <v>113</v>
      </c>
      <c r="K27" s="4"/>
      <c r="L27" s="4">
        <v>29</v>
      </c>
      <c r="O27" s="2" t="s">
        <v>1</v>
      </c>
    </row>
    <row r="28" spans="1:15" x14ac:dyDescent="0.2">
      <c r="A28" s="2" t="s">
        <v>2184</v>
      </c>
      <c r="B28" s="19">
        <f>DATE(90,7,29)</f>
        <v>33083</v>
      </c>
      <c r="C28" s="8" t="s">
        <v>2166</v>
      </c>
      <c r="D28" s="4">
        <v>342</v>
      </c>
      <c r="E28" s="4">
        <v>552</v>
      </c>
      <c r="F28" s="4">
        <v>295</v>
      </c>
      <c r="G28" s="4">
        <v>69</v>
      </c>
      <c r="H28" s="4">
        <v>12</v>
      </c>
      <c r="I28" s="4">
        <v>246</v>
      </c>
      <c r="J28" s="4">
        <v>114</v>
      </c>
      <c r="K28" s="4"/>
      <c r="L28" s="4">
        <v>27</v>
      </c>
      <c r="O28" s="2" t="s">
        <v>1</v>
      </c>
    </row>
    <row r="29" spans="1:15" x14ac:dyDescent="0.2">
      <c r="A29" s="2" t="s">
        <v>2185</v>
      </c>
      <c r="B29" s="19">
        <f>DATE(90,7,29)</f>
        <v>33083</v>
      </c>
      <c r="C29" s="8" t="s">
        <v>2168</v>
      </c>
      <c r="D29" s="4">
        <v>338</v>
      </c>
      <c r="E29" s="4">
        <v>536</v>
      </c>
      <c r="F29" s="4">
        <v>293</v>
      </c>
      <c r="G29" s="4">
        <v>74</v>
      </c>
      <c r="H29" s="4">
        <v>16</v>
      </c>
      <c r="I29" s="4">
        <v>232</v>
      </c>
      <c r="J29" s="4">
        <v>110</v>
      </c>
      <c r="K29" s="4"/>
      <c r="L29" s="4">
        <v>29</v>
      </c>
      <c r="O29" s="2" t="s">
        <v>1</v>
      </c>
    </row>
    <row r="30" spans="1:15" x14ac:dyDescent="0.2">
      <c r="A30" s="2" t="s">
        <v>2186</v>
      </c>
      <c r="B30" s="19">
        <f>DATE(90,8,3)</f>
        <v>33088</v>
      </c>
      <c r="C30" s="8" t="s">
        <v>2166</v>
      </c>
      <c r="D30" s="4">
        <v>338</v>
      </c>
      <c r="E30" s="4">
        <v>570</v>
      </c>
      <c r="F30" s="4">
        <v>290</v>
      </c>
      <c r="G30" s="4">
        <v>69</v>
      </c>
      <c r="H30" s="4">
        <v>18</v>
      </c>
      <c r="I30" s="4">
        <v>258</v>
      </c>
      <c r="J30" s="4">
        <v>109</v>
      </c>
      <c r="K30" s="4"/>
      <c r="L30" s="4">
        <v>30</v>
      </c>
      <c r="O30" s="2" t="s">
        <v>1</v>
      </c>
    </row>
    <row r="31" spans="1:15" x14ac:dyDescent="0.2">
      <c r="A31" s="2" t="s">
        <v>2187</v>
      </c>
      <c r="B31" s="19">
        <f>DATE(90,8,3)</f>
        <v>33088</v>
      </c>
      <c r="C31" s="8" t="s">
        <v>2168</v>
      </c>
      <c r="D31" s="4">
        <v>339</v>
      </c>
      <c r="E31" s="4">
        <v>562</v>
      </c>
      <c r="F31" s="4">
        <v>299</v>
      </c>
      <c r="G31" s="4">
        <v>75</v>
      </c>
      <c r="H31" s="4">
        <v>13</v>
      </c>
      <c r="I31" s="4">
        <v>282</v>
      </c>
      <c r="J31" s="4">
        <v>110</v>
      </c>
      <c r="K31" s="4"/>
      <c r="L31" s="4">
        <v>38</v>
      </c>
      <c r="O31" s="2" t="s">
        <v>1</v>
      </c>
    </row>
    <row r="32" spans="1:15" x14ac:dyDescent="0.2">
      <c r="A32" s="2" t="s">
        <v>2188</v>
      </c>
      <c r="B32" s="19">
        <f>DATE(90,8,3)</f>
        <v>33088</v>
      </c>
      <c r="C32" s="8" t="s">
        <v>2164</v>
      </c>
      <c r="D32" s="4">
        <v>340</v>
      </c>
      <c r="E32" s="4">
        <v>546</v>
      </c>
      <c r="F32" s="4">
        <v>292</v>
      </c>
      <c r="G32" s="4">
        <v>72</v>
      </c>
      <c r="H32" s="4">
        <v>16</v>
      </c>
      <c r="I32" s="4">
        <v>249</v>
      </c>
      <c r="J32" s="4">
        <v>109</v>
      </c>
      <c r="K32" s="4"/>
      <c r="L32" s="4">
        <v>30</v>
      </c>
      <c r="O32" s="2" t="s">
        <v>1</v>
      </c>
    </row>
    <row r="33" spans="1:15" x14ac:dyDescent="0.2">
      <c r="A33" s="2" t="s">
        <v>2189</v>
      </c>
      <c r="B33" s="19">
        <f>DATE(90,8,4)</f>
        <v>33089</v>
      </c>
      <c r="C33" s="8" t="s">
        <v>2164</v>
      </c>
      <c r="D33" s="4">
        <v>343</v>
      </c>
      <c r="E33" s="4">
        <v>546</v>
      </c>
      <c r="F33" s="4">
        <v>290</v>
      </c>
      <c r="G33" s="4">
        <v>69</v>
      </c>
      <c r="H33" s="4">
        <v>51</v>
      </c>
      <c r="I33" s="4">
        <v>244</v>
      </c>
      <c r="J33" s="4">
        <v>107</v>
      </c>
      <c r="K33" s="4">
        <v>11</v>
      </c>
      <c r="L33" s="4">
        <v>28</v>
      </c>
      <c r="O33" s="2" t="s">
        <v>1</v>
      </c>
    </row>
    <row r="34" spans="1:15" x14ac:dyDescent="0.2">
      <c r="A34" s="2" t="s">
        <v>2190</v>
      </c>
      <c r="B34" s="19">
        <f>DATE(90,8,4)</f>
        <v>33089</v>
      </c>
      <c r="C34" s="8" t="s">
        <v>2168</v>
      </c>
      <c r="D34" s="4">
        <v>340</v>
      </c>
      <c r="E34" s="4">
        <v>582</v>
      </c>
      <c r="F34" s="4">
        <v>300</v>
      </c>
      <c r="G34" s="4">
        <v>82</v>
      </c>
      <c r="H34" s="4">
        <v>58</v>
      </c>
      <c r="I34" s="4">
        <v>276</v>
      </c>
      <c r="J34" s="4">
        <v>107</v>
      </c>
      <c r="K34" s="4"/>
      <c r="L34" s="4">
        <v>35</v>
      </c>
      <c r="O34" s="2" t="s">
        <v>1</v>
      </c>
    </row>
    <row r="35" spans="1:15" x14ac:dyDescent="0.2">
      <c r="A35" s="2" t="s">
        <v>2191</v>
      </c>
      <c r="B35" s="19">
        <f>DATE(90,8,4)</f>
        <v>33089</v>
      </c>
      <c r="C35" s="8" t="s">
        <v>2166</v>
      </c>
      <c r="D35" s="4">
        <v>340</v>
      </c>
      <c r="E35" s="4">
        <v>548</v>
      </c>
      <c r="F35" s="4">
        <v>293</v>
      </c>
      <c r="G35" s="4">
        <v>68</v>
      </c>
      <c r="H35" s="4">
        <v>41</v>
      </c>
      <c r="I35" s="4">
        <v>256</v>
      </c>
      <c r="J35" s="4">
        <v>109</v>
      </c>
      <c r="K35" s="4"/>
      <c r="L35" s="4">
        <v>30</v>
      </c>
      <c r="O35" s="2" t="s">
        <v>1</v>
      </c>
    </row>
    <row r="36" spans="1:15" x14ac:dyDescent="0.2">
      <c r="A36" s="2" t="s">
        <v>2192</v>
      </c>
      <c r="B36" s="19">
        <f>DATE(90,8,5)</f>
        <v>33090</v>
      </c>
      <c r="C36" s="8" t="s">
        <v>2168</v>
      </c>
      <c r="D36" s="4">
        <v>341.2</v>
      </c>
      <c r="E36" s="4">
        <v>543</v>
      </c>
      <c r="F36" s="4">
        <v>291</v>
      </c>
      <c r="G36" s="4">
        <v>57</v>
      </c>
      <c r="H36" s="4">
        <v>15</v>
      </c>
      <c r="I36" s="4">
        <v>224</v>
      </c>
      <c r="J36" s="4">
        <v>108</v>
      </c>
      <c r="K36" s="4"/>
      <c r="L36" s="4">
        <v>8</v>
      </c>
      <c r="O36" s="2" t="s">
        <v>1</v>
      </c>
    </row>
    <row r="37" spans="1:15" x14ac:dyDescent="0.2">
      <c r="A37" s="2" t="s">
        <v>2193</v>
      </c>
      <c r="B37" s="19">
        <f>DATE(90,8,5)</f>
        <v>33090</v>
      </c>
      <c r="C37" s="8" t="s">
        <v>2164</v>
      </c>
      <c r="D37" s="4">
        <v>339</v>
      </c>
      <c r="E37" s="4">
        <v>536</v>
      </c>
      <c r="F37" s="4">
        <v>292</v>
      </c>
      <c r="G37" s="4">
        <v>57</v>
      </c>
      <c r="H37" s="4">
        <v>14</v>
      </c>
      <c r="I37" s="4">
        <v>226</v>
      </c>
      <c r="J37" s="4">
        <v>110</v>
      </c>
      <c r="K37" s="4"/>
      <c r="L37" s="4">
        <v>12</v>
      </c>
      <c r="O37" s="2" t="s">
        <v>1</v>
      </c>
    </row>
    <row r="38" spans="1:15" x14ac:dyDescent="0.2">
      <c r="A38" s="2" t="s">
        <v>2194</v>
      </c>
      <c r="B38" s="19">
        <f>DATE(90,8,5)</f>
        <v>33090</v>
      </c>
      <c r="C38" s="8" t="s">
        <v>2166</v>
      </c>
      <c r="D38" s="4">
        <v>338.7</v>
      </c>
      <c r="E38" s="4">
        <v>521</v>
      </c>
      <c r="F38" s="4">
        <v>291</v>
      </c>
      <c r="G38" s="4">
        <v>58</v>
      </c>
      <c r="H38" s="4">
        <v>17</v>
      </c>
      <c r="I38" s="4">
        <v>222</v>
      </c>
      <c r="J38" s="4">
        <v>109</v>
      </c>
      <c r="K38" s="4"/>
      <c r="L38" s="4">
        <v>7</v>
      </c>
      <c r="O38" s="2" t="s">
        <v>1</v>
      </c>
    </row>
    <row r="39" spans="1:15" x14ac:dyDescent="0.2">
      <c r="A39" s="2" t="s">
        <v>2195</v>
      </c>
      <c r="B39" s="19">
        <f>DATE(90,8,6)</f>
        <v>33091</v>
      </c>
      <c r="C39" s="8" t="s">
        <v>2166</v>
      </c>
      <c r="D39" s="4">
        <v>343</v>
      </c>
      <c r="E39" s="4">
        <v>530</v>
      </c>
      <c r="F39" s="4">
        <v>294</v>
      </c>
      <c r="G39" s="4">
        <v>68</v>
      </c>
      <c r="H39" s="4">
        <v>12</v>
      </c>
      <c r="I39" s="4">
        <v>232</v>
      </c>
      <c r="J39" s="4">
        <v>112</v>
      </c>
      <c r="K39" s="4"/>
      <c r="L39" s="4">
        <v>21</v>
      </c>
      <c r="O39" s="2" t="s">
        <v>1</v>
      </c>
    </row>
    <row r="40" spans="1:15" x14ac:dyDescent="0.2">
      <c r="A40" s="2" t="s">
        <v>2196</v>
      </c>
      <c r="B40" s="19">
        <f>DATE(90,8,6)</f>
        <v>33091</v>
      </c>
      <c r="C40" s="8" t="s">
        <v>2168</v>
      </c>
      <c r="D40" s="4">
        <v>340</v>
      </c>
      <c r="E40" s="4">
        <v>550</v>
      </c>
      <c r="F40" s="4">
        <v>294</v>
      </c>
      <c r="G40" s="4">
        <v>94</v>
      </c>
      <c r="H40" s="4">
        <v>12</v>
      </c>
      <c r="I40" s="4">
        <v>233</v>
      </c>
      <c r="J40" s="4">
        <v>133</v>
      </c>
      <c r="K40" s="4"/>
      <c r="L40" s="4">
        <v>17</v>
      </c>
      <c r="O40" s="2" t="s">
        <v>1</v>
      </c>
    </row>
    <row r="41" spans="1:15" x14ac:dyDescent="0.2">
      <c r="A41" s="2" t="s">
        <v>2197</v>
      </c>
      <c r="B41" s="19">
        <f>DATE(90,8,6)</f>
        <v>33091</v>
      </c>
      <c r="C41" s="8" t="s">
        <v>2164</v>
      </c>
      <c r="D41" s="4">
        <v>339</v>
      </c>
      <c r="E41" s="4">
        <v>527</v>
      </c>
      <c r="F41" s="4">
        <v>294</v>
      </c>
      <c r="G41" s="4">
        <v>61</v>
      </c>
      <c r="H41" s="4">
        <v>15</v>
      </c>
      <c r="I41" s="4">
        <v>227</v>
      </c>
      <c r="J41" s="4">
        <v>114</v>
      </c>
      <c r="K41" s="4"/>
      <c r="L41" s="4">
        <v>21</v>
      </c>
      <c r="O41" s="2" t="s">
        <v>1</v>
      </c>
    </row>
    <row r="42" spans="1:15" x14ac:dyDescent="0.2">
      <c r="A42" s="2" t="s">
        <v>2198</v>
      </c>
      <c r="B42" s="19">
        <f>DATE(90,8,24)</f>
        <v>33109</v>
      </c>
      <c r="C42" s="8" t="s">
        <v>2168</v>
      </c>
      <c r="D42" s="4">
        <v>340</v>
      </c>
      <c r="E42" s="4">
        <v>544</v>
      </c>
      <c r="F42" s="4">
        <v>298</v>
      </c>
      <c r="G42" s="4">
        <v>69</v>
      </c>
      <c r="H42" s="4">
        <v>47</v>
      </c>
      <c r="I42" s="4">
        <v>260</v>
      </c>
      <c r="J42" s="4">
        <v>109</v>
      </c>
      <c r="K42" s="4"/>
      <c r="L42" s="4">
        <v>12</v>
      </c>
      <c r="O42" s="2" t="s">
        <v>1</v>
      </c>
    </row>
    <row r="43" spans="1:15" x14ac:dyDescent="0.2">
      <c r="B43" s="19"/>
      <c r="O43" s="2" t="s">
        <v>1</v>
      </c>
    </row>
    <row r="44" spans="1:15" x14ac:dyDescent="0.2">
      <c r="D44" s="8" t="s">
        <v>138</v>
      </c>
      <c r="E44" s="8" t="s">
        <v>136</v>
      </c>
      <c r="F44" s="8" t="s">
        <v>130</v>
      </c>
      <c r="G44" s="8" t="s">
        <v>133</v>
      </c>
      <c r="H44" s="8" t="s">
        <v>127</v>
      </c>
      <c r="I44" s="8" t="s">
        <v>121</v>
      </c>
      <c r="J44" s="8" t="s">
        <v>112</v>
      </c>
      <c r="K44" s="8" t="s">
        <v>124</v>
      </c>
      <c r="L44" s="8" t="s">
        <v>114</v>
      </c>
      <c r="O44" s="2" t="s">
        <v>1</v>
      </c>
    </row>
    <row r="45" spans="1:15" x14ac:dyDescent="0.2">
      <c r="D45" s="8" t="s">
        <v>266</v>
      </c>
      <c r="E45" s="8" t="s">
        <v>144</v>
      </c>
      <c r="F45" s="8" t="s">
        <v>144</v>
      </c>
      <c r="G45" s="8" t="s">
        <v>144</v>
      </c>
      <c r="H45" s="8" t="s">
        <v>144</v>
      </c>
      <c r="I45" s="8" t="s">
        <v>144</v>
      </c>
      <c r="J45" s="8" t="s">
        <v>144</v>
      </c>
      <c r="K45" s="8" t="s">
        <v>144</v>
      </c>
      <c r="L45" s="8" t="s">
        <v>144</v>
      </c>
      <c r="O45" s="2" t="s">
        <v>1</v>
      </c>
    </row>
    <row r="46" spans="1:15" x14ac:dyDescent="0.2">
      <c r="D46" s="4"/>
    </row>
    <row r="47" spans="1:15" x14ac:dyDescent="0.2">
      <c r="A47" s="2" t="s">
        <v>529</v>
      </c>
      <c r="B47" s="7">
        <f>AVERAGE(B9:B42)</f>
        <v>33081.73529411765</v>
      </c>
      <c r="D47" s="4">
        <f t="shared" ref="D47:L47" si="0">AVERAGE(D9:D42)</f>
        <v>341.29117647058825</v>
      </c>
      <c r="E47" s="4">
        <f t="shared" si="0"/>
        <v>547.26470588235293</v>
      </c>
      <c r="F47" s="4">
        <f t="shared" si="0"/>
        <v>291.88235294117646</v>
      </c>
      <c r="G47" s="4">
        <f t="shared" si="0"/>
        <v>65.82352941176471</v>
      </c>
      <c r="H47" s="4">
        <f t="shared" si="0"/>
        <v>23.911764705882351</v>
      </c>
      <c r="I47" s="4">
        <f t="shared" si="0"/>
        <v>235.35294117647058</v>
      </c>
      <c r="J47" s="4">
        <f t="shared" si="0"/>
        <v>110.05882352941177</v>
      </c>
      <c r="K47" s="4">
        <f t="shared" si="0"/>
        <v>87.5</v>
      </c>
      <c r="L47" s="4">
        <f t="shared" si="0"/>
        <v>23</v>
      </c>
    </row>
    <row r="48" spans="1:15" x14ac:dyDescent="0.2">
      <c r="A48" s="2" t="s">
        <v>1706</v>
      </c>
      <c r="D48" s="4">
        <f t="shared" ref="D48:L48" si="1">STDEV(D9:D42)</f>
        <v>3.8786414090549344</v>
      </c>
      <c r="E48" s="4">
        <f t="shared" si="1"/>
        <v>13.032148648466299</v>
      </c>
      <c r="F48" s="4">
        <f t="shared" si="1"/>
        <v>5.6287395966961649</v>
      </c>
      <c r="G48" s="4">
        <f t="shared" si="1"/>
        <v>8.6110239008100127</v>
      </c>
      <c r="H48" s="4">
        <f t="shared" si="1"/>
        <v>14.552658087012986</v>
      </c>
      <c r="I48" s="4">
        <f t="shared" si="1"/>
        <v>26.94200545159941</v>
      </c>
      <c r="J48" s="4">
        <f t="shared" si="1"/>
        <v>4.855120236757168</v>
      </c>
      <c r="K48" s="4">
        <f t="shared" si="1"/>
        <v>108.18733752154178</v>
      </c>
      <c r="L48" s="4">
        <f t="shared" si="1"/>
        <v>7.8508829845033121</v>
      </c>
    </row>
    <row r="49" spans="1:12" x14ac:dyDescent="0.2">
      <c r="A49" s="2" t="s">
        <v>365</v>
      </c>
      <c r="D49" s="4">
        <f t="shared" ref="D49:L49" si="2">COUNTA(D9:D42)</f>
        <v>34</v>
      </c>
      <c r="E49" s="4">
        <f t="shared" si="2"/>
        <v>34</v>
      </c>
      <c r="F49" s="4">
        <f t="shared" si="2"/>
        <v>34</v>
      </c>
      <c r="G49" s="4">
        <f t="shared" si="2"/>
        <v>34</v>
      </c>
      <c r="H49" s="4">
        <f t="shared" si="2"/>
        <v>34</v>
      </c>
      <c r="I49" s="4">
        <f t="shared" si="2"/>
        <v>34</v>
      </c>
      <c r="J49" s="4">
        <f t="shared" si="2"/>
        <v>34</v>
      </c>
      <c r="K49" s="4">
        <f t="shared" si="2"/>
        <v>2</v>
      </c>
      <c r="L49" s="4">
        <f t="shared" si="2"/>
        <v>34</v>
      </c>
    </row>
  </sheetData>
  <pageMargins left="0.5" right="0.5" top="0.75" bottom="0.75" header="0.5" footer="0.5"/>
  <pageSetup orientation="portrait" horizontalDpi="0" verticalDpi="0" copies="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9"/>
  <sheetViews>
    <sheetView showOutlineSymbols="0" defaultGridColor="0" colorId="9" workbookViewId="0">
      <selection activeCell="D10" sqref="D10"/>
    </sheetView>
  </sheetViews>
  <sheetFormatPr defaultColWidth="8.6640625" defaultRowHeight="15" x14ac:dyDescent="0.2"/>
  <cols>
    <col min="1" max="16384" width="8.6640625" style="2"/>
  </cols>
  <sheetData>
    <row r="1" spans="1:33" ht="18" x14ac:dyDescent="0.25">
      <c r="A1" s="18" t="s">
        <v>425</v>
      </c>
      <c r="AG1" s="2" t="s">
        <v>1</v>
      </c>
    </row>
    <row r="2" spans="1:33" x14ac:dyDescent="0.2">
      <c r="AG2" s="2" t="s">
        <v>1</v>
      </c>
    </row>
    <row r="3" spans="1:33" x14ac:dyDescent="0.2">
      <c r="A3" s="15" t="s">
        <v>253</v>
      </c>
      <c r="B3" s="8" t="s">
        <v>286</v>
      </c>
      <c r="C3" s="2" t="s">
        <v>203</v>
      </c>
      <c r="D3" s="8" t="s">
        <v>123</v>
      </c>
      <c r="E3" s="8" t="s">
        <v>118</v>
      </c>
      <c r="F3" s="8" t="s">
        <v>134</v>
      </c>
      <c r="G3" s="8" t="s">
        <v>138</v>
      </c>
      <c r="H3" s="8" t="s">
        <v>136</v>
      </c>
      <c r="I3" s="8" t="s">
        <v>130</v>
      </c>
      <c r="J3" s="8" t="s">
        <v>121</v>
      </c>
      <c r="K3" s="8" t="s">
        <v>112</v>
      </c>
      <c r="L3" s="8" t="s">
        <v>133</v>
      </c>
      <c r="M3" s="8" t="s">
        <v>142</v>
      </c>
      <c r="N3" s="8" t="s">
        <v>140</v>
      </c>
      <c r="O3" s="8" t="s">
        <v>148</v>
      </c>
      <c r="P3" s="8" t="s">
        <v>115</v>
      </c>
      <c r="Q3" s="8" t="s">
        <v>133</v>
      </c>
      <c r="R3" s="8" t="s">
        <v>128</v>
      </c>
      <c r="S3" s="8" t="s">
        <v>126</v>
      </c>
      <c r="T3" s="8" t="s">
        <v>122</v>
      </c>
      <c r="U3" s="8" t="s">
        <v>113</v>
      </c>
      <c r="V3" s="8" t="s">
        <v>131</v>
      </c>
      <c r="W3" s="8" t="s">
        <v>129</v>
      </c>
      <c r="X3" s="8" t="s">
        <v>149</v>
      </c>
      <c r="Y3" s="8" t="s">
        <v>151</v>
      </c>
      <c r="Z3" s="8" t="s">
        <v>116</v>
      </c>
      <c r="AB3" s="8" t="s">
        <v>132</v>
      </c>
      <c r="AD3" s="8" t="s">
        <v>135</v>
      </c>
      <c r="AG3" s="2" t="s">
        <v>1</v>
      </c>
    </row>
    <row r="4" spans="1:33" x14ac:dyDescent="0.2">
      <c r="B4" s="8" t="s">
        <v>369</v>
      </c>
      <c r="D4" s="8" t="s">
        <v>266</v>
      </c>
      <c r="E4" s="8" t="s">
        <v>266</v>
      </c>
      <c r="F4" s="8" t="s">
        <v>371</v>
      </c>
      <c r="G4" s="8" t="s">
        <v>266</v>
      </c>
      <c r="H4" s="8" t="s">
        <v>144</v>
      </c>
      <c r="I4" s="8" t="s">
        <v>144</v>
      </c>
      <c r="J4" s="8" t="s">
        <v>144</v>
      </c>
      <c r="K4" s="8" t="s">
        <v>144</v>
      </c>
      <c r="L4" s="8" t="s">
        <v>144</v>
      </c>
      <c r="M4" s="8" t="s">
        <v>144</v>
      </c>
      <c r="N4" s="8" t="s">
        <v>144</v>
      </c>
      <c r="O4" s="8" t="s">
        <v>144</v>
      </c>
      <c r="P4" s="8" t="s">
        <v>144</v>
      </c>
      <c r="Q4" s="8" t="s">
        <v>144</v>
      </c>
      <c r="R4" s="8" t="s">
        <v>144</v>
      </c>
      <c r="S4" s="8" t="s">
        <v>144</v>
      </c>
      <c r="T4" s="8" t="s">
        <v>144</v>
      </c>
      <c r="U4" s="8" t="s">
        <v>144</v>
      </c>
      <c r="V4" s="8" t="s">
        <v>144</v>
      </c>
      <c r="W4" s="8" t="s">
        <v>144</v>
      </c>
      <c r="X4" s="8" t="s">
        <v>144</v>
      </c>
      <c r="Y4" s="8" t="s">
        <v>144</v>
      </c>
      <c r="Z4" s="8" t="s">
        <v>426</v>
      </c>
      <c r="AA4" s="8" t="s">
        <v>144</v>
      </c>
      <c r="AB4" s="8" t="s">
        <v>426</v>
      </c>
      <c r="AC4" s="8" t="s">
        <v>144</v>
      </c>
      <c r="AD4" s="8" t="s">
        <v>426</v>
      </c>
      <c r="AE4" s="8" t="s">
        <v>144</v>
      </c>
      <c r="AG4" s="2" t="s">
        <v>1</v>
      </c>
    </row>
    <row r="5" spans="1:33" x14ac:dyDescent="0.2">
      <c r="AG5" s="2" t="s">
        <v>1</v>
      </c>
    </row>
    <row r="6" spans="1:33" x14ac:dyDescent="0.2">
      <c r="A6" s="7">
        <f>DATE(83,8,13)</f>
        <v>30541</v>
      </c>
      <c r="B6" s="2">
        <v>1622</v>
      </c>
      <c r="D6" s="2">
        <v>1667</v>
      </c>
      <c r="E6" s="2">
        <v>112</v>
      </c>
      <c r="F6" s="2">
        <v>324</v>
      </c>
      <c r="G6" s="2">
        <v>340</v>
      </c>
      <c r="H6" s="2">
        <v>373</v>
      </c>
      <c r="I6" s="2">
        <v>227</v>
      </c>
      <c r="J6" s="2">
        <v>209</v>
      </c>
      <c r="K6" s="2">
        <v>160</v>
      </c>
      <c r="L6" s="17">
        <v>19</v>
      </c>
      <c r="O6" s="2">
        <v>78</v>
      </c>
      <c r="P6" s="2">
        <v>558</v>
      </c>
      <c r="Q6" s="2">
        <v>25.6</v>
      </c>
      <c r="R6" s="2">
        <v>24</v>
      </c>
      <c r="S6" s="2">
        <v>900</v>
      </c>
      <c r="T6" s="2">
        <v>137</v>
      </c>
      <c r="U6" s="2">
        <v>242</v>
      </c>
      <c r="V6" s="2">
        <v>162</v>
      </c>
      <c r="W6" s="2">
        <v>149</v>
      </c>
      <c r="X6" s="2">
        <v>127</v>
      </c>
      <c r="Y6" s="2">
        <v>185</v>
      </c>
      <c r="Z6" s="2">
        <v>1.29</v>
      </c>
      <c r="AA6" s="2">
        <v>463</v>
      </c>
      <c r="AB6" s="2">
        <v>0.25</v>
      </c>
      <c r="AC6" s="2">
        <v>78</v>
      </c>
      <c r="AD6" s="2">
        <v>0.27</v>
      </c>
      <c r="AE6" s="2">
        <v>73</v>
      </c>
      <c r="AG6" s="2" t="s">
        <v>1</v>
      </c>
    </row>
    <row r="7" spans="1:33" x14ac:dyDescent="0.2">
      <c r="A7" s="7">
        <f>DATE(83,8,14)</f>
        <v>30542</v>
      </c>
      <c r="B7" s="8" t="s">
        <v>427</v>
      </c>
      <c r="D7" s="2">
        <v>1671</v>
      </c>
      <c r="E7" s="2">
        <v>143</v>
      </c>
      <c r="F7" s="2">
        <v>325</v>
      </c>
      <c r="G7" s="2">
        <v>341</v>
      </c>
      <c r="H7" s="2">
        <v>389</v>
      </c>
      <c r="I7" s="2">
        <v>230</v>
      </c>
      <c r="J7" s="2">
        <v>213</v>
      </c>
      <c r="K7" s="2">
        <v>160</v>
      </c>
      <c r="L7" s="17">
        <v>19.100000000000001</v>
      </c>
      <c r="N7" s="2">
        <v>6</v>
      </c>
      <c r="O7" s="2">
        <v>83</v>
      </c>
      <c r="P7" s="2">
        <v>637</v>
      </c>
      <c r="Q7" s="2">
        <v>26.4</v>
      </c>
      <c r="R7" s="2">
        <v>27</v>
      </c>
      <c r="S7" s="2">
        <v>986</v>
      </c>
      <c r="T7" s="2">
        <v>329</v>
      </c>
      <c r="U7" s="2">
        <v>324</v>
      </c>
      <c r="V7" s="2">
        <v>241</v>
      </c>
      <c r="W7" s="2">
        <v>574</v>
      </c>
      <c r="X7" s="2">
        <v>166</v>
      </c>
      <c r="Y7" s="2">
        <v>265</v>
      </c>
      <c r="Z7" s="2">
        <v>0.66</v>
      </c>
      <c r="AA7" s="2">
        <v>238</v>
      </c>
      <c r="AB7" s="2">
        <v>0.44</v>
      </c>
      <c r="AC7" s="2">
        <v>138</v>
      </c>
      <c r="AD7" s="2">
        <v>0.36</v>
      </c>
      <c r="AE7" s="2">
        <v>94</v>
      </c>
      <c r="AG7" s="2" t="s">
        <v>1</v>
      </c>
    </row>
    <row r="8" spans="1:33" x14ac:dyDescent="0.2">
      <c r="A8" s="7">
        <f>DATE(83,8,14)</f>
        <v>30542</v>
      </c>
      <c r="B8" s="8" t="s">
        <v>428</v>
      </c>
      <c r="C8" s="2" t="s">
        <v>429</v>
      </c>
      <c r="D8" s="2">
        <v>1681</v>
      </c>
      <c r="E8" s="2">
        <v>154</v>
      </c>
      <c r="F8" s="2">
        <v>332</v>
      </c>
      <c r="G8" s="2">
        <v>335</v>
      </c>
      <c r="H8" s="2">
        <v>387</v>
      </c>
      <c r="I8" s="2">
        <v>270</v>
      </c>
      <c r="J8" s="2">
        <v>237</v>
      </c>
      <c r="K8" s="2">
        <v>147</v>
      </c>
      <c r="L8" s="17">
        <v>22.4</v>
      </c>
      <c r="O8" s="2">
        <v>80</v>
      </c>
      <c r="P8" s="2">
        <v>680</v>
      </c>
      <c r="Q8" s="2">
        <v>26.6</v>
      </c>
      <c r="R8" s="2">
        <v>34</v>
      </c>
      <c r="S8" s="2">
        <v>1152</v>
      </c>
      <c r="T8" s="2">
        <v>490</v>
      </c>
      <c r="U8" s="2">
        <v>496</v>
      </c>
      <c r="V8" s="2">
        <v>379</v>
      </c>
      <c r="W8" s="2">
        <v>879</v>
      </c>
      <c r="X8" s="2">
        <v>263</v>
      </c>
      <c r="Y8" s="2">
        <v>469</v>
      </c>
      <c r="Z8" s="2">
        <v>0.47</v>
      </c>
      <c r="AA8" s="2">
        <v>170</v>
      </c>
      <c r="AB8" s="2">
        <v>0.51</v>
      </c>
      <c r="AC8" s="2">
        <v>159</v>
      </c>
      <c r="AD8" s="2">
        <v>0.59</v>
      </c>
      <c r="AE8" s="2">
        <v>157</v>
      </c>
      <c r="AG8" s="2" t="s">
        <v>1</v>
      </c>
    </row>
    <row r="9" spans="1:33" x14ac:dyDescent="0.2">
      <c r="A9" s="7">
        <f>DATE(83,8,14)</f>
        <v>30542</v>
      </c>
      <c r="B9" s="2">
        <v>1236</v>
      </c>
      <c r="D9" s="2">
        <v>1680</v>
      </c>
      <c r="E9" s="2">
        <v>131</v>
      </c>
      <c r="F9" s="2">
        <v>319</v>
      </c>
      <c r="G9" s="2">
        <v>335</v>
      </c>
      <c r="H9" s="2">
        <v>378</v>
      </c>
      <c r="I9" s="2">
        <v>230</v>
      </c>
      <c r="J9" s="2">
        <v>226</v>
      </c>
      <c r="K9" s="2">
        <v>161</v>
      </c>
      <c r="L9" s="17">
        <v>20.100000000000001</v>
      </c>
      <c r="N9" s="2">
        <v>65</v>
      </c>
      <c r="O9" s="2">
        <v>85</v>
      </c>
      <c r="P9" s="2">
        <v>592</v>
      </c>
      <c r="Q9" s="2">
        <v>27.2</v>
      </c>
      <c r="R9" s="2">
        <v>32</v>
      </c>
      <c r="S9" s="2">
        <v>1041</v>
      </c>
      <c r="T9" s="2">
        <v>199</v>
      </c>
      <c r="U9" s="2">
        <v>306</v>
      </c>
      <c r="V9" s="2">
        <v>268</v>
      </c>
      <c r="W9" s="2">
        <v>182</v>
      </c>
      <c r="X9" s="2">
        <v>154</v>
      </c>
      <c r="Y9" s="2">
        <v>247</v>
      </c>
      <c r="Z9" s="2">
        <v>0.69</v>
      </c>
      <c r="AA9" s="2">
        <v>249</v>
      </c>
      <c r="AB9" s="2">
        <v>0.28999999999999998</v>
      </c>
      <c r="AC9" s="2">
        <v>92</v>
      </c>
      <c r="AD9" s="2">
        <v>0.26</v>
      </c>
      <c r="AE9" s="2">
        <v>70</v>
      </c>
      <c r="AG9" s="2" t="s">
        <v>1</v>
      </c>
    </row>
    <row r="10" spans="1:33" x14ac:dyDescent="0.2">
      <c r="A10" s="7">
        <f>DATE(83,8,14)</f>
        <v>30542</v>
      </c>
      <c r="B10" s="2">
        <v>2346</v>
      </c>
      <c r="D10" s="2">
        <v>1679</v>
      </c>
      <c r="E10" s="2">
        <v>135</v>
      </c>
      <c r="F10" s="2">
        <v>333</v>
      </c>
      <c r="G10" s="2">
        <v>334</v>
      </c>
      <c r="H10" s="2">
        <v>382</v>
      </c>
      <c r="I10" s="2">
        <v>230</v>
      </c>
      <c r="J10" s="2">
        <v>231</v>
      </c>
      <c r="K10" s="2">
        <v>162</v>
      </c>
      <c r="L10" s="17">
        <v>20.3</v>
      </c>
      <c r="N10" s="2">
        <v>48</v>
      </c>
      <c r="O10" s="2">
        <v>83</v>
      </c>
      <c r="P10" s="2">
        <v>625</v>
      </c>
      <c r="Q10" s="17">
        <v>27</v>
      </c>
      <c r="R10" s="2">
        <v>33</v>
      </c>
      <c r="S10" s="2">
        <v>992</v>
      </c>
      <c r="T10" s="2">
        <v>218</v>
      </c>
      <c r="U10" s="2">
        <v>357</v>
      </c>
      <c r="V10" s="2">
        <v>308</v>
      </c>
      <c r="W10" s="2">
        <v>330</v>
      </c>
      <c r="X10" s="2">
        <v>178</v>
      </c>
      <c r="Y10" s="2">
        <v>323</v>
      </c>
      <c r="Z10" s="2">
        <v>1.79</v>
      </c>
      <c r="AA10" s="2">
        <v>643</v>
      </c>
      <c r="AB10" s="2">
        <v>0.35</v>
      </c>
      <c r="AC10" s="2">
        <v>108</v>
      </c>
      <c r="AD10" s="2">
        <v>0.25</v>
      </c>
      <c r="AE10" s="2">
        <v>67</v>
      </c>
      <c r="AG10" s="2" t="s">
        <v>1</v>
      </c>
    </row>
    <row r="11" spans="1:33" x14ac:dyDescent="0.2">
      <c r="A11" s="7">
        <f>DATE(83,8,15)</f>
        <v>30543</v>
      </c>
      <c r="B11" s="8" t="s">
        <v>430</v>
      </c>
      <c r="D11" s="2">
        <v>1679</v>
      </c>
      <c r="E11" s="2">
        <v>161</v>
      </c>
      <c r="F11" s="2">
        <v>329</v>
      </c>
      <c r="G11" s="2">
        <v>336</v>
      </c>
      <c r="H11" s="2">
        <v>401</v>
      </c>
      <c r="I11" s="2">
        <v>239</v>
      </c>
      <c r="J11" s="2">
        <v>252</v>
      </c>
      <c r="K11" s="2">
        <v>168</v>
      </c>
      <c r="L11" s="17">
        <v>22.4</v>
      </c>
      <c r="N11" s="2">
        <v>111</v>
      </c>
      <c r="O11" s="2">
        <v>89</v>
      </c>
      <c r="P11" s="2">
        <v>681</v>
      </c>
      <c r="Q11" s="2">
        <v>28.1</v>
      </c>
      <c r="R11" s="2">
        <v>31</v>
      </c>
      <c r="S11" s="2">
        <v>1053</v>
      </c>
      <c r="T11" s="2">
        <v>266</v>
      </c>
      <c r="U11" s="2">
        <v>424</v>
      </c>
      <c r="V11" s="2">
        <v>340</v>
      </c>
      <c r="W11" s="2">
        <v>366</v>
      </c>
      <c r="X11" s="2">
        <v>229</v>
      </c>
      <c r="Y11" s="2">
        <v>419</v>
      </c>
      <c r="Z11" s="2">
        <v>1.19</v>
      </c>
      <c r="AA11" s="2">
        <v>427</v>
      </c>
      <c r="AB11" s="2">
        <v>0.49</v>
      </c>
      <c r="AC11" s="2">
        <v>154</v>
      </c>
      <c r="AD11" s="2">
        <v>0.38</v>
      </c>
      <c r="AE11" s="2">
        <v>101</v>
      </c>
      <c r="AG11" s="2" t="s">
        <v>1</v>
      </c>
    </row>
    <row r="12" spans="1:33" x14ac:dyDescent="0.2">
      <c r="A12" s="7">
        <f>DATE(83,8,15)</f>
        <v>30543</v>
      </c>
      <c r="B12" s="2">
        <v>2056</v>
      </c>
      <c r="D12" s="2">
        <v>1687</v>
      </c>
      <c r="E12" s="2">
        <v>178</v>
      </c>
      <c r="F12" s="2">
        <v>334</v>
      </c>
      <c r="G12" s="2">
        <v>336</v>
      </c>
      <c r="H12" s="2">
        <v>401</v>
      </c>
      <c r="I12" s="2">
        <v>249</v>
      </c>
      <c r="J12" s="2">
        <v>276</v>
      </c>
      <c r="K12" s="2">
        <v>162</v>
      </c>
      <c r="L12" s="17">
        <v>21.7</v>
      </c>
      <c r="N12" s="2">
        <v>143</v>
      </c>
      <c r="O12" s="2">
        <v>96</v>
      </c>
      <c r="P12" s="2">
        <v>617</v>
      </c>
      <c r="Q12" s="2">
        <v>28.8</v>
      </c>
      <c r="R12" s="2">
        <v>41</v>
      </c>
      <c r="S12" s="2">
        <v>1095</v>
      </c>
      <c r="T12" s="2">
        <v>206</v>
      </c>
      <c r="U12" s="2">
        <v>477</v>
      </c>
      <c r="V12" s="2">
        <v>390</v>
      </c>
      <c r="W12" s="2">
        <v>213</v>
      </c>
      <c r="X12" s="2">
        <v>245</v>
      </c>
      <c r="Y12" s="2">
        <v>582</v>
      </c>
      <c r="Z12" s="2">
        <v>1.53</v>
      </c>
      <c r="AA12" s="2">
        <v>552</v>
      </c>
      <c r="AB12" s="2">
        <v>0.41</v>
      </c>
      <c r="AC12" s="2">
        <v>129</v>
      </c>
      <c r="AD12" s="2">
        <v>0.45</v>
      </c>
      <c r="AE12" s="2">
        <v>120</v>
      </c>
      <c r="AG12" s="2" t="s">
        <v>1</v>
      </c>
    </row>
    <row r="13" spans="1:33" x14ac:dyDescent="0.2">
      <c r="A13" s="7">
        <f>DATE(83,8,15)</f>
        <v>30543</v>
      </c>
      <c r="B13" s="2">
        <v>1320</v>
      </c>
      <c r="D13" s="2">
        <v>1720</v>
      </c>
      <c r="E13" s="2">
        <v>142</v>
      </c>
      <c r="F13" s="2">
        <v>328</v>
      </c>
      <c r="G13" s="2">
        <v>337</v>
      </c>
      <c r="H13" s="2">
        <v>391</v>
      </c>
      <c r="I13" s="2">
        <v>232</v>
      </c>
      <c r="J13" s="2">
        <v>234</v>
      </c>
      <c r="K13" s="2">
        <v>164</v>
      </c>
      <c r="L13" s="17">
        <v>21.9</v>
      </c>
      <c r="S13" s="2">
        <v>1629</v>
      </c>
      <c r="T13" s="2">
        <v>159</v>
      </c>
      <c r="U13" s="2">
        <v>365</v>
      </c>
      <c r="V13" s="2">
        <v>772</v>
      </c>
      <c r="W13" s="2">
        <v>105</v>
      </c>
      <c r="X13" s="2">
        <v>204</v>
      </c>
      <c r="Y13" s="2">
        <v>332</v>
      </c>
      <c r="AG13" s="2" t="s">
        <v>1</v>
      </c>
    </row>
    <row r="14" spans="1:33" x14ac:dyDescent="0.2">
      <c r="A14" s="7">
        <f>DATE(83,8,16)</f>
        <v>30544</v>
      </c>
      <c r="B14" s="8" t="s">
        <v>431</v>
      </c>
      <c r="C14" s="2" t="s">
        <v>432</v>
      </c>
      <c r="D14" s="2">
        <v>1685</v>
      </c>
      <c r="E14" s="2">
        <v>339</v>
      </c>
      <c r="F14" s="2">
        <v>327</v>
      </c>
      <c r="G14" s="2">
        <v>339</v>
      </c>
      <c r="H14" s="2">
        <v>398</v>
      </c>
      <c r="I14" s="2">
        <v>273</v>
      </c>
      <c r="J14" s="2">
        <v>265</v>
      </c>
      <c r="K14" s="2">
        <v>165</v>
      </c>
      <c r="L14" s="17">
        <v>23.5</v>
      </c>
      <c r="N14" s="2">
        <v>109</v>
      </c>
      <c r="O14" s="2">
        <v>106</v>
      </c>
      <c r="P14" s="2">
        <v>639</v>
      </c>
      <c r="Q14" s="2">
        <v>29.2</v>
      </c>
      <c r="R14" s="2">
        <v>62</v>
      </c>
      <c r="S14" s="2">
        <v>1297</v>
      </c>
      <c r="T14" s="2">
        <v>500</v>
      </c>
      <c r="U14" s="2">
        <v>969</v>
      </c>
      <c r="V14" s="2">
        <v>489</v>
      </c>
      <c r="W14" s="2">
        <v>1084</v>
      </c>
      <c r="X14" s="2">
        <v>379</v>
      </c>
      <c r="Y14" s="2">
        <v>812</v>
      </c>
      <c r="Z14" s="2">
        <v>3.34</v>
      </c>
      <c r="AA14" s="2">
        <v>1201</v>
      </c>
      <c r="AB14" s="12">
        <v>1</v>
      </c>
      <c r="AC14" s="2">
        <v>314</v>
      </c>
      <c r="AD14" s="2">
        <v>1.1399999999999999</v>
      </c>
      <c r="AE14" s="2">
        <v>604</v>
      </c>
      <c r="AG14" s="2" t="s">
        <v>1</v>
      </c>
    </row>
    <row r="15" spans="1:33" x14ac:dyDescent="0.2">
      <c r="A15" s="7">
        <f>DATE(83,8,16)</f>
        <v>30544</v>
      </c>
      <c r="B15" s="2">
        <v>2038</v>
      </c>
      <c r="C15" s="2" t="s">
        <v>433</v>
      </c>
      <c r="D15" s="2">
        <v>1805</v>
      </c>
      <c r="E15" s="2">
        <v>222</v>
      </c>
      <c r="F15" s="2">
        <v>333</v>
      </c>
      <c r="G15" s="2">
        <v>364</v>
      </c>
      <c r="H15" s="2">
        <v>391</v>
      </c>
      <c r="I15" s="2">
        <v>240</v>
      </c>
      <c r="J15" s="2">
        <v>265</v>
      </c>
      <c r="K15" s="2">
        <v>164</v>
      </c>
      <c r="L15" s="17">
        <v>20.9</v>
      </c>
      <c r="M15" s="2">
        <v>23.3</v>
      </c>
      <c r="N15" s="2">
        <v>90</v>
      </c>
      <c r="O15" s="2">
        <v>90</v>
      </c>
      <c r="P15" s="2">
        <v>693</v>
      </c>
      <c r="Q15" s="2">
        <v>26.8</v>
      </c>
      <c r="R15" s="2">
        <v>32</v>
      </c>
      <c r="S15" s="2">
        <v>6989</v>
      </c>
      <c r="T15" s="2">
        <v>243</v>
      </c>
      <c r="U15" s="2">
        <v>640</v>
      </c>
      <c r="V15" s="2">
        <v>2495</v>
      </c>
      <c r="W15" s="2">
        <v>344</v>
      </c>
      <c r="X15" s="2">
        <v>656</v>
      </c>
      <c r="Y15" s="2">
        <v>1033</v>
      </c>
      <c r="Z15" s="2">
        <v>0.89</v>
      </c>
      <c r="AA15" s="2">
        <v>319</v>
      </c>
      <c r="AB15" s="2">
        <v>0.74</v>
      </c>
      <c r="AC15" s="2">
        <v>232</v>
      </c>
      <c r="AD15" s="12">
        <v>0.5</v>
      </c>
      <c r="AE15" s="2">
        <v>132</v>
      </c>
      <c r="AG15" s="2" t="s">
        <v>1</v>
      </c>
    </row>
    <row r="16" spans="1:33" x14ac:dyDescent="0.2">
      <c r="A16" s="7">
        <f>DATE(83,8,17)</f>
        <v>30545</v>
      </c>
      <c r="B16" s="8" t="s">
        <v>434</v>
      </c>
      <c r="C16" s="2" t="s">
        <v>435</v>
      </c>
      <c r="D16" s="2">
        <v>1816</v>
      </c>
      <c r="E16" s="2">
        <v>163</v>
      </c>
      <c r="F16" s="2">
        <v>326</v>
      </c>
      <c r="G16" s="2">
        <v>332</v>
      </c>
      <c r="H16" s="2">
        <v>395</v>
      </c>
      <c r="I16" s="2">
        <v>232</v>
      </c>
      <c r="J16" s="2">
        <v>245</v>
      </c>
      <c r="K16" s="2">
        <v>166</v>
      </c>
      <c r="L16" s="17">
        <v>21.1</v>
      </c>
      <c r="O16" s="2">
        <v>88</v>
      </c>
      <c r="P16" s="2">
        <v>647</v>
      </c>
      <c r="Q16" s="2">
        <v>28.2</v>
      </c>
      <c r="R16" s="2">
        <v>31</v>
      </c>
      <c r="S16" s="2">
        <v>15063</v>
      </c>
      <c r="T16" s="2">
        <v>173</v>
      </c>
      <c r="U16" s="2">
        <v>463</v>
      </c>
      <c r="V16" s="2">
        <v>6759</v>
      </c>
      <c r="W16" s="2">
        <v>197</v>
      </c>
      <c r="X16" s="2">
        <v>1330</v>
      </c>
      <c r="Y16" s="2">
        <v>2061</v>
      </c>
      <c r="Z16" s="2">
        <v>4.72</v>
      </c>
      <c r="AA16" s="2">
        <v>1698</v>
      </c>
      <c r="AB16" s="2">
        <v>0.48</v>
      </c>
      <c r="AC16" s="2">
        <v>151</v>
      </c>
      <c r="AD16" s="12">
        <v>0.48</v>
      </c>
      <c r="AE16" s="2">
        <v>128</v>
      </c>
      <c r="AG16" s="2" t="s">
        <v>1</v>
      </c>
    </row>
    <row r="17" spans="1:33" x14ac:dyDescent="0.2">
      <c r="A17" s="7">
        <f>DATE(83,8,17)</f>
        <v>30545</v>
      </c>
      <c r="B17" s="2">
        <v>2040</v>
      </c>
      <c r="C17" s="2" t="s">
        <v>436</v>
      </c>
      <c r="D17" s="2">
        <v>1683</v>
      </c>
      <c r="E17" s="2">
        <v>255</v>
      </c>
      <c r="F17" s="2">
        <v>321</v>
      </c>
      <c r="G17" s="2">
        <v>320</v>
      </c>
      <c r="H17" s="2">
        <v>405</v>
      </c>
      <c r="I17" s="2">
        <v>300</v>
      </c>
      <c r="J17" s="2">
        <v>286</v>
      </c>
      <c r="K17" s="2">
        <v>160</v>
      </c>
      <c r="L17" s="17">
        <v>23.7</v>
      </c>
      <c r="N17" s="2">
        <v>179</v>
      </c>
      <c r="O17" s="2">
        <v>104</v>
      </c>
      <c r="P17" s="2">
        <v>635</v>
      </c>
      <c r="Q17" s="2">
        <v>29.7</v>
      </c>
      <c r="R17" s="2">
        <v>58</v>
      </c>
      <c r="S17" s="2">
        <v>4607</v>
      </c>
      <c r="T17" s="2">
        <v>291</v>
      </c>
      <c r="U17" s="2">
        <v>630</v>
      </c>
      <c r="V17" s="2">
        <v>1876</v>
      </c>
      <c r="W17" s="2">
        <v>524</v>
      </c>
      <c r="X17" s="2">
        <v>436</v>
      </c>
      <c r="Y17" s="2">
        <v>854</v>
      </c>
      <c r="Z17" s="2">
        <v>0.44</v>
      </c>
      <c r="AA17" s="2">
        <v>160</v>
      </c>
      <c r="AB17" s="2">
        <v>0.76</v>
      </c>
      <c r="AC17" s="2">
        <v>239</v>
      </c>
      <c r="AD17" s="12">
        <v>0.39</v>
      </c>
      <c r="AE17" s="2">
        <v>103</v>
      </c>
      <c r="AG17" s="2" t="s">
        <v>1</v>
      </c>
    </row>
    <row r="18" spans="1:33" x14ac:dyDescent="0.2">
      <c r="A18" s="7">
        <f>DATE(83,8,18)</f>
        <v>30546</v>
      </c>
      <c r="B18" s="2">
        <v>1911</v>
      </c>
      <c r="C18" s="2" t="s">
        <v>437</v>
      </c>
      <c r="D18" s="2">
        <v>1863</v>
      </c>
      <c r="E18" s="2">
        <v>342</v>
      </c>
      <c r="F18" s="2">
        <v>354</v>
      </c>
      <c r="G18" s="2">
        <v>336</v>
      </c>
      <c r="H18" s="2">
        <v>446</v>
      </c>
      <c r="I18" s="2">
        <v>263</v>
      </c>
      <c r="J18" s="2">
        <v>324</v>
      </c>
      <c r="K18" s="2">
        <v>179</v>
      </c>
      <c r="L18" s="17">
        <v>26.2</v>
      </c>
      <c r="M18" s="2">
        <v>16</v>
      </c>
      <c r="N18" s="2">
        <v>190</v>
      </c>
      <c r="O18" s="2">
        <v>129</v>
      </c>
      <c r="P18" s="2">
        <v>883</v>
      </c>
      <c r="Q18" s="2">
        <v>33.9</v>
      </c>
      <c r="R18" s="2">
        <v>89</v>
      </c>
      <c r="S18" s="2">
        <v>10174</v>
      </c>
      <c r="T18" s="2">
        <v>382</v>
      </c>
      <c r="U18" s="2">
        <v>1160</v>
      </c>
      <c r="V18" s="2">
        <v>5702</v>
      </c>
      <c r="W18" s="2">
        <v>419</v>
      </c>
      <c r="X18" s="2">
        <v>1549</v>
      </c>
      <c r="Y18" s="2">
        <v>2849</v>
      </c>
      <c r="Z18" s="2">
        <v>0.38</v>
      </c>
      <c r="AA18" s="2">
        <v>135</v>
      </c>
      <c r="AB18" s="2">
        <v>1.1399999999999999</v>
      </c>
      <c r="AC18" s="2">
        <v>357</v>
      </c>
      <c r="AD18" s="12">
        <v>1.29</v>
      </c>
      <c r="AE18" s="2">
        <v>342</v>
      </c>
      <c r="AG18" s="2" t="s">
        <v>1</v>
      </c>
    </row>
    <row r="19" spans="1:33" x14ac:dyDescent="0.2">
      <c r="A19" s="7">
        <f>DATE(83,8,19)</f>
        <v>30547</v>
      </c>
      <c r="B19" s="2">
        <v>1421</v>
      </c>
      <c r="C19" s="2" t="s">
        <v>438</v>
      </c>
      <c r="D19" s="2">
        <v>1715</v>
      </c>
      <c r="E19" s="2">
        <v>165</v>
      </c>
      <c r="F19" s="2">
        <v>345</v>
      </c>
      <c r="G19" s="2">
        <v>334</v>
      </c>
      <c r="H19" s="2">
        <v>397</v>
      </c>
      <c r="I19" s="2">
        <v>244</v>
      </c>
      <c r="J19" s="2">
        <v>286</v>
      </c>
      <c r="K19" s="2">
        <v>167</v>
      </c>
      <c r="L19" s="17">
        <v>21.5</v>
      </c>
      <c r="N19" s="2">
        <v>119</v>
      </c>
      <c r="O19" s="2">
        <v>92</v>
      </c>
      <c r="P19" s="2">
        <v>597</v>
      </c>
      <c r="Q19" s="2">
        <v>28.7</v>
      </c>
      <c r="R19" s="2">
        <v>50</v>
      </c>
      <c r="S19" s="2">
        <v>2608</v>
      </c>
      <c r="T19" s="2">
        <v>143</v>
      </c>
      <c r="U19" s="2">
        <v>415</v>
      </c>
      <c r="V19" s="2">
        <v>969</v>
      </c>
      <c r="W19" s="2">
        <v>122</v>
      </c>
      <c r="X19" s="2">
        <v>338</v>
      </c>
      <c r="Y19" s="2">
        <v>570</v>
      </c>
      <c r="Z19" s="12">
        <v>3.2</v>
      </c>
      <c r="AA19" s="2">
        <v>1152</v>
      </c>
      <c r="AB19" s="12">
        <v>0.4</v>
      </c>
      <c r="AC19" s="2">
        <v>125</v>
      </c>
      <c r="AD19" s="12">
        <v>0.28999999999999998</v>
      </c>
      <c r="AE19" s="2">
        <v>78</v>
      </c>
      <c r="AG19" s="2" t="s">
        <v>1</v>
      </c>
    </row>
    <row r="20" spans="1:33" x14ac:dyDescent="0.2">
      <c r="A20" s="7">
        <f>DATE(83,8,20)</f>
        <v>30548</v>
      </c>
      <c r="B20" s="2">
        <v>1210</v>
      </c>
      <c r="D20" s="2">
        <v>1801</v>
      </c>
      <c r="E20" s="2">
        <v>244</v>
      </c>
      <c r="F20" s="2">
        <v>350</v>
      </c>
      <c r="G20" s="2">
        <v>338</v>
      </c>
      <c r="H20" s="2">
        <v>512</v>
      </c>
      <c r="I20" s="2">
        <v>1479</v>
      </c>
      <c r="J20" s="2">
        <v>991</v>
      </c>
      <c r="K20" s="2">
        <v>170</v>
      </c>
      <c r="L20" s="17">
        <v>21.2</v>
      </c>
      <c r="M20" s="2">
        <v>46</v>
      </c>
      <c r="N20" s="2">
        <v>237</v>
      </c>
      <c r="O20" s="2">
        <v>132</v>
      </c>
      <c r="P20" s="2">
        <v>736</v>
      </c>
      <c r="Q20" s="2">
        <v>34.9</v>
      </c>
      <c r="R20" s="2">
        <v>152</v>
      </c>
      <c r="Z20" s="8" t="s">
        <v>439</v>
      </c>
      <c r="AG20" s="2" t="s">
        <v>1</v>
      </c>
    </row>
    <row r="21" spans="1:33" x14ac:dyDescent="0.2">
      <c r="A21" s="7">
        <f>DATE(83,8,20)</f>
        <v>30548</v>
      </c>
      <c r="B21" s="2">
        <v>1911</v>
      </c>
      <c r="D21" s="2">
        <v>1742</v>
      </c>
      <c r="E21" s="2">
        <v>210</v>
      </c>
      <c r="F21" s="2">
        <v>342</v>
      </c>
      <c r="G21" s="2">
        <v>338</v>
      </c>
      <c r="H21" s="2">
        <v>421</v>
      </c>
      <c r="I21" s="2">
        <v>243</v>
      </c>
      <c r="J21" s="2">
        <v>304</v>
      </c>
      <c r="K21" s="2">
        <v>172</v>
      </c>
      <c r="L21" s="17">
        <v>21.8</v>
      </c>
      <c r="M21" s="2">
        <v>16</v>
      </c>
      <c r="N21" s="2">
        <v>118</v>
      </c>
      <c r="S21" s="2">
        <v>4931</v>
      </c>
      <c r="T21" s="2">
        <v>454</v>
      </c>
      <c r="U21" s="2">
        <v>621</v>
      </c>
      <c r="V21" s="2">
        <v>2784</v>
      </c>
      <c r="W21" s="2">
        <v>408</v>
      </c>
      <c r="X21" s="2">
        <v>936</v>
      </c>
      <c r="Y21" s="2">
        <v>1754</v>
      </c>
      <c r="Z21" s="2">
        <v>1.1399999999999999</v>
      </c>
      <c r="AA21" s="2">
        <v>408</v>
      </c>
      <c r="AB21" s="12">
        <v>0.82</v>
      </c>
      <c r="AC21" s="2">
        <v>258</v>
      </c>
      <c r="AD21" s="12">
        <v>0.62</v>
      </c>
      <c r="AE21" s="2">
        <v>165</v>
      </c>
      <c r="AG21" s="2" t="s">
        <v>1</v>
      </c>
    </row>
    <row r="22" spans="1:33" x14ac:dyDescent="0.2">
      <c r="A22" s="7">
        <f>DATE(83,8,21)</f>
        <v>30549</v>
      </c>
      <c r="B22" s="8" t="s">
        <v>440</v>
      </c>
      <c r="D22" s="2">
        <v>1741</v>
      </c>
      <c r="E22" s="2">
        <v>135</v>
      </c>
      <c r="F22" s="2">
        <v>333</v>
      </c>
      <c r="G22" s="2">
        <v>338</v>
      </c>
      <c r="H22" s="2">
        <v>383</v>
      </c>
      <c r="I22" s="2">
        <v>233</v>
      </c>
      <c r="J22" s="2">
        <v>218</v>
      </c>
      <c r="K22" s="2">
        <v>169</v>
      </c>
      <c r="L22" s="17">
        <v>19.8</v>
      </c>
      <c r="N22" s="2">
        <v>60</v>
      </c>
      <c r="O22" s="2">
        <v>84</v>
      </c>
      <c r="P22" s="2">
        <v>554</v>
      </c>
      <c r="Q22" s="2">
        <v>28.4</v>
      </c>
      <c r="R22" s="2">
        <v>83</v>
      </c>
      <c r="S22" s="2">
        <v>2657</v>
      </c>
      <c r="T22" s="2">
        <v>384</v>
      </c>
      <c r="U22" s="2">
        <v>404</v>
      </c>
      <c r="V22" s="2">
        <v>1145</v>
      </c>
      <c r="W22" s="2">
        <v>454</v>
      </c>
      <c r="X22" s="2">
        <v>375</v>
      </c>
      <c r="Y22" s="2">
        <v>607</v>
      </c>
      <c r="Z22" s="2">
        <v>4.8899999999999997</v>
      </c>
      <c r="AA22" s="2">
        <v>1760</v>
      </c>
      <c r="AB22" s="12">
        <v>0.48</v>
      </c>
      <c r="AC22" s="2">
        <v>150</v>
      </c>
      <c r="AD22" s="12">
        <v>0.49</v>
      </c>
      <c r="AE22" s="2">
        <v>131</v>
      </c>
      <c r="AG22" s="2" t="s">
        <v>1</v>
      </c>
    </row>
    <row r="23" spans="1:33" x14ac:dyDescent="0.2">
      <c r="A23" s="7">
        <f>DATE(83,8,21)</f>
        <v>30549</v>
      </c>
      <c r="B23" s="2">
        <v>1056</v>
      </c>
      <c r="D23" s="2">
        <v>1728</v>
      </c>
      <c r="E23" s="2">
        <v>153</v>
      </c>
      <c r="F23" s="2">
        <v>331</v>
      </c>
      <c r="G23" s="2">
        <v>333</v>
      </c>
      <c r="H23" s="2">
        <v>379</v>
      </c>
      <c r="I23" s="2">
        <v>234</v>
      </c>
      <c r="J23" s="2">
        <v>217</v>
      </c>
      <c r="K23" s="2">
        <v>164</v>
      </c>
      <c r="L23" s="17">
        <v>19.5</v>
      </c>
      <c r="N23" s="2">
        <v>10</v>
      </c>
      <c r="O23" s="2">
        <v>83</v>
      </c>
      <c r="P23" s="2">
        <v>554</v>
      </c>
      <c r="Q23" s="2">
        <v>25</v>
      </c>
      <c r="R23" s="2">
        <v>30</v>
      </c>
      <c r="S23" s="2">
        <v>2054</v>
      </c>
      <c r="T23" s="2">
        <v>550</v>
      </c>
      <c r="U23" s="2">
        <v>480</v>
      </c>
      <c r="V23" s="2">
        <v>1361</v>
      </c>
      <c r="W23" s="2">
        <v>762</v>
      </c>
      <c r="X23" s="2">
        <v>582</v>
      </c>
      <c r="Y23" s="2">
        <v>856</v>
      </c>
      <c r="Z23" s="2">
        <v>2.68</v>
      </c>
      <c r="AA23" s="2">
        <v>963</v>
      </c>
      <c r="AB23" s="12">
        <v>0.56000000000000005</v>
      </c>
      <c r="AC23" s="2">
        <v>177</v>
      </c>
      <c r="AD23" s="12">
        <v>0.53</v>
      </c>
      <c r="AE23" s="2">
        <v>141</v>
      </c>
      <c r="AG23" s="2" t="s">
        <v>1</v>
      </c>
    </row>
    <row r="24" spans="1:33" x14ac:dyDescent="0.2">
      <c r="A24" s="7">
        <f>DATE(83,8,21)</f>
        <v>30549</v>
      </c>
      <c r="B24" s="2">
        <v>2333</v>
      </c>
      <c r="D24" s="2">
        <v>1730</v>
      </c>
      <c r="E24" s="2">
        <v>158</v>
      </c>
      <c r="F24" s="2">
        <v>332</v>
      </c>
      <c r="G24" s="2">
        <v>333</v>
      </c>
      <c r="H24" s="2">
        <v>383</v>
      </c>
      <c r="I24" s="2">
        <v>224</v>
      </c>
      <c r="J24" s="2">
        <v>211</v>
      </c>
      <c r="K24" s="2">
        <v>157</v>
      </c>
      <c r="L24" s="2">
        <v>18.899999999999999</v>
      </c>
      <c r="O24" s="2">
        <v>81</v>
      </c>
      <c r="P24" s="2">
        <v>563</v>
      </c>
      <c r="Q24" s="2">
        <v>25.4</v>
      </c>
      <c r="R24" s="2">
        <v>29</v>
      </c>
      <c r="S24" s="2">
        <v>2306</v>
      </c>
      <c r="T24" s="2">
        <v>393</v>
      </c>
      <c r="U24" s="2">
        <v>489</v>
      </c>
      <c r="V24" s="2">
        <v>734</v>
      </c>
      <c r="W24" s="2">
        <v>448</v>
      </c>
      <c r="X24" s="2">
        <v>476</v>
      </c>
      <c r="Y24" s="2">
        <v>936</v>
      </c>
      <c r="Z24" s="2">
        <v>0.73</v>
      </c>
      <c r="AA24" s="2">
        <v>262</v>
      </c>
      <c r="AB24" s="12">
        <v>0.51</v>
      </c>
      <c r="AC24" s="2">
        <v>160</v>
      </c>
      <c r="AD24" s="2">
        <v>0.43</v>
      </c>
      <c r="AE24" s="2">
        <v>114</v>
      </c>
      <c r="AG24" s="2" t="s">
        <v>1</v>
      </c>
    </row>
    <row r="25" spans="1:33" x14ac:dyDescent="0.2">
      <c r="A25" s="7">
        <f>DATE(83,8,22)</f>
        <v>30550</v>
      </c>
      <c r="B25" s="8" t="s">
        <v>441</v>
      </c>
      <c r="C25" s="2" t="s">
        <v>435</v>
      </c>
      <c r="D25" s="2">
        <v>1735</v>
      </c>
      <c r="E25" s="2">
        <v>124</v>
      </c>
      <c r="F25" s="2">
        <v>340</v>
      </c>
      <c r="G25" s="2">
        <v>338</v>
      </c>
      <c r="H25" s="2">
        <v>399</v>
      </c>
      <c r="I25" s="2">
        <v>841</v>
      </c>
      <c r="J25" s="2">
        <v>360</v>
      </c>
      <c r="K25" s="2">
        <v>168</v>
      </c>
      <c r="L25" s="2">
        <v>18.5</v>
      </c>
      <c r="O25" s="2">
        <v>90</v>
      </c>
      <c r="P25" s="2">
        <v>590</v>
      </c>
      <c r="Q25" s="2">
        <v>27</v>
      </c>
      <c r="R25" s="2">
        <v>34</v>
      </c>
      <c r="S25" s="2">
        <v>2021</v>
      </c>
      <c r="T25" s="2">
        <v>218</v>
      </c>
      <c r="U25" s="2">
        <v>301</v>
      </c>
      <c r="V25" s="2">
        <v>650</v>
      </c>
      <c r="W25" s="2">
        <v>279</v>
      </c>
      <c r="X25" s="2">
        <v>497</v>
      </c>
      <c r="Y25" s="2">
        <v>523</v>
      </c>
      <c r="Z25" s="2">
        <v>0</v>
      </c>
      <c r="AA25" s="2">
        <v>0</v>
      </c>
      <c r="AB25" s="12">
        <v>0.35</v>
      </c>
      <c r="AC25" s="2">
        <v>110</v>
      </c>
      <c r="AD25" s="2">
        <v>0.47</v>
      </c>
      <c r="AE25" s="2">
        <v>125</v>
      </c>
      <c r="AG25" s="2" t="s">
        <v>1</v>
      </c>
    </row>
    <row r="26" spans="1:33" x14ac:dyDescent="0.2">
      <c r="A26" s="7">
        <f t="shared" ref="A26:A33" si="0">DATE(83,8,26)</f>
        <v>30554</v>
      </c>
      <c r="B26" s="2">
        <v>1038</v>
      </c>
      <c r="C26" s="2" t="s">
        <v>442</v>
      </c>
      <c r="D26" s="2">
        <v>1731</v>
      </c>
      <c r="E26" s="2">
        <v>193</v>
      </c>
      <c r="F26" s="2">
        <v>335</v>
      </c>
      <c r="G26" s="2">
        <v>335</v>
      </c>
      <c r="H26" s="2">
        <v>434</v>
      </c>
      <c r="I26" s="2">
        <v>241</v>
      </c>
      <c r="J26" s="2">
        <v>309</v>
      </c>
      <c r="K26" s="2">
        <v>165</v>
      </c>
      <c r="L26" s="2">
        <v>25</v>
      </c>
      <c r="M26" s="2">
        <v>18</v>
      </c>
      <c r="N26" s="2">
        <v>249</v>
      </c>
      <c r="O26" s="2">
        <v>111</v>
      </c>
      <c r="P26" s="2">
        <v>603</v>
      </c>
      <c r="Q26" s="2">
        <v>34</v>
      </c>
      <c r="R26" s="2">
        <v>73</v>
      </c>
      <c r="S26" s="2">
        <v>2437</v>
      </c>
      <c r="T26" s="2">
        <v>297</v>
      </c>
      <c r="U26" s="2">
        <v>658</v>
      </c>
      <c r="V26" s="2">
        <v>1178</v>
      </c>
      <c r="W26" s="2">
        <v>343</v>
      </c>
      <c r="X26" s="2">
        <v>569</v>
      </c>
      <c r="Y26" s="2">
        <v>927</v>
      </c>
      <c r="Z26" s="12">
        <v>5.9</v>
      </c>
      <c r="AA26" s="2">
        <v>2120</v>
      </c>
      <c r="AB26" s="12">
        <v>0.62</v>
      </c>
      <c r="AC26" s="2">
        <v>194</v>
      </c>
      <c r="AD26" s="2">
        <v>0.56000000000000005</v>
      </c>
      <c r="AE26" s="2">
        <v>149</v>
      </c>
      <c r="AG26" s="2" t="s">
        <v>1</v>
      </c>
    </row>
    <row r="27" spans="1:33" x14ac:dyDescent="0.2">
      <c r="A27" s="7">
        <f t="shared" si="0"/>
        <v>30554</v>
      </c>
      <c r="B27" s="2">
        <v>1130</v>
      </c>
      <c r="C27" s="2" t="s">
        <v>442</v>
      </c>
      <c r="D27" s="2">
        <v>1719</v>
      </c>
      <c r="E27" s="2">
        <v>182</v>
      </c>
      <c r="F27" s="2">
        <v>332</v>
      </c>
      <c r="G27" s="2">
        <v>334</v>
      </c>
      <c r="H27" s="2">
        <v>417</v>
      </c>
      <c r="I27" s="2">
        <v>245</v>
      </c>
      <c r="J27" s="2">
        <v>291</v>
      </c>
      <c r="K27" s="2">
        <v>169</v>
      </c>
      <c r="L27" s="2">
        <v>23.9</v>
      </c>
      <c r="N27" s="2">
        <v>200</v>
      </c>
      <c r="O27" s="2">
        <v>105</v>
      </c>
      <c r="P27" s="2">
        <v>620</v>
      </c>
      <c r="Q27" s="2">
        <v>32</v>
      </c>
      <c r="R27" s="2">
        <v>56</v>
      </c>
      <c r="S27" s="2">
        <v>2836</v>
      </c>
      <c r="T27" s="2">
        <v>201</v>
      </c>
      <c r="U27" s="2">
        <v>545</v>
      </c>
      <c r="V27" s="2">
        <v>1289</v>
      </c>
      <c r="W27" s="2">
        <v>326</v>
      </c>
      <c r="X27" s="2">
        <v>396</v>
      </c>
      <c r="Y27" s="2">
        <v>658</v>
      </c>
      <c r="Z27" s="2">
        <v>5.86</v>
      </c>
      <c r="AA27" s="2">
        <v>2107</v>
      </c>
      <c r="AB27" s="12">
        <v>0.55000000000000004</v>
      </c>
      <c r="AC27" s="2">
        <v>171</v>
      </c>
      <c r="AD27" s="2">
        <v>0.45</v>
      </c>
      <c r="AE27" s="2">
        <v>121</v>
      </c>
      <c r="AG27" s="2" t="s">
        <v>1</v>
      </c>
    </row>
    <row r="28" spans="1:33" x14ac:dyDescent="0.2">
      <c r="A28" s="7">
        <f t="shared" si="0"/>
        <v>30554</v>
      </c>
      <c r="B28" s="2">
        <v>1230</v>
      </c>
      <c r="D28" s="2">
        <v>1739</v>
      </c>
      <c r="E28" s="2">
        <v>174</v>
      </c>
      <c r="F28" s="2">
        <v>342</v>
      </c>
      <c r="G28" s="2">
        <v>335</v>
      </c>
      <c r="H28" s="2">
        <v>416</v>
      </c>
      <c r="I28" s="2">
        <v>240</v>
      </c>
      <c r="J28" s="2">
        <v>283</v>
      </c>
      <c r="K28" s="2">
        <v>168</v>
      </c>
      <c r="L28" s="2">
        <v>25</v>
      </c>
      <c r="M28" s="2">
        <v>619</v>
      </c>
      <c r="N28" s="2">
        <v>189</v>
      </c>
      <c r="O28" s="2">
        <v>107</v>
      </c>
      <c r="P28" s="2">
        <v>632</v>
      </c>
      <c r="Q28" s="2">
        <v>30.7</v>
      </c>
      <c r="R28" s="2">
        <v>51</v>
      </c>
      <c r="S28" s="2">
        <v>4148</v>
      </c>
      <c r="T28" s="2">
        <v>271</v>
      </c>
      <c r="U28" s="2">
        <v>527</v>
      </c>
      <c r="V28" s="2">
        <v>1712</v>
      </c>
      <c r="W28" s="2">
        <v>349</v>
      </c>
      <c r="X28" s="2">
        <v>493</v>
      </c>
      <c r="Y28" s="2">
        <v>746</v>
      </c>
      <c r="Z28" s="2">
        <v>11.25</v>
      </c>
      <c r="AA28" s="2">
        <v>4044</v>
      </c>
      <c r="AB28" s="12">
        <v>0.46</v>
      </c>
      <c r="AC28" s="2">
        <v>145</v>
      </c>
      <c r="AD28" s="2">
        <v>0.34</v>
      </c>
      <c r="AE28" s="2">
        <v>91</v>
      </c>
      <c r="AG28" s="2" t="s">
        <v>1</v>
      </c>
    </row>
    <row r="29" spans="1:33" x14ac:dyDescent="0.2">
      <c r="A29" s="7">
        <f t="shared" si="0"/>
        <v>30554</v>
      </c>
      <c r="B29" s="2">
        <v>1333</v>
      </c>
      <c r="D29" s="2">
        <v>1732</v>
      </c>
      <c r="E29" s="2">
        <v>193</v>
      </c>
      <c r="F29" s="2">
        <v>336</v>
      </c>
      <c r="G29" s="2">
        <v>336</v>
      </c>
      <c r="H29" s="2">
        <v>421</v>
      </c>
      <c r="I29" s="2">
        <v>242</v>
      </c>
      <c r="J29" s="2">
        <v>294</v>
      </c>
      <c r="K29" s="2">
        <v>165</v>
      </c>
      <c r="L29" s="2">
        <v>23.5</v>
      </c>
      <c r="M29" s="2">
        <v>16</v>
      </c>
      <c r="N29" s="2">
        <v>204</v>
      </c>
      <c r="O29" s="2">
        <v>105</v>
      </c>
      <c r="P29" s="2">
        <v>621</v>
      </c>
      <c r="Q29" s="2">
        <v>32.9</v>
      </c>
      <c r="R29" s="2">
        <v>95</v>
      </c>
      <c r="S29" s="2">
        <v>3578</v>
      </c>
      <c r="T29" s="2">
        <v>218</v>
      </c>
      <c r="U29" s="2">
        <v>621</v>
      </c>
      <c r="V29" s="2">
        <v>1567</v>
      </c>
      <c r="W29" s="2">
        <v>373</v>
      </c>
      <c r="X29" s="2">
        <v>620</v>
      </c>
      <c r="Y29" s="2">
        <v>902</v>
      </c>
      <c r="Z29" s="2">
        <v>6.74</v>
      </c>
      <c r="AA29" s="2">
        <v>2422</v>
      </c>
      <c r="AB29" s="12">
        <v>0.52</v>
      </c>
      <c r="AC29" s="2">
        <v>164</v>
      </c>
      <c r="AD29" s="2">
        <v>0.44</v>
      </c>
      <c r="AE29" s="2">
        <v>117</v>
      </c>
      <c r="AG29" s="2" t="s">
        <v>1</v>
      </c>
    </row>
    <row r="30" spans="1:33" x14ac:dyDescent="0.2">
      <c r="A30" s="7">
        <f t="shared" si="0"/>
        <v>30554</v>
      </c>
      <c r="B30" s="2">
        <v>1430</v>
      </c>
      <c r="D30" s="2">
        <v>1728</v>
      </c>
      <c r="E30" s="2">
        <v>166</v>
      </c>
      <c r="F30" s="2">
        <v>372</v>
      </c>
      <c r="G30" s="2">
        <v>336</v>
      </c>
      <c r="H30" s="2">
        <v>415</v>
      </c>
      <c r="I30" s="2">
        <v>242</v>
      </c>
      <c r="J30" s="2">
        <v>296</v>
      </c>
      <c r="K30" s="2">
        <v>168</v>
      </c>
      <c r="L30" s="2">
        <v>23.5</v>
      </c>
      <c r="M30" s="2">
        <v>60</v>
      </c>
      <c r="N30" s="2">
        <v>169</v>
      </c>
      <c r="O30" s="2">
        <v>103</v>
      </c>
      <c r="P30" s="2">
        <v>684</v>
      </c>
      <c r="Q30" s="2">
        <v>30.8</v>
      </c>
      <c r="R30" s="2">
        <v>51</v>
      </c>
      <c r="S30" s="2">
        <v>3366</v>
      </c>
      <c r="T30" s="2">
        <v>262</v>
      </c>
      <c r="U30" s="2">
        <v>461</v>
      </c>
      <c r="V30" s="2">
        <v>1361</v>
      </c>
      <c r="W30" s="2">
        <v>547</v>
      </c>
      <c r="X30" s="2">
        <v>371</v>
      </c>
      <c r="Y30" s="2">
        <v>573</v>
      </c>
      <c r="Z30" s="2">
        <v>7.11</v>
      </c>
      <c r="AA30" s="2">
        <v>2557</v>
      </c>
      <c r="AB30" s="12">
        <v>0.46</v>
      </c>
      <c r="AC30" s="2">
        <v>144</v>
      </c>
      <c r="AD30" s="12">
        <v>0.3</v>
      </c>
      <c r="AE30" s="2">
        <v>80</v>
      </c>
      <c r="AG30" s="2" t="s">
        <v>1</v>
      </c>
    </row>
    <row r="31" spans="1:33" x14ac:dyDescent="0.2">
      <c r="A31" s="7">
        <f t="shared" si="0"/>
        <v>30554</v>
      </c>
      <c r="B31" s="2">
        <v>1530</v>
      </c>
      <c r="D31" s="2">
        <v>1730</v>
      </c>
      <c r="E31" s="2">
        <v>167</v>
      </c>
      <c r="F31" s="2">
        <v>341</v>
      </c>
      <c r="G31" s="2">
        <v>339</v>
      </c>
      <c r="H31" s="2">
        <v>413</v>
      </c>
      <c r="I31" s="2">
        <v>242</v>
      </c>
      <c r="J31" s="2">
        <v>265</v>
      </c>
      <c r="K31" s="2">
        <v>166</v>
      </c>
      <c r="L31" s="2">
        <v>22.3</v>
      </c>
      <c r="N31" s="2">
        <v>153</v>
      </c>
      <c r="S31" s="2">
        <v>3863</v>
      </c>
      <c r="T31" s="2">
        <v>175</v>
      </c>
      <c r="U31" s="2">
        <v>470</v>
      </c>
      <c r="V31" s="2">
        <v>1506</v>
      </c>
      <c r="W31" s="2">
        <v>309</v>
      </c>
      <c r="X31" s="2">
        <v>413</v>
      </c>
      <c r="Y31" s="2">
        <v>582</v>
      </c>
      <c r="Z31" s="2">
        <v>4.4800000000000004</v>
      </c>
      <c r="AA31" s="2">
        <v>1612</v>
      </c>
      <c r="AB31" s="12">
        <v>0.34</v>
      </c>
      <c r="AC31" s="2">
        <v>106</v>
      </c>
      <c r="AD31" s="2">
        <v>0.32</v>
      </c>
      <c r="AE31" s="2">
        <v>84</v>
      </c>
      <c r="AG31" s="2" t="s">
        <v>1</v>
      </c>
    </row>
    <row r="32" spans="1:33" x14ac:dyDescent="0.2">
      <c r="A32" s="7">
        <f t="shared" si="0"/>
        <v>30554</v>
      </c>
      <c r="B32" s="2">
        <v>1630</v>
      </c>
      <c r="D32" s="2">
        <v>1714</v>
      </c>
      <c r="E32" s="2">
        <v>203</v>
      </c>
      <c r="F32" s="2">
        <v>379</v>
      </c>
      <c r="G32" s="2">
        <v>335</v>
      </c>
      <c r="H32" s="2">
        <v>421</v>
      </c>
      <c r="I32" s="2">
        <v>243</v>
      </c>
      <c r="J32" s="2">
        <v>298</v>
      </c>
      <c r="K32" s="2">
        <v>166</v>
      </c>
      <c r="L32" s="2">
        <v>25.7</v>
      </c>
      <c r="M32" s="2">
        <v>27</v>
      </c>
      <c r="N32" s="2">
        <v>203</v>
      </c>
      <c r="O32" s="2">
        <v>106</v>
      </c>
      <c r="P32" s="2">
        <v>615</v>
      </c>
      <c r="Q32" s="2">
        <v>33.799999999999997</v>
      </c>
      <c r="R32" s="2">
        <v>84</v>
      </c>
      <c r="S32" s="2">
        <v>2575</v>
      </c>
      <c r="T32" s="2">
        <v>271</v>
      </c>
      <c r="U32" s="2">
        <v>621</v>
      </c>
      <c r="V32" s="2">
        <v>1184</v>
      </c>
      <c r="W32" s="2">
        <v>396</v>
      </c>
      <c r="X32" s="2">
        <v>451</v>
      </c>
      <c r="Y32" s="2">
        <v>742</v>
      </c>
      <c r="Z32" s="2">
        <v>8.75</v>
      </c>
      <c r="AA32" s="2">
        <v>3146</v>
      </c>
      <c r="AB32" s="12">
        <v>0.6</v>
      </c>
      <c r="AC32" s="2">
        <v>189</v>
      </c>
      <c r="AD32" s="2">
        <v>0.55000000000000004</v>
      </c>
      <c r="AE32" s="2">
        <v>145</v>
      </c>
      <c r="AG32" s="2" t="s">
        <v>1</v>
      </c>
    </row>
    <row r="33" spans="1:33" x14ac:dyDescent="0.2">
      <c r="A33" s="7">
        <f t="shared" si="0"/>
        <v>30554</v>
      </c>
      <c r="B33" s="2">
        <v>1735</v>
      </c>
      <c r="D33" s="2">
        <v>1712</v>
      </c>
      <c r="E33" s="2">
        <v>221</v>
      </c>
      <c r="F33" s="2">
        <v>333</v>
      </c>
      <c r="G33" s="2">
        <v>338</v>
      </c>
      <c r="H33" s="2">
        <v>432</v>
      </c>
      <c r="I33" s="2">
        <v>242</v>
      </c>
      <c r="J33" s="2">
        <v>299</v>
      </c>
      <c r="K33" s="2">
        <v>165</v>
      </c>
      <c r="L33" s="2">
        <v>27.3</v>
      </c>
      <c r="M33" s="2">
        <v>18</v>
      </c>
      <c r="N33" s="2">
        <v>197</v>
      </c>
      <c r="O33" s="2">
        <v>115</v>
      </c>
      <c r="P33" s="2">
        <v>595</v>
      </c>
      <c r="Q33" s="2">
        <v>36.1</v>
      </c>
      <c r="R33" s="2">
        <v>70</v>
      </c>
      <c r="S33" s="2">
        <v>2461</v>
      </c>
      <c r="T33" s="2">
        <v>314</v>
      </c>
      <c r="U33" s="2">
        <v>818</v>
      </c>
      <c r="V33" s="2">
        <v>1139</v>
      </c>
      <c r="W33" s="2">
        <v>524</v>
      </c>
      <c r="X33" s="2">
        <v>578</v>
      </c>
      <c r="Y33" s="2">
        <v>961</v>
      </c>
      <c r="Z33" s="2">
        <v>12.81</v>
      </c>
      <c r="AA33" s="2">
        <v>4611</v>
      </c>
      <c r="AB33" s="12">
        <v>0.51</v>
      </c>
      <c r="AC33" s="2">
        <v>159</v>
      </c>
      <c r="AD33" s="2">
        <v>0.51</v>
      </c>
      <c r="AE33" s="2">
        <v>136</v>
      </c>
      <c r="AG33" s="2" t="s">
        <v>1</v>
      </c>
    </row>
    <row r="34" spans="1:33" x14ac:dyDescent="0.2">
      <c r="AG34" s="2" t="s">
        <v>1</v>
      </c>
    </row>
    <row r="36" spans="1:33" x14ac:dyDescent="0.2">
      <c r="D36" s="8" t="s">
        <v>123</v>
      </c>
      <c r="E36" s="8" t="s">
        <v>118</v>
      </c>
      <c r="F36" s="8" t="s">
        <v>134</v>
      </c>
      <c r="G36" s="8" t="s">
        <v>138</v>
      </c>
      <c r="H36" s="8" t="s">
        <v>136</v>
      </c>
      <c r="I36" s="8" t="s">
        <v>130</v>
      </c>
      <c r="J36" s="8" t="s">
        <v>121</v>
      </c>
      <c r="K36" s="8" t="s">
        <v>112</v>
      </c>
      <c r="L36" s="8" t="s">
        <v>133</v>
      </c>
      <c r="M36" s="8" t="s">
        <v>142</v>
      </c>
      <c r="N36" s="8" t="s">
        <v>140</v>
      </c>
      <c r="O36" s="8" t="s">
        <v>148</v>
      </c>
      <c r="P36" s="8" t="s">
        <v>115</v>
      </c>
      <c r="Q36" s="8" t="s">
        <v>133</v>
      </c>
      <c r="R36" s="8" t="s">
        <v>128</v>
      </c>
      <c r="S36" s="8" t="s">
        <v>126</v>
      </c>
      <c r="T36" s="8" t="s">
        <v>122</v>
      </c>
      <c r="U36" s="8" t="s">
        <v>113</v>
      </c>
      <c r="V36" s="8" t="s">
        <v>131</v>
      </c>
      <c r="W36" s="8" t="s">
        <v>129</v>
      </c>
      <c r="X36" s="8" t="s">
        <v>149</v>
      </c>
      <c r="Y36" s="8" t="s">
        <v>151</v>
      </c>
      <c r="Z36" s="8" t="s">
        <v>116</v>
      </c>
    </row>
    <row r="37" spans="1:33" x14ac:dyDescent="0.2">
      <c r="D37" s="8" t="s">
        <v>266</v>
      </c>
      <c r="E37" s="8" t="s">
        <v>266</v>
      </c>
      <c r="F37" s="8" t="s">
        <v>371</v>
      </c>
      <c r="G37" s="8" t="s">
        <v>266</v>
      </c>
      <c r="H37" s="8" t="s">
        <v>144</v>
      </c>
      <c r="I37" s="8" t="s">
        <v>144</v>
      </c>
      <c r="J37" s="8" t="s">
        <v>144</v>
      </c>
      <c r="K37" s="8" t="s">
        <v>144</v>
      </c>
      <c r="L37" s="8" t="s">
        <v>144</v>
      </c>
      <c r="M37" s="8" t="s">
        <v>144</v>
      </c>
      <c r="N37" s="8" t="s">
        <v>144</v>
      </c>
      <c r="O37" s="8" t="s">
        <v>144</v>
      </c>
      <c r="P37" s="8" t="s">
        <v>144</v>
      </c>
      <c r="Q37" s="8" t="s">
        <v>144</v>
      </c>
      <c r="R37" s="8" t="s">
        <v>144</v>
      </c>
      <c r="S37" s="8" t="s">
        <v>144</v>
      </c>
      <c r="T37" s="8" t="s">
        <v>144</v>
      </c>
      <c r="U37" s="8" t="s">
        <v>144</v>
      </c>
      <c r="V37" s="8" t="s">
        <v>144</v>
      </c>
      <c r="W37" s="8" t="s">
        <v>144</v>
      </c>
      <c r="X37" s="8" t="s">
        <v>144</v>
      </c>
      <c r="Y37" s="8" t="s">
        <v>144</v>
      </c>
      <c r="Z37" s="8" t="s">
        <v>426</v>
      </c>
    </row>
    <row r="39" spans="1:33" x14ac:dyDescent="0.2">
      <c r="A39" s="7">
        <f>AVERAGE(A6:A33)</f>
        <v>30547.642857142859</v>
      </c>
      <c r="B39" s="2" t="s">
        <v>363</v>
      </c>
      <c r="D39" s="4">
        <f t="shared" ref="D39:AE39" si="1">AVERAGE(D6:D33)</f>
        <v>1725.4642857142858</v>
      </c>
      <c r="E39" s="4">
        <f t="shared" si="1"/>
        <v>184.46428571428572</v>
      </c>
      <c r="F39" s="4">
        <f t="shared" si="1"/>
        <v>336.71428571428572</v>
      </c>
      <c r="G39" s="4">
        <f t="shared" si="1"/>
        <v>336.60714285714283</v>
      </c>
      <c r="H39" s="4">
        <f t="shared" si="1"/>
        <v>406.42857142857144</v>
      </c>
      <c r="I39" s="4">
        <f t="shared" si="1"/>
        <v>308.92857142857144</v>
      </c>
      <c r="J39" s="4">
        <f t="shared" si="1"/>
        <v>292.32142857142856</v>
      </c>
      <c r="K39" s="4">
        <f t="shared" si="1"/>
        <v>164.89285714285714</v>
      </c>
      <c r="L39" s="4">
        <f t="shared" si="1"/>
        <v>22.132142857142849</v>
      </c>
      <c r="M39" s="4">
        <f t="shared" si="1"/>
        <v>85.929999999999993</v>
      </c>
      <c r="N39" s="4">
        <f t="shared" si="1"/>
        <v>138.59090909090909</v>
      </c>
      <c r="O39" s="4">
        <f t="shared" si="1"/>
        <v>97</v>
      </c>
      <c r="P39" s="4">
        <f t="shared" si="1"/>
        <v>634.04</v>
      </c>
      <c r="Q39" s="4">
        <f t="shared" si="1"/>
        <v>29.487999999999992</v>
      </c>
      <c r="R39" s="4">
        <f t="shared" si="1"/>
        <v>54.08</v>
      </c>
      <c r="S39" s="4">
        <f t="shared" si="1"/>
        <v>3289.5925925925926</v>
      </c>
      <c r="T39" s="4">
        <f t="shared" si="1"/>
        <v>286.81481481481484</v>
      </c>
      <c r="U39" s="4">
        <f t="shared" si="1"/>
        <v>529.03703703703707</v>
      </c>
      <c r="V39" s="4">
        <f t="shared" si="1"/>
        <v>1435.5555555555557</v>
      </c>
      <c r="W39" s="4">
        <f t="shared" si="1"/>
        <v>407.62962962962962</v>
      </c>
      <c r="X39" s="4">
        <f t="shared" si="1"/>
        <v>481.88888888888891</v>
      </c>
      <c r="Y39" s="4">
        <f t="shared" si="1"/>
        <v>806.22222222222217</v>
      </c>
      <c r="Z39" s="4">
        <f t="shared" si="1"/>
        <v>3.5742307692307693</v>
      </c>
      <c r="AA39" s="4">
        <f t="shared" si="1"/>
        <v>1285.3461538461538</v>
      </c>
      <c r="AB39" s="4">
        <f t="shared" si="1"/>
        <v>0.54</v>
      </c>
      <c r="AC39" s="4">
        <f t="shared" si="1"/>
        <v>169.34615384615384</v>
      </c>
      <c r="AD39" s="4">
        <f t="shared" si="1"/>
        <v>0.4869230769230769</v>
      </c>
      <c r="AE39" s="4">
        <f t="shared" si="1"/>
        <v>141.07692307692307</v>
      </c>
      <c r="AG39" s="2" t="s">
        <v>1</v>
      </c>
    </row>
    <row r="40" spans="1:33" x14ac:dyDescent="0.2">
      <c r="B40" s="2" t="s">
        <v>364</v>
      </c>
      <c r="D40" s="4">
        <f t="shared" ref="D40:AE40" si="2">STDEV(D6:D33)</f>
        <v>47.227175277122861</v>
      </c>
      <c r="E40" s="4">
        <f t="shared" si="2"/>
        <v>56.469252297391513</v>
      </c>
      <c r="F40" s="4">
        <f t="shared" si="2"/>
        <v>13.651365805654333</v>
      </c>
      <c r="G40" s="4">
        <f t="shared" si="2"/>
        <v>6.5565307318806365</v>
      </c>
      <c r="H40" s="4">
        <f t="shared" si="2"/>
        <v>27.901186184035087</v>
      </c>
      <c r="I40" s="4">
        <f t="shared" si="2"/>
        <v>256.07463156512972</v>
      </c>
      <c r="J40" s="4">
        <f t="shared" si="2"/>
        <v>142.2632024912584</v>
      </c>
      <c r="K40" s="4">
        <f t="shared" si="2"/>
        <v>5.593245170238073</v>
      </c>
      <c r="L40" s="4">
        <f t="shared" si="2"/>
        <v>2.3609561106920234</v>
      </c>
      <c r="M40" s="4">
        <f t="shared" si="2"/>
        <v>187.89040570384523</v>
      </c>
      <c r="N40" s="4">
        <f t="shared" si="2"/>
        <v>70.431769814013606</v>
      </c>
      <c r="O40" s="4">
        <f t="shared" si="2"/>
        <v>14.888474289418197</v>
      </c>
      <c r="P40" s="4">
        <f t="shared" si="2"/>
        <v>69.276908129621646</v>
      </c>
      <c r="Q40" s="4">
        <f t="shared" si="2"/>
        <v>3.2483739522003603</v>
      </c>
      <c r="R40" s="4">
        <f t="shared" si="2"/>
        <v>29.757240015386731</v>
      </c>
      <c r="S40" s="4">
        <f t="shared" si="2"/>
        <v>3130.7655153733108</v>
      </c>
      <c r="T40" s="4">
        <f t="shared" si="2"/>
        <v>114.4505392120366</v>
      </c>
      <c r="U40" s="4">
        <f t="shared" si="2"/>
        <v>204.05362822278653</v>
      </c>
      <c r="V40" s="4">
        <f t="shared" si="2"/>
        <v>1542.5503690400651</v>
      </c>
      <c r="W40" s="4">
        <f t="shared" si="2"/>
        <v>224.48644779176593</v>
      </c>
      <c r="X40" s="4">
        <f t="shared" si="2"/>
        <v>332.92691890763854</v>
      </c>
      <c r="Y40" s="4">
        <f t="shared" si="2"/>
        <v>583.11038230228587</v>
      </c>
      <c r="Z40" s="4">
        <f t="shared" si="2"/>
        <v>3.5085976378911536</v>
      </c>
      <c r="AA40" s="4">
        <f t="shared" si="2"/>
        <v>1261.9838966423522</v>
      </c>
      <c r="AB40" s="4">
        <f t="shared" si="2"/>
        <v>0.20782685100823695</v>
      </c>
      <c r="AC40" s="4">
        <f t="shared" si="2"/>
        <v>65.282121477594345</v>
      </c>
      <c r="AD40" s="4">
        <f t="shared" si="2"/>
        <v>0.23957911813460267</v>
      </c>
      <c r="AE40" s="4">
        <f t="shared" si="2"/>
        <v>108.12804375440187</v>
      </c>
      <c r="AG40" s="2" t="s">
        <v>1</v>
      </c>
    </row>
    <row r="41" spans="1:33" x14ac:dyDescent="0.2">
      <c r="B41" s="2" t="s">
        <v>365</v>
      </c>
      <c r="D41" s="2">
        <f t="shared" ref="D41:AE41" si="3">COUNTA(D6:D33)</f>
        <v>28</v>
      </c>
      <c r="E41" s="2">
        <f t="shared" si="3"/>
        <v>28</v>
      </c>
      <c r="F41" s="2">
        <f t="shared" si="3"/>
        <v>28</v>
      </c>
      <c r="G41" s="2">
        <f t="shared" si="3"/>
        <v>28</v>
      </c>
      <c r="H41" s="2">
        <f t="shared" si="3"/>
        <v>28</v>
      </c>
      <c r="I41" s="2">
        <f t="shared" si="3"/>
        <v>28</v>
      </c>
      <c r="J41" s="2">
        <f t="shared" si="3"/>
        <v>28</v>
      </c>
      <c r="K41" s="2">
        <f t="shared" si="3"/>
        <v>28</v>
      </c>
      <c r="L41" s="2">
        <f t="shared" si="3"/>
        <v>28</v>
      </c>
      <c r="M41" s="2">
        <f t="shared" si="3"/>
        <v>10</v>
      </c>
      <c r="N41" s="2">
        <f t="shared" si="3"/>
        <v>22</v>
      </c>
      <c r="O41" s="2">
        <f t="shared" si="3"/>
        <v>25</v>
      </c>
      <c r="P41" s="2">
        <f t="shared" si="3"/>
        <v>25</v>
      </c>
      <c r="Q41" s="2">
        <f t="shared" si="3"/>
        <v>25</v>
      </c>
      <c r="R41" s="2">
        <f t="shared" si="3"/>
        <v>25</v>
      </c>
      <c r="S41" s="2">
        <f t="shared" si="3"/>
        <v>27</v>
      </c>
      <c r="T41" s="2">
        <f t="shared" si="3"/>
        <v>27</v>
      </c>
      <c r="U41" s="2">
        <f t="shared" si="3"/>
        <v>27</v>
      </c>
      <c r="V41" s="2">
        <f t="shared" si="3"/>
        <v>27</v>
      </c>
      <c r="W41" s="2">
        <f t="shared" si="3"/>
        <v>27</v>
      </c>
      <c r="X41" s="2">
        <f t="shared" si="3"/>
        <v>27</v>
      </c>
      <c r="Y41" s="2">
        <f t="shared" si="3"/>
        <v>27</v>
      </c>
      <c r="Z41" s="2">
        <f t="shared" si="3"/>
        <v>27</v>
      </c>
      <c r="AA41" s="2">
        <f t="shared" si="3"/>
        <v>26</v>
      </c>
      <c r="AB41" s="2">
        <f t="shared" si="3"/>
        <v>26</v>
      </c>
      <c r="AC41" s="2">
        <f t="shared" si="3"/>
        <v>26</v>
      </c>
      <c r="AD41" s="2">
        <f t="shared" si="3"/>
        <v>26</v>
      </c>
      <c r="AE41" s="2">
        <f t="shared" si="3"/>
        <v>26</v>
      </c>
      <c r="AG41" s="2" t="s">
        <v>1</v>
      </c>
    </row>
    <row r="42" spans="1:33" x14ac:dyDescent="0.2">
      <c r="AG42" s="2" t="s">
        <v>1</v>
      </c>
    </row>
    <row r="43" spans="1:33" x14ac:dyDescent="0.2">
      <c r="AG43" s="2" t="s">
        <v>1</v>
      </c>
    </row>
    <row r="44" spans="1:33" x14ac:dyDescent="0.2">
      <c r="AG44" s="2" t="s">
        <v>1</v>
      </c>
    </row>
    <row r="45" spans="1:33" x14ac:dyDescent="0.2">
      <c r="AG45" s="2" t="s">
        <v>1</v>
      </c>
    </row>
    <row r="46" spans="1:33" x14ac:dyDescent="0.2">
      <c r="AG46" s="2" t="s">
        <v>1</v>
      </c>
    </row>
    <row r="47" spans="1:33" x14ac:dyDescent="0.2">
      <c r="AG47" s="2" t="s">
        <v>1</v>
      </c>
    </row>
    <row r="48" spans="1:33" x14ac:dyDescent="0.2">
      <c r="AG48" s="2" t="s">
        <v>1</v>
      </c>
    </row>
    <row r="49" spans="33:33" x14ac:dyDescent="0.2">
      <c r="AG49" s="2" t="s">
        <v>1</v>
      </c>
    </row>
  </sheetData>
  <pageMargins left="0.5" right="0.5" top="0.75" bottom="0.75" header="0.5" footer="0.5"/>
  <pageSetup orientation="portrait" horizontalDpi="0" verticalDpi="0" copies="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44"/>
  <sheetViews>
    <sheetView showOutlineSymbols="0" defaultGridColor="0" topLeftCell="A43" colorId="9" workbookViewId="0">
      <selection activeCell="G51" sqref="G51"/>
    </sheetView>
  </sheetViews>
  <sheetFormatPr defaultColWidth="8.6640625" defaultRowHeight="15" x14ac:dyDescent="0.2"/>
  <cols>
    <col min="1" max="16384" width="8.6640625" style="2"/>
  </cols>
  <sheetData>
    <row r="1" spans="1:34" ht="18" x14ac:dyDescent="0.25">
      <c r="A1" s="18" t="s">
        <v>443</v>
      </c>
      <c r="AD1" s="2" t="s">
        <v>1</v>
      </c>
      <c r="AH1" s="2" t="s">
        <v>444</v>
      </c>
    </row>
    <row r="2" spans="1:34" x14ac:dyDescent="0.2">
      <c r="A2" s="2" t="s">
        <v>445</v>
      </c>
      <c r="AD2" s="2" t="s">
        <v>1</v>
      </c>
    </row>
    <row r="3" spans="1:34" x14ac:dyDescent="0.2">
      <c r="AD3" s="2" t="s">
        <v>1</v>
      </c>
    </row>
    <row r="4" spans="1:34" x14ac:dyDescent="0.2">
      <c r="Y4" s="2" t="s">
        <v>446</v>
      </c>
      <c r="AD4" s="2" t="s">
        <v>1</v>
      </c>
    </row>
    <row r="5" spans="1:34" x14ac:dyDescent="0.2">
      <c r="I5" s="10" t="s">
        <v>447</v>
      </c>
      <c r="AD5" s="2" t="s">
        <v>1</v>
      </c>
    </row>
    <row r="6" spans="1:34" x14ac:dyDescent="0.2">
      <c r="A6" s="12" t="s">
        <v>289</v>
      </c>
      <c r="B6" s="12" t="s">
        <v>367</v>
      </c>
      <c r="C6" s="20" t="s">
        <v>253</v>
      </c>
      <c r="D6" s="8" t="s">
        <v>286</v>
      </c>
      <c r="E6" s="8" t="s">
        <v>287</v>
      </c>
      <c r="F6" s="2" t="s">
        <v>448</v>
      </c>
      <c r="G6" s="2" t="s">
        <v>449</v>
      </c>
      <c r="I6" s="10" t="s">
        <v>368</v>
      </c>
      <c r="J6" s="8" t="s">
        <v>147</v>
      </c>
      <c r="K6" s="10" t="s">
        <v>117</v>
      </c>
      <c r="L6" s="10" t="s">
        <v>118</v>
      </c>
      <c r="M6" s="10" t="s">
        <v>118</v>
      </c>
      <c r="N6" s="10" t="s">
        <v>123</v>
      </c>
      <c r="O6" s="10" t="s">
        <v>134</v>
      </c>
      <c r="P6" s="10" t="s">
        <v>138</v>
      </c>
      <c r="Q6" s="10" t="s">
        <v>136</v>
      </c>
      <c r="R6" s="10" t="s">
        <v>130</v>
      </c>
      <c r="S6" s="10" t="s">
        <v>133</v>
      </c>
      <c r="T6" s="10" t="s">
        <v>127</v>
      </c>
      <c r="U6" s="10" t="s">
        <v>121</v>
      </c>
      <c r="V6" s="10" t="s">
        <v>112</v>
      </c>
      <c r="Y6" s="2" t="s">
        <v>450</v>
      </c>
      <c r="AD6" s="2" t="s">
        <v>1</v>
      </c>
    </row>
    <row r="7" spans="1:34" x14ac:dyDescent="0.2">
      <c r="E7" s="15" t="s">
        <v>291</v>
      </c>
      <c r="F7" s="15" t="s">
        <v>451</v>
      </c>
      <c r="G7" s="2" t="s">
        <v>179</v>
      </c>
      <c r="H7" s="2" t="s">
        <v>180</v>
      </c>
      <c r="I7" s="8" t="s">
        <v>288</v>
      </c>
      <c r="J7" s="8" t="s">
        <v>266</v>
      </c>
      <c r="K7" s="10" t="s">
        <v>144</v>
      </c>
      <c r="L7" s="10" t="s">
        <v>266</v>
      </c>
      <c r="M7" s="10" t="s">
        <v>266</v>
      </c>
      <c r="N7" s="10" t="s">
        <v>266</v>
      </c>
      <c r="O7" s="10" t="s">
        <v>371</v>
      </c>
      <c r="P7" s="10" t="s">
        <v>266</v>
      </c>
      <c r="Q7" s="10" t="s">
        <v>144</v>
      </c>
      <c r="R7" s="10" t="s">
        <v>144</v>
      </c>
      <c r="S7" s="10" t="s">
        <v>144</v>
      </c>
      <c r="T7" s="10" t="s">
        <v>144</v>
      </c>
      <c r="U7" s="10" t="s">
        <v>144</v>
      </c>
      <c r="V7" s="10" t="s">
        <v>144</v>
      </c>
      <c r="AD7" s="2" t="s">
        <v>1</v>
      </c>
    </row>
    <row r="8" spans="1:34" x14ac:dyDescent="0.2">
      <c r="A8" s="2">
        <v>1</v>
      </c>
      <c r="B8" s="2" t="s">
        <v>452</v>
      </c>
      <c r="C8" s="7">
        <f>DATE(89,4,23)</f>
        <v>32621</v>
      </c>
      <c r="D8" s="2">
        <v>1550</v>
      </c>
      <c r="E8" s="2">
        <v>0</v>
      </c>
      <c r="F8" s="2">
        <v>2000</v>
      </c>
      <c r="G8" s="2">
        <v>64</v>
      </c>
      <c r="H8" s="2">
        <v>54.2</v>
      </c>
      <c r="I8" s="2">
        <v>355</v>
      </c>
      <c r="J8" s="2">
        <v>30</v>
      </c>
      <c r="K8" s="2">
        <v>540</v>
      </c>
      <c r="L8" s="2">
        <v>120</v>
      </c>
      <c r="M8" s="2">
        <v>228</v>
      </c>
      <c r="N8" s="2">
        <v>1752</v>
      </c>
      <c r="O8" s="2">
        <v>367</v>
      </c>
      <c r="P8" s="17">
        <v>340</v>
      </c>
      <c r="Q8" s="2">
        <v>463</v>
      </c>
      <c r="R8" s="2">
        <v>286</v>
      </c>
      <c r="S8" s="2">
        <v>50</v>
      </c>
      <c r="T8" s="2">
        <v>21</v>
      </c>
      <c r="U8" s="2">
        <v>226</v>
      </c>
      <c r="V8" s="2">
        <v>165</v>
      </c>
      <c r="Y8" s="12" t="s">
        <v>289</v>
      </c>
      <c r="Z8" s="12" t="s">
        <v>203</v>
      </c>
      <c r="AA8" s="2" t="s">
        <v>448</v>
      </c>
      <c r="AD8" s="2" t="s">
        <v>1</v>
      </c>
    </row>
    <row r="9" spans="1:34" x14ac:dyDescent="0.2">
      <c r="A9" s="2">
        <v>2</v>
      </c>
      <c r="B9" s="2" t="s">
        <v>453</v>
      </c>
      <c r="C9" s="7">
        <f>DATE(89,5,1)</f>
        <v>32629</v>
      </c>
      <c r="D9" s="2">
        <v>1545</v>
      </c>
      <c r="E9" s="2">
        <v>-25.1</v>
      </c>
      <c r="F9" s="2">
        <v>1016</v>
      </c>
      <c r="G9" s="2">
        <v>83</v>
      </c>
      <c r="H9" s="2">
        <v>56.2</v>
      </c>
      <c r="J9" s="2">
        <v>0</v>
      </c>
      <c r="K9" s="2">
        <v>535</v>
      </c>
      <c r="L9" s="2">
        <v>154</v>
      </c>
      <c r="M9" s="2">
        <v>168</v>
      </c>
      <c r="N9" s="2">
        <v>1808</v>
      </c>
      <c r="O9" s="2">
        <v>362</v>
      </c>
      <c r="P9" s="17">
        <v>341</v>
      </c>
      <c r="Q9" s="2">
        <v>467</v>
      </c>
      <c r="R9" s="2">
        <v>279</v>
      </c>
      <c r="S9" s="2">
        <v>49</v>
      </c>
      <c r="U9" s="2">
        <v>220</v>
      </c>
      <c r="V9" s="2">
        <v>162</v>
      </c>
      <c r="AA9" s="15" t="s">
        <v>451</v>
      </c>
      <c r="AD9" s="2" t="s">
        <v>1</v>
      </c>
    </row>
    <row r="10" spans="1:34" x14ac:dyDescent="0.2">
      <c r="A10" s="2">
        <v>3</v>
      </c>
      <c r="B10" s="2" t="s">
        <v>454</v>
      </c>
      <c r="C10" s="7">
        <f>DATE(89,5,1)</f>
        <v>32629</v>
      </c>
      <c r="D10" s="2">
        <v>1559</v>
      </c>
      <c r="F10" s="2">
        <v>3500</v>
      </c>
      <c r="G10" s="2">
        <v>83</v>
      </c>
      <c r="H10" s="2">
        <v>6</v>
      </c>
      <c r="J10" s="2">
        <v>20</v>
      </c>
      <c r="K10" s="2">
        <v>525</v>
      </c>
      <c r="L10" s="2">
        <v>149</v>
      </c>
      <c r="M10" s="2">
        <v>160</v>
      </c>
      <c r="N10" s="2">
        <v>1805</v>
      </c>
      <c r="O10" s="2">
        <v>359</v>
      </c>
      <c r="P10" s="17">
        <v>339</v>
      </c>
      <c r="Q10" s="2">
        <v>466</v>
      </c>
      <c r="R10" s="2">
        <v>284</v>
      </c>
      <c r="S10" s="2">
        <v>50</v>
      </c>
      <c r="T10" s="2">
        <v>29</v>
      </c>
      <c r="U10" s="2">
        <v>221</v>
      </c>
      <c r="V10" s="2">
        <v>139</v>
      </c>
      <c r="AD10" s="2" t="s">
        <v>1</v>
      </c>
    </row>
    <row r="11" spans="1:34" x14ac:dyDescent="0.2">
      <c r="A11" s="2">
        <v>4</v>
      </c>
      <c r="B11" s="2" t="s">
        <v>455</v>
      </c>
      <c r="C11" s="7">
        <f>DATE(89,5,1)</f>
        <v>32629</v>
      </c>
      <c r="D11" s="2">
        <v>1640</v>
      </c>
      <c r="F11" s="2">
        <v>1000</v>
      </c>
      <c r="G11" s="2">
        <v>83</v>
      </c>
      <c r="H11" s="2">
        <v>8.4</v>
      </c>
      <c r="J11" s="2">
        <v>0</v>
      </c>
      <c r="K11" s="2">
        <v>584</v>
      </c>
      <c r="L11" s="2">
        <v>151</v>
      </c>
      <c r="M11" s="2">
        <v>163</v>
      </c>
      <c r="N11" s="2">
        <v>1805</v>
      </c>
      <c r="O11" s="2">
        <v>358</v>
      </c>
      <c r="P11" s="17">
        <v>341.4</v>
      </c>
      <c r="Q11" s="2">
        <v>468</v>
      </c>
      <c r="R11" s="2">
        <v>282</v>
      </c>
      <c r="S11" s="2">
        <v>50</v>
      </c>
      <c r="T11" s="2">
        <v>33</v>
      </c>
      <c r="U11" s="2">
        <v>219</v>
      </c>
      <c r="V11" s="2">
        <v>149</v>
      </c>
      <c r="Y11" s="2">
        <v>1</v>
      </c>
      <c r="Z11" s="2" t="s">
        <v>456</v>
      </c>
      <c r="AA11" s="2">
        <v>2000</v>
      </c>
      <c r="AD11" s="2" t="s">
        <v>1</v>
      </c>
    </row>
    <row r="12" spans="1:34" x14ac:dyDescent="0.2">
      <c r="A12" s="2">
        <v>5</v>
      </c>
      <c r="B12" s="2" t="s">
        <v>457</v>
      </c>
      <c r="C12" s="7">
        <f>DATE(89,5,1)</f>
        <v>32629</v>
      </c>
      <c r="D12" s="2">
        <v>1705</v>
      </c>
      <c r="E12" s="2">
        <v>-24.8</v>
      </c>
      <c r="F12" s="2">
        <v>1000</v>
      </c>
      <c r="G12" s="2">
        <v>84</v>
      </c>
      <c r="H12" s="2">
        <v>14</v>
      </c>
      <c r="J12" s="2">
        <v>0</v>
      </c>
      <c r="K12" s="2">
        <v>525</v>
      </c>
      <c r="L12" s="2">
        <v>151</v>
      </c>
      <c r="M12" s="2">
        <v>168</v>
      </c>
      <c r="N12" s="2">
        <v>1805</v>
      </c>
      <c r="O12" s="2">
        <v>360</v>
      </c>
      <c r="P12" s="17">
        <v>342.3</v>
      </c>
      <c r="Q12" s="2">
        <v>467</v>
      </c>
      <c r="R12" s="2">
        <v>284</v>
      </c>
      <c r="S12" s="2">
        <v>49</v>
      </c>
      <c r="T12" s="2">
        <v>30</v>
      </c>
      <c r="U12" s="2">
        <v>224</v>
      </c>
      <c r="V12" s="2">
        <v>161</v>
      </c>
      <c r="Z12" s="2" t="s">
        <v>458</v>
      </c>
      <c r="AD12" s="2" t="s">
        <v>1</v>
      </c>
    </row>
    <row r="13" spans="1:34" x14ac:dyDescent="0.2">
      <c r="A13" s="2">
        <v>6</v>
      </c>
      <c r="B13" s="2" t="s">
        <v>459</v>
      </c>
      <c r="C13" s="7">
        <f>DATE(89,5,2)</f>
        <v>32630</v>
      </c>
      <c r="D13" s="2">
        <v>1445</v>
      </c>
      <c r="E13" s="2">
        <v>-45</v>
      </c>
      <c r="F13" s="2">
        <v>21000</v>
      </c>
      <c r="G13" s="8" t="s">
        <v>460</v>
      </c>
      <c r="I13" s="8" t="s">
        <v>461</v>
      </c>
      <c r="J13" s="2">
        <v>10</v>
      </c>
      <c r="K13" s="2">
        <v>472</v>
      </c>
      <c r="L13" s="2">
        <v>95</v>
      </c>
      <c r="M13" s="2">
        <v>130</v>
      </c>
      <c r="N13" s="2">
        <v>1742</v>
      </c>
      <c r="O13" s="2">
        <v>354</v>
      </c>
      <c r="P13" s="17">
        <v>340.7</v>
      </c>
      <c r="Q13" s="2">
        <v>424</v>
      </c>
      <c r="R13" s="2">
        <v>268</v>
      </c>
      <c r="S13" s="2">
        <v>76</v>
      </c>
      <c r="T13" s="2">
        <v>42</v>
      </c>
      <c r="U13" s="2">
        <v>234</v>
      </c>
      <c r="V13" s="2">
        <v>161</v>
      </c>
      <c r="Z13" s="2" t="s">
        <v>462</v>
      </c>
      <c r="AD13" s="2" t="s">
        <v>1</v>
      </c>
    </row>
    <row r="14" spans="1:34" x14ac:dyDescent="0.2">
      <c r="A14" s="2">
        <v>7</v>
      </c>
      <c r="B14" s="2" t="s">
        <v>463</v>
      </c>
      <c r="C14" s="7">
        <f>DATE(89,5,2)</f>
        <v>32630</v>
      </c>
      <c r="D14" s="2">
        <v>1525</v>
      </c>
      <c r="E14" s="2">
        <v>-25</v>
      </c>
      <c r="F14" s="2">
        <v>1000</v>
      </c>
      <c r="G14" s="2">
        <v>83</v>
      </c>
      <c r="H14" s="2">
        <v>0.3</v>
      </c>
      <c r="J14" s="2">
        <v>0</v>
      </c>
      <c r="K14" s="2">
        <v>528</v>
      </c>
      <c r="L14" s="2">
        <v>148</v>
      </c>
      <c r="M14" s="2">
        <v>246</v>
      </c>
      <c r="N14" s="2">
        <v>1811</v>
      </c>
      <c r="O14" s="2">
        <v>364</v>
      </c>
      <c r="P14" s="17">
        <v>341.9</v>
      </c>
      <c r="Q14" s="2">
        <v>462</v>
      </c>
      <c r="R14" s="2">
        <v>284</v>
      </c>
      <c r="S14" s="2">
        <v>51</v>
      </c>
      <c r="T14" s="2">
        <v>11</v>
      </c>
      <c r="U14" s="2">
        <v>223</v>
      </c>
      <c r="V14" s="2">
        <v>124</v>
      </c>
      <c r="AD14" s="2" t="s">
        <v>1</v>
      </c>
    </row>
    <row r="15" spans="1:34" x14ac:dyDescent="0.2">
      <c r="A15" s="2">
        <v>8</v>
      </c>
      <c r="B15" s="2" t="s">
        <v>464</v>
      </c>
      <c r="C15" s="7">
        <f>DATE(89,5,2)</f>
        <v>32630</v>
      </c>
      <c r="D15" s="2">
        <v>1722</v>
      </c>
      <c r="E15" s="2">
        <v>-21.5</v>
      </c>
      <c r="F15" s="2">
        <v>4600</v>
      </c>
      <c r="G15" s="2">
        <v>81</v>
      </c>
      <c r="H15" s="2">
        <v>48.9</v>
      </c>
      <c r="J15" s="2">
        <v>10</v>
      </c>
      <c r="K15" s="2">
        <v>536</v>
      </c>
      <c r="L15" s="2">
        <v>142</v>
      </c>
      <c r="M15" s="2">
        <v>151</v>
      </c>
      <c r="N15" s="2">
        <v>1792</v>
      </c>
      <c r="O15" s="2">
        <v>361</v>
      </c>
      <c r="P15" s="17">
        <v>340.1</v>
      </c>
      <c r="Q15" s="2">
        <v>468</v>
      </c>
      <c r="R15" s="2">
        <v>287</v>
      </c>
      <c r="S15" s="2">
        <v>50</v>
      </c>
      <c r="T15" s="2">
        <v>24</v>
      </c>
      <c r="U15" s="2">
        <v>223</v>
      </c>
      <c r="V15" s="2">
        <v>168</v>
      </c>
      <c r="Y15" s="2">
        <v>2</v>
      </c>
      <c r="Z15" s="2" t="s">
        <v>465</v>
      </c>
      <c r="AA15" s="2">
        <v>1016</v>
      </c>
      <c r="AD15" s="2" t="s">
        <v>1</v>
      </c>
    </row>
    <row r="16" spans="1:34" x14ac:dyDescent="0.2">
      <c r="A16" s="2">
        <v>9</v>
      </c>
      <c r="B16" s="2" t="s">
        <v>466</v>
      </c>
      <c r="C16" s="7">
        <f>DATE(89,5,3)</f>
        <v>32631</v>
      </c>
      <c r="D16" s="2">
        <v>1625</v>
      </c>
      <c r="E16" s="2">
        <v>-24.3</v>
      </c>
      <c r="F16" s="2">
        <v>1000</v>
      </c>
      <c r="G16" s="2">
        <v>83</v>
      </c>
      <c r="H16" s="2">
        <v>14.9</v>
      </c>
      <c r="I16" s="2">
        <v>190</v>
      </c>
      <c r="J16" s="2">
        <v>0</v>
      </c>
      <c r="K16" s="2">
        <v>500</v>
      </c>
      <c r="L16" s="2">
        <v>154</v>
      </c>
      <c r="M16" s="2">
        <v>169</v>
      </c>
      <c r="N16" s="2">
        <v>1808</v>
      </c>
      <c r="O16" s="2">
        <v>363</v>
      </c>
      <c r="P16" s="17">
        <v>344.1</v>
      </c>
      <c r="Q16" s="2">
        <v>473</v>
      </c>
      <c r="R16" s="2">
        <v>285</v>
      </c>
      <c r="S16" s="2">
        <v>51</v>
      </c>
      <c r="T16" s="2">
        <v>29</v>
      </c>
      <c r="U16" s="2">
        <v>222</v>
      </c>
      <c r="V16" s="2">
        <v>165</v>
      </c>
      <c r="AD16" s="2" t="s">
        <v>1</v>
      </c>
    </row>
    <row r="17" spans="1:30" x14ac:dyDescent="0.2">
      <c r="A17" s="2">
        <v>10</v>
      </c>
      <c r="B17" s="2" t="s">
        <v>467</v>
      </c>
      <c r="C17" s="7">
        <f>DATE(89,5,3)</f>
        <v>32631</v>
      </c>
      <c r="D17" s="2">
        <v>1645</v>
      </c>
      <c r="E17" s="2">
        <v>-15.2</v>
      </c>
      <c r="F17" s="2">
        <v>3339</v>
      </c>
      <c r="G17" s="2">
        <v>82</v>
      </c>
      <c r="H17" s="2">
        <v>10.5</v>
      </c>
      <c r="I17" s="2">
        <v>281</v>
      </c>
      <c r="J17" s="2">
        <v>30</v>
      </c>
      <c r="K17" s="2">
        <v>598</v>
      </c>
      <c r="L17" s="2">
        <v>145</v>
      </c>
      <c r="M17" s="2">
        <v>150</v>
      </c>
      <c r="N17" s="2">
        <v>1792</v>
      </c>
      <c r="O17" s="2">
        <v>360</v>
      </c>
      <c r="P17" s="17">
        <v>342.1</v>
      </c>
      <c r="Q17" s="2">
        <v>464</v>
      </c>
      <c r="R17" s="2">
        <v>282</v>
      </c>
      <c r="S17" s="2">
        <v>51</v>
      </c>
      <c r="U17" s="2">
        <v>225</v>
      </c>
      <c r="V17" s="2">
        <v>161</v>
      </c>
      <c r="AD17" s="2" t="s">
        <v>1</v>
      </c>
    </row>
    <row r="18" spans="1:30" x14ac:dyDescent="0.2">
      <c r="A18" s="2">
        <v>11</v>
      </c>
      <c r="B18" s="2" t="s">
        <v>468</v>
      </c>
      <c r="C18" s="7">
        <f>DATE(89,5,3)</f>
        <v>32631</v>
      </c>
      <c r="D18" s="2">
        <v>1700</v>
      </c>
      <c r="F18" s="2">
        <v>500</v>
      </c>
      <c r="G18" s="2" t="s">
        <v>182</v>
      </c>
      <c r="K18" s="2">
        <v>528</v>
      </c>
      <c r="L18" s="2">
        <v>135</v>
      </c>
      <c r="M18" s="2">
        <v>155</v>
      </c>
      <c r="N18" s="2">
        <v>1787</v>
      </c>
      <c r="O18" s="2">
        <v>363</v>
      </c>
      <c r="P18" s="17">
        <v>343.1</v>
      </c>
      <c r="Q18" s="2">
        <v>469</v>
      </c>
      <c r="R18" s="2">
        <v>279</v>
      </c>
      <c r="S18" s="2">
        <v>49</v>
      </c>
      <c r="T18" s="2">
        <v>24</v>
      </c>
      <c r="U18" s="2">
        <v>220</v>
      </c>
      <c r="V18" s="2">
        <v>151</v>
      </c>
      <c r="Y18" s="2">
        <v>3</v>
      </c>
      <c r="Z18" s="2" t="s">
        <v>465</v>
      </c>
      <c r="AA18" s="8" t="s">
        <v>469</v>
      </c>
      <c r="AD18" s="2" t="s">
        <v>1</v>
      </c>
    </row>
    <row r="19" spans="1:30" x14ac:dyDescent="0.2">
      <c r="A19" s="2">
        <v>12</v>
      </c>
      <c r="B19" s="2" t="s">
        <v>470</v>
      </c>
      <c r="C19" s="7">
        <f>DATE(89,5,5)</f>
        <v>32633</v>
      </c>
      <c r="D19" s="2">
        <v>1859</v>
      </c>
      <c r="E19" s="2">
        <v>-12.4</v>
      </c>
      <c r="F19" s="2">
        <v>1168</v>
      </c>
      <c r="G19" s="2">
        <v>82</v>
      </c>
      <c r="H19" s="2">
        <v>44.5</v>
      </c>
      <c r="I19" s="2">
        <v>155</v>
      </c>
      <c r="J19" s="2">
        <v>32</v>
      </c>
      <c r="K19" s="2">
        <v>524</v>
      </c>
      <c r="L19" s="2">
        <v>134</v>
      </c>
      <c r="M19" s="2">
        <v>144</v>
      </c>
      <c r="N19" s="2">
        <v>1792</v>
      </c>
      <c r="O19" s="2">
        <v>357</v>
      </c>
      <c r="P19" s="17">
        <v>341.8</v>
      </c>
      <c r="Q19" s="2">
        <v>467</v>
      </c>
      <c r="R19" s="2">
        <v>283</v>
      </c>
      <c r="S19" s="2">
        <v>52</v>
      </c>
      <c r="T19" s="2">
        <v>30</v>
      </c>
      <c r="U19" s="2">
        <v>221</v>
      </c>
      <c r="V19" s="2">
        <v>161</v>
      </c>
      <c r="AA19" s="2">
        <v>1000</v>
      </c>
      <c r="AD19" s="2" t="s">
        <v>1</v>
      </c>
    </row>
    <row r="20" spans="1:30" x14ac:dyDescent="0.2">
      <c r="A20" s="2">
        <v>13</v>
      </c>
      <c r="B20" s="2" t="s">
        <v>471</v>
      </c>
      <c r="C20" s="7">
        <f>DATE(89,5,5)</f>
        <v>32633</v>
      </c>
      <c r="D20" s="2">
        <v>1942</v>
      </c>
      <c r="E20" s="2">
        <v>-10.9</v>
      </c>
      <c r="F20" s="2">
        <v>980</v>
      </c>
      <c r="G20" s="2">
        <v>83</v>
      </c>
      <c r="H20" s="2">
        <v>40.299999999999997</v>
      </c>
      <c r="I20" s="2">
        <v>168</v>
      </c>
      <c r="J20" s="2">
        <v>22</v>
      </c>
      <c r="K20" s="2">
        <v>521</v>
      </c>
      <c r="L20" s="2">
        <v>128</v>
      </c>
      <c r="M20" s="2">
        <v>143</v>
      </c>
      <c r="N20" s="2">
        <v>1784</v>
      </c>
      <c r="O20" s="2">
        <v>356</v>
      </c>
      <c r="P20" s="17">
        <v>343.2</v>
      </c>
      <c r="Q20" s="2">
        <v>467</v>
      </c>
      <c r="R20" s="2">
        <v>283</v>
      </c>
      <c r="S20" s="2">
        <v>53</v>
      </c>
      <c r="T20" s="2">
        <v>24</v>
      </c>
      <c r="U20" s="2">
        <v>221</v>
      </c>
      <c r="V20" s="2">
        <v>162</v>
      </c>
      <c r="AA20" s="2">
        <v>6000</v>
      </c>
      <c r="AD20" s="2" t="s">
        <v>1</v>
      </c>
    </row>
    <row r="21" spans="1:30" x14ac:dyDescent="0.2">
      <c r="A21" s="2">
        <v>14</v>
      </c>
      <c r="B21" s="2" t="s">
        <v>472</v>
      </c>
      <c r="C21" s="7">
        <f>DATE(89,5,5)</f>
        <v>32633</v>
      </c>
      <c r="D21" s="2">
        <v>1959</v>
      </c>
      <c r="E21" s="2">
        <v>-12.1</v>
      </c>
      <c r="F21" s="2">
        <v>1000</v>
      </c>
      <c r="G21" s="2">
        <v>82</v>
      </c>
      <c r="H21" s="2">
        <v>32.200000000000003</v>
      </c>
      <c r="I21" s="2">
        <v>121</v>
      </c>
      <c r="J21" s="2">
        <v>30</v>
      </c>
      <c r="K21" s="2">
        <v>505</v>
      </c>
      <c r="L21" s="2">
        <v>143</v>
      </c>
      <c r="M21" s="2">
        <v>159</v>
      </c>
      <c r="N21" s="2">
        <v>1791</v>
      </c>
      <c r="O21" s="4">
        <v>358</v>
      </c>
      <c r="P21" s="2">
        <v>342.2</v>
      </c>
      <c r="Q21" s="2">
        <v>468</v>
      </c>
      <c r="R21" s="2">
        <v>283</v>
      </c>
      <c r="S21" s="2">
        <v>50</v>
      </c>
      <c r="T21" s="2">
        <v>26</v>
      </c>
      <c r="U21" s="2">
        <v>218</v>
      </c>
      <c r="V21" s="2">
        <v>158</v>
      </c>
      <c r="AD21" s="2" t="s">
        <v>1</v>
      </c>
    </row>
    <row r="22" spans="1:30" x14ac:dyDescent="0.2">
      <c r="A22" s="2">
        <v>15</v>
      </c>
      <c r="B22" s="2" t="s">
        <v>473</v>
      </c>
      <c r="C22" s="7">
        <f>DATE(89,5,5)</f>
        <v>32633</v>
      </c>
      <c r="E22" s="2">
        <v>-10.1</v>
      </c>
      <c r="F22" s="2">
        <v>1500</v>
      </c>
      <c r="G22" s="2">
        <v>84</v>
      </c>
      <c r="H22" s="2">
        <v>33</v>
      </c>
      <c r="I22" s="2">
        <v>98</v>
      </c>
      <c r="J22" s="2">
        <v>24</v>
      </c>
      <c r="K22" s="2">
        <v>524</v>
      </c>
      <c r="L22" s="2">
        <v>129</v>
      </c>
      <c r="M22" s="2">
        <v>140</v>
      </c>
      <c r="N22" s="2">
        <v>1788</v>
      </c>
      <c r="O22" s="2">
        <v>362</v>
      </c>
      <c r="P22" s="17">
        <v>341.4</v>
      </c>
      <c r="Q22" s="2">
        <v>467</v>
      </c>
      <c r="R22" s="2">
        <v>284</v>
      </c>
      <c r="S22" s="2">
        <v>23</v>
      </c>
      <c r="U22" s="2">
        <v>219</v>
      </c>
      <c r="V22" s="2">
        <v>163</v>
      </c>
      <c r="Y22" s="2">
        <v>4</v>
      </c>
      <c r="Z22" s="2" t="s">
        <v>465</v>
      </c>
      <c r="AA22" s="2">
        <v>1000</v>
      </c>
      <c r="AD22" s="2" t="s">
        <v>1</v>
      </c>
    </row>
    <row r="23" spans="1:30" x14ac:dyDescent="0.2">
      <c r="A23" s="2">
        <v>16</v>
      </c>
      <c r="B23" s="2" t="s">
        <v>474</v>
      </c>
      <c r="C23" s="7">
        <f>DATE(89,5,10)</f>
        <v>32638</v>
      </c>
      <c r="D23" s="2">
        <v>1447</v>
      </c>
      <c r="E23" s="2">
        <v>-16.100000000000001</v>
      </c>
      <c r="F23" s="2">
        <v>1000</v>
      </c>
      <c r="G23" s="2">
        <v>82</v>
      </c>
      <c r="H23" s="2">
        <v>44.4</v>
      </c>
      <c r="I23" s="2">
        <v>349</v>
      </c>
      <c r="J23" s="2">
        <v>0</v>
      </c>
      <c r="K23" s="2">
        <v>538</v>
      </c>
      <c r="L23" s="2">
        <v>152</v>
      </c>
      <c r="M23" s="2">
        <v>161</v>
      </c>
      <c r="N23" s="2">
        <v>1796</v>
      </c>
      <c r="O23" s="2">
        <v>354</v>
      </c>
      <c r="P23" s="17">
        <v>340.5</v>
      </c>
      <c r="Q23" s="2">
        <v>473</v>
      </c>
      <c r="R23" s="2">
        <v>285</v>
      </c>
      <c r="S23" s="2">
        <v>50</v>
      </c>
      <c r="T23" s="2">
        <v>24</v>
      </c>
      <c r="U23" s="2">
        <v>225</v>
      </c>
      <c r="V23" s="2">
        <v>164</v>
      </c>
      <c r="AD23" s="2" t="s">
        <v>1</v>
      </c>
    </row>
    <row r="24" spans="1:30" x14ac:dyDescent="0.2">
      <c r="A24" s="2">
        <v>17</v>
      </c>
      <c r="B24" s="2" t="s">
        <v>475</v>
      </c>
      <c r="C24" s="7">
        <f>DATE(89,5,10)</f>
        <v>32638</v>
      </c>
      <c r="D24" s="2">
        <v>1515</v>
      </c>
      <c r="E24" s="2">
        <v>-16.100000000000001</v>
      </c>
      <c r="F24" s="2">
        <v>1000</v>
      </c>
      <c r="G24" s="2">
        <v>83</v>
      </c>
      <c r="H24" s="2">
        <v>20.100000000000001</v>
      </c>
      <c r="I24" s="2">
        <v>353</v>
      </c>
      <c r="J24" s="2">
        <v>0</v>
      </c>
      <c r="K24" s="2">
        <v>559</v>
      </c>
      <c r="L24" s="2">
        <v>140</v>
      </c>
      <c r="M24" s="2">
        <v>148</v>
      </c>
      <c r="N24" s="2">
        <v>1796</v>
      </c>
      <c r="O24" s="2">
        <v>358</v>
      </c>
      <c r="P24" s="17">
        <v>342.9</v>
      </c>
      <c r="Q24" s="2">
        <v>471</v>
      </c>
      <c r="R24" s="2">
        <v>285</v>
      </c>
      <c r="S24" s="2">
        <v>50</v>
      </c>
      <c r="T24" s="2">
        <v>26</v>
      </c>
      <c r="U24" s="2">
        <v>225</v>
      </c>
      <c r="V24" s="2">
        <v>161</v>
      </c>
      <c r="AD24" s="2" t="s">
        <v>1</v>
      </c>
    </row>
    <row r="25" spans="1:30" x14ac:dyDescent="0.2">
      <c r="A25" s="2">
        <v>18</v>
      </c>
      <c r="B25" s="2" t="s">
        <v>468</v>
      </c>
      <c r="C25" s="7">
        <f>DATE(89,5,10)</f>
        <v>32638</v>
      </c>
      <c r="D25" s="2">
        <v>1636</v>
      </c>
      <c r="E25" s="2">
        <v>-15.8</v>
      </c>
      <c r="F25" s="2">
        <v>1000</v>
      </c>
      <c r="G25" s="2">
        <v>84</v>
      </c>
      <c r="H25" s="2">
        <v>12</v>
      </c>
      <c r="I25" s="2">
        <v>266</v>
      </c>
      <c r="J25" s="2">
        <v>20</v>
      </c>
      <c r="K25" s="2">
        <v>592</v>
      </c>
      <c r="L25" s="2">
        <v>150</v>
      </c>
      <c r="M25" s="2">
        <v>140</v>
      </c>
      <c r="N25" s="2">
        <v>1793</v>
      </c>
      <c r="O25" s="2">
        <v>357</v>
      </c>
      <c r="P25" s="17">
        <v>343.9</v>
      </c>
      <c r="Q25" s="2">
        <v>474</v>
      </c>
      <c r="R25" s="2">
        <v>286</v>
      </c>
      <c r="S25" s="2">
        <v>51</v>
      </c>
      <c r="T25" s="2">
        <v>21</v>
      </c>
      <c r="U25" s="2">
        <v>226</v>
      </c>
      <c r="V25" s="2">
        <v>156</v>
      </c>
      <c r="Y25" s="2">
        <v>5</v>
      </c>
      <c r="Z25" s="2" t="s">
        <v>465</v>
      </c>
      <c r="AA25" s="2">
        <v>1000</v>
      </c>
      <c r="AD25" s="2" t="s">
        <v>1</v>
      </c>
    </row>
    <row r="26" spans="1:30" x14ac:dyDescent="0.2">
      <c r="A26" s="2">
        <v>19</v>
      </c>
      <c r="B26" s="2" t="s">
        <v>476</v>
      </c>
      <c r="C26" s="7">
        <f>DATE(89,5,10)</f>
        <v>32638</v>
      </c>
      <c r="D26" s="2">
        <v>1918</v>
      </c>
      <c r="E26" s="2">
        <v>-16.8</v>
      </c>
      <c r="F26" s="2">
        <v>1000</v>
      </c>
      <c r="G26" s="2">
        <v>83</v>
      </c>
      <c r="H26" s="2">
        <v>33.5</v>
      </c>
      <c r="I26" s="2">
        <v>356</v>
      </c>
      <c r="J26" s="2">
        <v>0</v>
      </c>
      <c r="K26" s="2">
        <v>534</v>
      </c>
      <c r="L26" s="2">
        <v>140</v>
      </c>
      <c r="M26" s="2">
        <v>150</v>
      </c>
      <c r="N26" s="2">
        <v>1796</v>
      </c>
      <c r="O26" s="2">
        <v>358</v>
      </c>
      <c r="P26" s="17">
        <v>341.2</v>
      </c>
      <c r="Q26" s="2">
        <v>474</v>
      </c>
      <c r="R26" s="2">
        <v>286</v>
      </c>
      <c r="S26" s="2">
        <v>51</v>
      </c>
      <c r="T26" s="2">
        <v>22</v>
      </c>
      <c r="U26" s="2">
        <v>228</v>
      </c>
      <c r="V26" s="2">
        <v>154</v>
      </c>
      <c r="AD26" s="2" t="s">
        <v>1</v>
      </c>
    </row>
    <row r="27" spans="1:30" x14ac:dyDescent="0.2">
      <c r="A27" s="2">
        <v>20</v>
      </c>
      <c r="B27" s="2" t="s">
        <v>477</v>
      </c>
      <c r="C27" s="7">
        <f>DATE(89,5,11)</f>
        <v>32639</v>
      </c>
      <c r="D27" s="2">
        <v>1326</v>
      </c>
      <c r="E27" s="2">
        <v>-34</v>
      </c>
      <c r="F27" s="2">
        <v>16500</v>
      </c>
      <c r="G27" s="2">
        <v>81</v>
      </c>
      <c r="H27" s="2">
        <v>3.1</v>
      </c>
      <c r="I27" s="2">
        <v>263</v>
      </c>
      <c r="J27" s="2">
        <v>18</v>
      </c>
      <c r="K27" s="2">
        <v>540</v>
      </c>
      <c r="L27" s="2">
        <v>132</v>
      </c>
      <c r="M27" s="2">
        <v>139</v>
      </c>
      <c r="N27" s="2">
        <v>1758</v>
      </c>
      <c r="O27" s="2">
        <v>353</v>
      </c>
      <c r="P27" s="17">
        <v>343.9</v>
      </c>
      <c r="Q27" s="2">
        <v>472</v>
      </c>
      <c r="R27" s="2">
        <v>277</v>
      </c>
      <c r="S27" s="2">
        <v>52</v>
      </c>
      <c r="U27" s="2">
        <v>221</v>
      </c>
      <c r="V27" s="2">
        <v>161</v>
      </c>
      <c r="AD27" s="2" t="s">
        <v>1</v>
      </c>
    </row>
    <row r="28" spans="1:30" x14ac:dyDescent="0.2">
      <c r="A28" s="2">
        <v>21</v>
      </c>
      <c r="B28" s="2" t="s">
        <v>478</v>
      </c>
      <c r="C28" s="7">
        <f>DATE(89,5,11)</f>
        <v>32639</v>
      </c>
      <c r="D28" s="2">
        <v>1327</v>
      </c>
      <c r="E28" s="2">
        <v>-21</v>
      </c>
      <c r="F28" s="2">
        <v>9000</v>
      </c>
      <c r="G28" s="2">
        <v>81</v>
      </c>
      <c r="H28" s="2">
        <v>27.2</v>
      </c>
      <c r="I28" s="2">
        <v>162</v>
      </c>
      <c r="J28" s="2">
        <v>22</v>
      </c>
      <c r="K28" s="2">
        <v>521</v>
      </c>
      <c r="L28" s="2">
        <v>130</v>
      </c>
      <c r="M28" s="2">
        <v>144</v>
      </c>
      <c r="N28" s="2">
        <v>1783</v>
      </c>
      <c r="O28" s="2">
        <v>356</v>
      </c>
      <c r="P28" s="17">
        <v>343.8</v>
      </c>
      <c r="Q28" s="2">
        <v>476</v>
      </c>
      <c r="R28" s="2">
        <v>286</v>
      </c>
      <c r="S28" s="2">
        <v>51</v>
      </c>
      <c r="T28" s="2">
        <v>24</v>
      </c>
      <c r="U28" s="2">
        <v>227</v>
      </c>
      <c r="V28" s="2">
        <v>154</v>
      </c>
      <c r="Y28" s="2">
        <v>6</v>
      </c>
      <c r="Z28" s="2" t="s">
        <v>479</v>
      </c>
      <c r="AA28" s="2">
        <v>22120</v>
      </c>
      <c r="AD28" s="2" t="s">
        <v>1</v>
      </c>
    </row>
    <row r="29" spans="1:30" x14ac:dyDescent="0.2">
      <c r="A29" s="2">
        <v>22</v>
      </c>
      <c r="B29" s="2" t="s">
        <v>480</v>
      </c>
      <c r="C29" s="7">
        <f>DATE(89,5,11)</f>
        <v>32639</v>
      </c>
      <c r="D29" s="2">
        <v>1332</v>
      </c>
      <c r="E29" s="2">
        <v>-17</v>
      </c>
      <c r="F29" s="2">
        <v>1600</v>
      </c>
      <c r="G29" s="2">
        <v>81</v>
      </c>
      <c r="H29" s="2">
        <v>37.1</v>
      </c>
      <c r="I29" s="2">
        <v>108</v>
      </c>
      <c r="J29" s="2">
        <v>0</v>
      </c>
      <c r="K29" s="2">
        <v>516</v>
      </c>
      <c r="L29" s="2">
        <v>148</v>
      </c>
      <c r="M29" s="2">
        <v>157</v>
      </c>
      <c r="N29" s="2">
        <v>1800</v>
      </c>
      <c r="O29" s="2">
        <v>356</v>
      </c>
      <c r="P29" s="17">
        <v>342.2</v>
      </c>
      <c r="Q29" s="2">
        <v>469</v>
      </c>
      <c r="R29" s="2">
        <v>285</v>
      </c>
      <c r="S29" s="2">
        <v>50</v>
      </c>
      <c r="T29" s="2">
        <v>26</v>
      </c>
      <c r="U29" s="2">
        <v>223</v>
      </c>
      <c r="V29" s="2">
        <v>163</v>
      </c>
      <c r="Z29" s="2" t="s">
        <v>481</v>
      </c>
      <c r="AD29" s="2" t="s">
        <v>1</v>
      </c>
    </row>
    <row r="30" spans="1:30" x14ac:dyDescent="0.2">
      <c r="A30" s="2">
        <v>23</v>
      </c>
      <c r="B30" s="2" t="s">
        <v>482</v>
      </c>
      <c r="C30" s="7">
        <f>DATE(89,5,11)</f>
        <v>32639</v>
      </c>
      <c r="D30" s="2">
        <v>1429</v>
      </c>
      <c r="E30" s="2">
        <v>-10.4</v>
      </c>
      <c r="F30" s="2">
        <v>961</v>
      </c>
      <c r="G30" s="2">
        <v>84</v>
      </c>
      <c r="H30" s="2">
        <v>24</v>
      </c>
      <c r="I30" s="2">
        <v>59</v>
      </c>
      <c r="J30" s="2">
        <v>22</v>
      </c>
      <c r="K30" s="2">
        <v>511</v>
      </c>
      <c r="L30" s="2">
        <v>149</v>
      </c>
      <c r="M30" s="2">
        <v>124</v>
      </c>
      <c r="N30" s="2">
        <v>1796</v>
      </c>
      <c r="O30" s="2">
        <v>352</v>
      </c>
      <c r="P30" s="17">
        <v>339.5</v>
      </c>
      <c r="Q30" s="2">
        <v>460</v>
      </c>
      <c r="R30" s="2">
        <v>287</v>
      </c>
      <c r="S30" s="2">
        <v>50</v>
      </c>
      <c r="T30" s="2">
        <v>27</v>
      </c>
      <c r="U30" s="2">
        <v>222</v>
      </c>
      <c r="V30" s="2">
        <v>164</v>
      </c>
      <c r="Z30" s="2" t="s">
        <v>483</v>
      </c>
      <c r="AD30" s="2" t="s">
        <v>1</v>
      </c>
    </row>
    <row r="31" spans="1:30" x14ac:dyDescent="0.2">
      <c r="A31" s="2">
        <v>24</v>
      </c>
      <c r="B31" s="2" t="s">
        <v>484</v>
      </c>
      <c r="C31" s="7">
        <f t="shared" ref="C31:C39" si="0">DATE(89,5,12)</f>
        <v>32640</v>
      </c>
      <c r="D31" s="2">
        <v>1420</v>
      </c>
      <c r="E31" s="2">
        <v>-16.5</v>
      </c>
      <c r="F31" s="2">
        <v>6000</v>
      </c>
      <c r="G31" s="2">
        <v>81</v>
      </c>
      <c r="H31" s="2">
        <v>33.700000000000003</v>
      </c>
      <c r="I31" s="2">
        <v>138</v>
      </c>
      <c r="J31" s="2">
        <v>30</v>
      </c>
      <c r="K31" s="2">
        <v>545</v>
      </c>
      <c r="L31" s="2">
        <v>125</v>
      </c>
      <c r="M31" s="2">
        <v>135</v>
      </c>
      <c r="N31" s="2">
        <v>1795</v>
      </c>
      <c r="O31" s="2">
        <v>356</v>
      </c>
      <c r="P31" s="17">
        <v>341</v>
      </c>
      <c r="Q31" s="2">
        <v>476</v>
      </c>
      <c r="R31" s="2">
        <v>288</v>
      </c>
      <c r="S31" s="2">
        <v>50</v>
      </c>
      <c r="T31" s="2">
        <v>24</v>
      </c>
      <c r="U31" s="2">
        <v>224</v>
      </c>
      <c r="V31" s="2">
        <v>163</v>
      </c>
      <c r="Z31" s="2" t="s">
        <v>485</v>
      </c>
      <c r="AD31" s="2" t="s">
        <v>1</v>
      </c>
    </row>
    <row r="32" spans="1:30" x14ac:dyDescent="0.2">
      <c r="A32" s="2">
        <v>25</v>
      </c>
      <c r="B32" s="2" t="s">
        <v>486</v>
      </c>
      <c r="C32" s="7">
        <f t="shared" si="0"/>
        <v>32640</v>
      </c>
      <c r="D32" s="2">
        <v>1425</v>
      </c>
      <c r="E32" s="2">
        <v>-14.9</v>
      </c>
      <c r="F32" s="2">
        <v>2000</v>
      </c>
      <c r="G32" s="2">
        <v>81</v>
      </c>
      <c r="H32" s="2">
        <v>44.9</v>
      </c>
      <c r="I32" s="2">
        <v>123</v>
      </c>
      <c r="J32" s="2">
        <v>8</v>
      </c>
      <c r="K32" s="2">
        <v>533</v>
      </c>
      <c r="L32" s="2">
        <v>137</v>
      </c>
      <c r="M32" s="2">
        <v>145</v>
      </c>
      <c r="N32" s="2">
        <v>1798</v>
      </c>
      <c r="O32" s="2">
        <v>360</v>
      </c>
      <c r="P32" s="17">
        <v>340.5</v>
      </c>
      <c r="Q32" s="2">
        <v>469</v>
      </c>
      <c r="R32" s="2">
        <v>286</v>
      </c>
      <c r="S32" s="2">
        <v>51</v>
      </c>
      <c r="T32" s="2">
        <v>28</v>
      </c>
      <c r="U32" s="2">
        <v>227</v>
      </c>
      <c r="V32" s="2">
        <v>165</v>
      </c>
      <c r="Z32" s="2" t="s">
        <v>487</v>
      </c>
      <c r="AD32" s="2" t="s">
        <v>1</v>
      </c>
    </row>
    <row r="33" spans="1:30" x14ac:dyDescent="0.2">
      <c r="A33" s="2">
        <v>26</v>
      </c>
      <c r="B33" s="2" t="s">
        <v>488</v>
      </c>
      <c r="C33" s="7">
        <f t="shared" si="0"/>
        <v>32640</v>
      </c>
      <c r="D33" s="2">
        <v>1505</v>
      </c>
      <c r="E33" s="2">
        <v>-12.1</v>
      </c>
      <c r="F33" s="2">
        <v>1000</v>
      </c>
      <c r="G33" s="2">
        <v>84</v>
      </c>
      <c r="H33" s="2">
        <v>9.5</v>
      </c>
      <c r="I33" s="2">
        <v>88</v>
      </c>
      <c r="J33" s="2">
        <v>0</v>
      </c>
      <c r="K33" s="2">
        <v>507</v>
      </c>
      <c r="L33" s="2">
        <v>140</v>
      </c>
      <c r="M33" s="2">
        <v>144</v>
      </c>
      <c r="N33" s="2">
        <v>1805</v>
      </c>
      <c r="O33" s="2">
        <v>358</v>
      </c>
      <c r="P33" s="17">
        <v>339.9</v>
      </c>
      <c r="Q33" s="2">
        <v>479</v>
      </c>
      <c r="R33" s="2">
        <v>286</v>
      </c>
      <c r="S33" s="2">
        <v>51</v>
      </c>
      <c r="T33" s="2">
        <v>21</v>
      </c>
      <c r="U33" s="2">
        <v>223</v>
      </c>
      <c r="V33" s="2">
        <v>165</v>
      </c>
      <c r="AD33" s="2" t="s">
        <v>1</v>
      </c>
    </row>
    <row r="34" spans="1:30" x14ac:dyDescent="0.2">
      <c r="A34" s="2">
        <v>27</v>
      </c>
      <c r="B34" s="2" t="s">
        <v>489</v>
      </c>
      <c r="C34" s="7">
        <f t="shared" si="0"/>
        <v>32640</v>
      </c>
      <c r="D34" s="2">
        <v>1526</v>
      </c>
      <c r="E34" s="2">
        <v>-11.9</v>
      </c>
      <c r="F34" s="2">
        <v>1000</v>
      </c>
      <c r="G34" s="2">
        <v>83</v>
      </c>
      <c r="H34" s="2">
        <v>45.1</v>
      </c>
      <c r="I34" s="2">
        <v>63</v>
      </c>
      <c r="J34" s="2">
        <v>0</v>
      </c>
      <c r="K34" s="2">
        <v>518</v>
      </c>
      <c r="L34" s="2">
        <v>134</v>
      </c>
      <c r="M34" s="2">
        <v>140</v>
      </c>
      <c r="N34" s="2">
        <v>1802</v>
      </c>
      <c r="O34" s="2">
        <v>355</v>
      </c>
      <c r="P34" s="17">
        <v>343.3</v>
      </c>
      <c r="Q34" s="2">
        <v>470</v>
      </c>
      <c r="R34" s="2">
        <v>287</v>
      </c>
      <c r="S34" s="2">
        <v>50</v>
      </c>
      <c r="T34" s="2">
        <v>27</v>
      </c>
      <c r="U34" s="2">
        <v>225</v>
      </c>
      <c r="V34" s="2">
        <v>164</v>
      </c>
      <c r="Y34" s="2">
        <v>7</v>
      </c>
      <c r="Z34" s="2" t="s">
        <v>456</v>
      </c>
      <c r="AA34" s="2">
        <v>1000</v>
      </c>
      <c r="AD34" s="2" t="s">
        <v>1</v>
      </c>
    </row>
    <row r="35" spans="1:30" x14ac:dyDescent="0.2">
      <c r="A35" s="2">
        <v>28</v>
      </c>
      <c r="B35" s="2" t="s">
        <v>490</v>
      </c>
      <c r="C35" s="7">
        <f t="shared" si="0"/>
        <v>32640</v>
      </c>
      <c r="D35" s="2">
        <v>1900</v>
      </c>
      <c r="E35" s="2">
        <v>-15.7</v>
      </c>
      <c r="F35" s="2">
        <v>2500</v>
      </c>
      <c r="G35" s="2">
        <v>82</v>
      </c>
      <c r="H35" s="2">
        <v>28.4</v>
      </c>
      <c r="I35" s="2">
        <v>316</v>
      </c>
      <c r="J35" s="2">
        <v>10</v>
      </c>
      <c r="K35" s="2">
        <v>504</v>
      </c>
      <c r="L35" s="2">
        <v>135</v>
      </c>
      <c r="M35" s="2">
        <v>155</v>
      </c>
      <c r="N35" s="2">
        <v>1796</v>
      </c>
      <c r="O35" s="2">
        <v>360</v>
      </c>
      <c r="P35" s="17">
        <v>344.2</v>
      </c>
      <c r="Q35" s="2">
        <v>455</v>
      </c>
      <c r="R35" s="2">
        <v>285</v>
      </c>
      <c r="S35" s="2">
        <v>50</v>
      </c>
      <c r="T35" s="2">
        <v>24</v>
      </c>
      <c r="U35" s="2">
        <v>225</v>
      </c>
      <c r="V35" s="2">
        <v>151</v>
      </c>
      <c r="Z35" s="2" t="s">
        <v>491</v>
      </c>
      <c r="AD35" s="2" t="s">
        <v>1</v>
      </c>
    </row>
    <row r="36" spans="1:30" x14ac:dyDescent="0.2">
      <c r="A36" s="2">
        <v>29</v>
      </c>
      <c r="B36" s="2" t="s">
        <v>389</v>
      </c>
      <c r="C36" s="7">
        <f t="shared" si="0"/>
        <v>32640</v>
      </c>
      <c r="D36" s="2">
        <v>2005</v>
      </c>
      <c r="E36" s="2">
        <v>-13.6</v>
      </c>
      <c r="F36" s="2">
        <v>1000</v>
      </c>
      <c r="G36" s="2">
        <v>84</v>
      </c>
      <c r="H36" s="2">
        <v>36.5</v>
      </c>
      <c r="I36" s="2">
        <v>97</v>
      </c>
      <c r="J36" s="2">
        <v>0</v>
      </c>
      <c r="K36" s="2">
        <v>536</v>
      </c>
      <c r="L36" s="2">
        <v>135</v>
      </c>
      <c r="M36" s="2">
        <v>143</v>
      </c>
      <c r="N36" s="2">
        <v>1794</v>
      </c>
      <c r="O36" s="2">
        <v>359</v>
      </c>
      <c r="P36" s="17">
        <v>346.5</v>
      </c>
      <c r="Q36" s="2">
        <v>458</v>
      </c>
      <c r="R36" s="2">
        <v>285</v>
      </c>
      <c r="S36" s="2">
        <v>51</v>
      </c>
      <c r="T36" s="2">
        <v>23</v>
      </c>
      <c r="U36" s="2">
        <v>224</v>
      </c>
      <c r="V36" s="2">
        <v>163</v>
      </c>
      <c r="Z36" s="2" t="s">
        <v>492</v>
      </c>
      <c r="AD36" s="2" t="s">
        <v>1</v>
      </c>
    </row>
    <row r="37" spans="1:30" x14ac:dyDescent="0.2">
      <c r="A37" s="2">
        <v>30</v>
      </c>
      <c r="B37" s="2" t="s">
        <v>493</v>
      </c>
      <c r="C37" s="7">
        <f t="shared" si="0"/>
        <v>32640</v>
      </c>
      <c r="D37" s="2">
        <v>2043</v>
      </c>
      <c r="E37" s="2">
        <v>-15.7</v>
      </c>
      <c r="F37" s="2">
        <v>1000</v>
      </c>
      <c r="G37" s="2">
        <v>82</v>
      </c>
      <c r="H37" s="2">
        <v>7.8</v>
      </c>
      <c r="I37" s="2">
        <v>103</v>
      </c>
      <c r="J37" s="2">
        <v>4</v>
      </c>
      <c r="K37" s="2">
        <v>524</v>
      </c>
      <c r="L37" s="2">
        <v>134</v>
      </c>
      <c r="M37" s="2">
        <v>142</v>
      </c>
      <c r="N37" s="2">
        <v>1799</v>
      </c>
      <c r="O37" s="2">
        <v>357</v>
      </c>
      <c r="P37" s="17">
        <v>342.9</v>
      </c>
      <c r="Q37" s="2">
        <v>457</v>
      </c>
      <c r="R37" s="2">
        <v>284</v>
      </c>
      <c r="S37" s="2">
        <v>50</v>
      </c>
      <c r="T37" s="2">
        <v>23</v>
      </c>
      <c r="U37" s="2">
        <v>224</v>
      </c>
      <c r="V37" s="2">
        <v>160</v>
      </c>
      <c r="Z37" s="2" t="s">
        <v>494</v>
      </c>
      <c r="AD37" s="2" t="s">
        <v>1</v>
      </c>
    </row>
    <row r="38" spans="1:30" x14ac:dyDescent="0.2">
      <c r="A38" s="2">
        <v>31</v>
      </c>
      <c r="B38" s="2" t="s">
        <v>495</v>
      </c>
      <c r="C38" s="7">
        <f t="shared" si="0"/>
        <v>32640</v>
      </c>
      <c r="D38" s="2">
        <v>2122</v>
      </c>
      <c r="E38" s="2">
        <v>-9.8000000000000007</v>
      </c>
      <c r="F38" s="2">
        <v>1000</v>
      </c>
      <c r="G38" s="2">
        <v>80</v>
      </c>
      <c r="H38" s="2">
        <v>44.3</v>
      </c>
      <c r="I38" s="2">
        <v>32</v>
      </c>
      <c r="J38" s="2">
        <v>20</v>
      </c>
      <c r="K38" s="2">
        <v>534</v>
      </c>
      <c r="L38" s="2">
        <v>140</v>
      </c>
      <c r="M38" s="2">
        <v>147</v>
      </c>
      <c r="N38" s="2">
        <v>1799</v>
      </c>
      <c r="O38" s="2">
        <v>359</v>
      </c>
      <c r="P38" s="17">
        <v>339.2</v>
      </c>
      <c r="Q38" s="2">
        <v>468</v>
      </c>
      <c r="R38" s="2">
        <v>284</v>
      </c>
      <c r="S38" s="2">
        <v>50</v>
      </c>
      <c r="T38" s="2">
        <v>25</v>
      </c>
      <c r="U38" s="2">
        <v>220</v>
      </c>
      <c r="V38" s="2">
        <v>156</v>
      </c>
      <c r="AD38" s="2" t="s">
        <v>1</v>
      </c>
    </row>
    <row r="39" spans="1:30" x14ac:dyDescent="0.2">
      <c r="A39" s="2">
        <v>32</v>
      </c>
      <c r="B39" s="2" t="s">
        <v>496</v>
      </c>
      <c r="C39" s="7">
        <f t="shared" si="0"/>
        <v>32640</v>
      </c>
      <c r="D39" s="2">
        <v>2145</v>
      </c>
      <c r="E39" s="2">
        <v>-16.399999999999999</v>
      </c>
      <c r="F39" s="2">
        <v>1000</v>
      </c>
      <c r="G39" s="2">
        <v>79</v>
      </c>
      <c r="H39" s="2">
        <v>10</v>
      </c>
      <c r="I39" s="2">
        <v>350</v>
      </c>
      <c r="J39" s="2">
        <v>12</v>
      </c>
      <c r="K39" s="2">
        <v>519</v>
      </c>
      <c r="L39" s="2">
        <v>137</v>
      </c>
      <c r="M39" s="2">
        <v>151</v>
      </c>
      <c r="N39" s="2">
        <v>1793</v>
      </c>
      <c r="O39" s="2">
        <v>358</v>
      </c>
      <c r="P39" s="17">
        <v>339.5</v>
      </c>
      <c r="Q39" s="2">
        <v>472</v>
      </c>
      <c r="R39" s="2">
        <v>285</v>
      </c>
      <c r="S39" s="2">
        <v>50</v>
      </c>
      <c r="T39" s="2">
        <v>25</v>
      </c>
      <c r="U39" s="2">
        <v>225</v>
      </c>
      <c r="V39" s="2">
        <v>154</v>
      </c>
      <c r="Y39" s="2">
        <v>8</v>
      </c>
      <c r="Z39" s="2" t="s">
        <v>479</v>
      </c>
      <c r="AA39" s="2">
        <v>4600</v>
      </c>
      <c r="AD39" s="2" t="s">
        <v>1</v>
      </c>
    </row>
    <row r="40" spans="1:30" x14ac:dyDescent="0.2">
      <c r="A40" s="2">
        <v>33</v>
      </c>
      <c r="B40" s="2" t="s">
        <v>497</v>
      </c>
      <c r="C40" s="7">
        <f t="shared" ref="C40:C46" si="1">DATE(89,5,13)</f>
        <v>32641</v>
      </c>
      <c r="D40" s="2">
        <v>1345</v>
      </c>
      <c r="E40" s="2">
        <v>-43.1</v>
      </c>
      <c r="F40" s="2">
        <v>22500</v>
      </c>
      <c r="G40" s="2">
        <v>80</v>
      </c>
      <c r="H40" s="2">
        <v>6.4</v>
      </c>
      <c r="I40" s="2">
        <v>109</v>
      </c>
      <c r="J40" s="2">
        <v>0</v>
      </c>
      <c r="K40" s="2">
        <v>521</v>
      </c>
      <c r="L40" s="2">
        <v>181</v>
      </c>
      <c r="M40" s="2">
        <v>189</v>
      </c>
      <c r="N40" s="2">
        <v>1769</v>
      </c>
      <c r="O40" s="2">
        <v>360</v>
      </c>
      <c r="R40" s="2">
        <v>280</v>
      </c>
      <c r="S40" s="2">
        <v>76</v>
      </c>
      <c r="T40" s="2">
        <v>20</v>
      </c>
      <c r="U40" s="2">
        <v>219</v>
      </c>
      <c r="V40" s="2">
        <v>161</v>
      </c>
      <c r="Z40" s="2" t="s">
        <v>498</v>
      </c>
      <c r="AD40" s="2" t="s">
        <v>1</v>
      </c>
    </row>
    <row r="41" spans="1:30" x14ac:dyDescent="0.2">
      <c r="A41" s="2">
        <v>34</v>
      </c>
      <c r="B41" s="2" t="s">
        <v>499</v>
      </c>
      <c r="C41" s="7">
        <f t="shared" si="1"/>
        <v>32641</v>
      </c>
      <c r="D41" s="2">
        <v>1429</v>
      </c>
      <c r="E41" s="2">
        <v>-18.100000000000001</v>
      </c>
      <c r="F41" s="2">
        <v>1000</v>
      </c>
      <c r="G41" s="2">
        <v>82</v>
      </c>
      <c r="H41" s="2">
        <v>27.8</v>
      </c>
      <c r="I41" s="2">
        <v>88</v>
      </c>
      <c r="J41" s="2">
        <v>0</v>
      </c>
      <c r="K41" s="2">
        <v>532</v>
      </c>
      <c r="L41" s="2">
        <v>134</v>
      </c>
      <c r="M41" s="2">
        <v>146</v>
      </c>
      <c r="N41" s="2">
        <v>1795</v>
      </c>
      <c r="O41" s="2">
        <v>356</v>
      </c>
      <c r="P41" s="17">
        <v>343.2</v>
      </c>
      <c r="Q41" s="2">
        <v>467</v>
      </c>
      <c r="R41" s="2">
        <v>285</v>
      </c>
      <c r="S41" s="2">
        <v>51</v>
      </c>
      <c r="T41" s="2">
        <v>27</v>
      </c>
      <c r="U41" s="2">
        <v>223</v>
      </c>
      <c r="V41" s="2">
        <v>160</v>
      </c>
      <c r="AD41" s="2" t="s">
        <v>1</v>
      </c>
    </row>
    <row r="42" spans="1:30" x14ac:dyDescent="0.2">
      <c r="A42" s="2">
        <v>35</v>
      </c>
      <c r="B42" s="2" t="s">
        <v>500</v>
      </c>
      <c r="C42" s="7">
        <f t="shared" si="1"/>
        <v>32641</v>
      </c>
      <c r="D42" s="2">
        <v>1453</v>
      </c>
      <c r="E42" s="2">
        <v>-15.1</v>
      </c>
      <c r="F42" s="2">
        <v>1000</v>
      </c>
      <c r="G42" s="2">
        <v>83</v>
      </c>
      <c r="H42" s="2">
        <v>56.5</v>
      </c>
      <c r="I42" s="2">
        <v>127</v>
      </c>
      <c r="J42" s="2">
        <v>24</v>
      </c>
      <c r="K42" s="2">
        <v>528</v>
      </c>
      <c r="L42" s="2">
        <v>135</v>
      </c>
      <c r="M42" s="2">
        <v>144</v>
      </c>
      <c r="N42" s="2">
        <v>1792</v>
      </c>
      <c r="O42" s="2">
        <v>357</v>
      </c>
      <c r="P42" s="17">
        <v>343.1</v>
      </c>
      <c r="Q42" s="2">
        <v>466</v>
      </c>
      <c r="R42" s="2">
        <v>284</v>
      </c>
      <c r="S42" s="2">
        <v>50</v>
      </c>
      <c r="T42" s="2">
        <v>24</v>
      </c>
      <c r="U42" s="2">
        <v>222</v>
      </c>
      <c r="V42" s="2">
        <v>163</v>
      </c>
      <c r="Y42" s="2">
        <v>9</v>
      </c>
      <c r="Z42" s="2" t="s">
        <v>501</v>
      </c>
      <c r="AA42" s="2">
        <v>1000</v>
      </c>
      <c r="AD42" s="2" t="s">
        <v>1</v>
      </c>
    </row>
    <row r="43" spans="1:30" x14ac:dyDescent="0.2">
      <c r="A43" s="2">
        <v>36</v>
      </c>
      <c r="B43" s="2" t="s">
        <v>502</v>
      </c>
      <c r="C43" s="7">
        <f t="shared" si="1"/>
        <v>32641</v>
      </c>
      <c r="D43" s="2">
        <v>1529</v>
      </c>
      <c r="E43" s="2">
        <v>-15.8</v>
      </c>
      <c r="F43" s="2">
        <v>1200</v>
      </c>
      <c r="G43" s="2">
        <v>82</v>
      </c>
      <c r="H43" s="2">
        <v>53.6</v>
      </c>
      <c r="I43" s="2">
        <v>120</v>
      </c>
      <c r="J43" s="2">
        <v>0</v>
      </c>
      <c r="K43" s="2">
        <v>546</v>
      </c>
      <c r="L43" s="2">
        <v>162</v>
      </c>
      <c r="M43" s="2">
        <v>172</v>
      </c>
      <c r="N43" s="2">
        <v>1804</v>
      </c>
      <c r="O43" s="2">
        <v>357</v>
      </c>
      <c r="P43" s="17">
        <v>346.5</v>
      </c>
      <c r="Q43" s="2">
        <v>465</v>
      </c>
      <c r="R43" s="2">
        <v>282</v>
      </c>
      <c r="S43" s="2">
        <v>49</v>
      </c>
      <c r="U43" s="2">
        <v>224</v>
      </c>
      <c r="V43" s="2">
        <v>158</v>
      </c>
      <c r="Z43" s="2" t="s">
        <v>491</v>
      </c>
      <c r="AD43" s="2" t="s">
        <v>1</v>
      </c>
    </row>
    <row r="44" spans="1:30" x14ac:dyDescent="0.2">
      <c r="A44" s="2">
        <v>37</v>
      </c>
      <c r="B44" s="2" t="s">
        <v>503</v>
      </c>
      <c r="C44" s="7">
        <f t="shared" si="1"/>
        <v>32641</v>
      </c>
      <c r="D44" s="2">
        <v>1541</v>
      </c>
      <c r="E44" s="2">
        <v>-12.9</v>
      </c>
      <c r="F44" s="2">
        <v>3000</v>
      </c>
      <c r="G44" s="2">
        <v>81</v>
      </c>
      <c r="H44" s="2">
        <v>48.1</v>
      </c>
      <c r="I44" s="2">
        <v>69</v>
      </c>
      <c r="J44" s="2">
        <v>32</v>
      </c>
      <c r="K44" s="2">
        <v>519</v>
      </c>
      <c r="L44" s="2">
        <v>128</v>
      </c>
      <c r="M44" s="2">
        <v>135</v>
      </c>
      <c r="N44" s="2">
        <v>1792</v>
      </c>
      <c r="O44" s="2">
        <v>357</v>
      </c>
      <c r="P44" s="17">
        <v>343.4</v>
      </c>
      <c r="Q44" s="2">
        <v>468</v>
      </c>
      <c r="R44" s="2">
        <v>286</v>
      </c>
      <c r="S44" s="2">
        <v>51</v>
      </c>
      <c r="T44" s="2">
        <v>23</v>
      </c>
      <c r="U44" s="2">
        <v>221</v>
      </c>
      <c r="V44" s="2">
        <v>163</v>
      </c>
      <c r="Z44" s="2" t="s">
        <v>504</v>
      </c>
      <c r="AD44" s="2" t="s">
        <v>1</v>
      </c>
    </row>
    <row r="45" spans="1:30" x14ac:dyDescent="0.2">
      <c r="A45" s="2">
        <v>38</v>
      </c>
      <c r="B45" s="2" t="s">
        <v>505</v>
      </c>
      <c r="C45" s="7">
        <f t="shared" si="1"/>
        <v>32641</v>
      </c>
      <c r="D45" s="2">
        <v>1819</v>
      </c>
      <c r="E45" s="2">
        <v>-13</v>
      </c>
      <c r="F45" s="2">
        <v>6000</v>
      </c>
      <c r="G45" s="2">
        <v>82</v>
      </c>
      <c r="H45" s="2">
        <v>27.1</v>
      </c>
      <c r="I45" s="2">
        <v>97</v>
      </c>
      <c r="J45" s="2">
        <v>28</v>
      </c>
      <c r="K45" s="2">
        <v>538</v>
      </c>
      <c r="L45" s="2">
        <v>121</v>
      </c>
      <c r="M45" s="2">
        <v>127</v>
      </c>
      <c r="N45" s="2">
        <v>1777</v>
      </c>
      <c r="O45" s="2">
        <v>358</v>
      </c>
      <c r="P45" s="17">
        <v>343.6</v>
      </c>
      <c r="Q45" s="2">
        <v>461</v>
      </c>
      <c r="R45" s="2">
        <v>284</v>
      </c>
      <c r="S45" s="2">
        <v>49</v>
      </c>
      <c r="T45" s="2">
        <v>22</v>
      </c>
      <c r="U45" s="2">
        <v>223</v>
      </c>
      <c r="V45" s="2">
        <v>159</v>
      </c>
      <c r="Z45" s="2" t="s">
        <v>506</v>
      </c>
      <c r="AD45" s="2" t="s">
        <v>1</v>
      </c>
    </row>
    <row r="46" spans="1:30" x14ac:dyDescent="0.2">
      <c r="A46" s="2">
        <v>39</v>
      </c>
      <c r="B46" s="2" t="s">
        <v>507</v>
      </c>
      <c r="C46" s="7">
        <f t="shared" si="1"/>
        <v>32641</v>
      </c>
      <c r="D46" s="2">
        <v>1820</v>
      </c>
      <c r="E46" s="2">
        <v>-16</v>
      </c>
      <c r="F46" s="2">
        <v>9000</v>
      </c>
      <c r="G46" s="2">
        <v>82</v>
      </c>
      <c r="H46" s="2">
        <v>22.9</v>
      </c>
      <c r="I46" s="2">
        <v>147</v>
      </c>
      <c r="J46" s="2">
        <v>20</v>
      </c>
      <c r="K46" s="2">
        <v>538</v>
      </c>
      <c r="L46" s="2">
        <v>151</v>
      </c>
      <c r="M46" s="2">
        <v>159</v>
      </c>
      <c r="N46" s="2">
        <v>1786</v>
      </c>
      <c r="O46" s="2">
        <v>355</v>
      </c>
      <c r="P46" s="17">
        <v>347.3</v>
      </c>
      <c r="Q46" s="2">
        <v>468</v>
      </c>
      <c r="R46" s="2">
        <v>294</v>
      </c>
      <c r="S46" s="2">
        <v>51</v>
      </c>
      <c r="U46" s="2">
        <v>238</v>
      </c>
      <c r="V46" s="2">
        <v>146</v>
      </c>
    </row>
    <row r="47" spans="1:30" x14ac:dyDescent="0.2">
      <c r="Y47" s="2">
        <v>10</v>
      </c>
      <c r="Z47" s="2" t="s">
        <v>501</v>
      </c>
      <c r="AA47" s="2">
        <v>3339</v>
      </c>
    </row>
    <row r="48" spans="1:30" x14ac:dyDescent="0.2">
      <c r="J48" s="8" t="s">
        <v>147</v>
      </c>
      <c r="K48" s="10" t="s">
        <v>117</v>
      </c>
      <c r="L48" s="10" t="s">
        <v>118</v>
      </c>
      <c r="M48" s="10" t="s">
        <v>118</v>
      </c>
      <c r="N48" s="10" t="s">
        <v>123</v>
      </c>
      <c r="O48" s="10" t="s">
        <v>134</v>
      </c>
      <c r="P48" s="10" t="s">
        <v>138</v>
      </c>
      <c r="Q48" s="10" t="s">
        <v>136</v>
      </c>
      <c r="R48" s="10" t="s">
        <v>130</v>
      </c>
      <c r="S48" s="10" t="s">
        <v>133</v>
      </c>
      <c r="T48" s="10" t="s">
        <v>127</v>
      </c>
      <c r="U48" s="10" t="s">
        <v>121</v>
      </c>
      <c r="V48" s="10" t="s">
        <v>112</v>
      </c>
      <c r="Z48" s="2" t="s">
        <v>458</v>
      </c>
    </row>
    <row r="50" spans="3:27" x14ac:dyDescent="0.2">
      <c r="C50" s="7">
        <f>AVERAGE(C8:C46)</f>
        <v>32636.076923076922</v>
      </c>
      <c r="G50" s="4">
        <f>AVERAGE(G8:G46)</f>
        <v>81.729729729729726</v>
      </c>
      <c r="H50" s="4">
        <f>AVERAGE(H8:H46)</f>
        <v>28.848648648648652</v>
      </c>
      <c r="J50" s="4">
        <f t="shared" ref="J50:V50" si="2">AVERAGE(J8:J46)</f>
        <v>12.578947368421053</v>
      </c>
      <c r="K50" s="4">
        <f t="shared" si="2"/>
        <v>530.71794871794873</v>
      </c>
      <c r="L50" s="4">
        <f t="shared" si="2"/>
        <v>139.69230769230768</v>
      </c>
      <c r="M50" s="4">
        <f t="shared" si="2"/>
        <v>154.12820512820514</v>
      </c>
      <c r="N50" s="4">
        <f t="shared" si="2"/>
        <v>1791.6923076923076</v>
      </c>
      <c r="O50" s="4">
        <f t="shared" si="2"/>
        <v>358.20512820512823</v>
      </c>
      <c r="P50" s="4">
        <f t="shared" si="2"/>
        <v>342.27105263157887</v>
      </c>
      <c r="Q50" s="4">
        <f t="shared" si="2"/>
        <v>466.5263157894737</v>
      </c>
      <c r="R50" s="4">
        <f t="shared" si="2"/>
        <v>283.97435897435895</v>
      </c>
      <c r="S50" s="4">
        <f t="shared" si="2"/>
        <v>51</v>
      </c>
      <c r="T50" s="4">
        <f t="shared" si="2"/>
        <v>25.121212121212121</v>
      </c>
      <c r="U50" s="4">
        <f t="shared" si="2"/>
        <v>223.58974358974359</v>
      </c>
      <c r="V50" s="4">
        <f t="shared" si="2"/>
        <v>158.41025641025641</v>
      </c>
    </row>
    <row r="51" spans="3:27" x14ac:dyDescent="0.2">
      <c r="G51" s="4"/>
      <c r="H51" s="4"/>
      <c r="J51" s="4">
        <f t="shared" ref="J51:V51" si="3">STDEV(J8:J46)</f>
        <v>12.160262219228592</v>
      </c>
      <c r="K51" s="4">
        <f t="shared" si="3"/>
        <v>23.32262140853215</v>
      </c>
      <c r="L51" s="4">
        <f t="shared" si="3"/>
        <v>13.892735409774129</v>
      </c>
      <c r="M51" s="4">
        <f t="shared" si="3"/>
        <v>23.585432041588611</v>
      </c>
      <c r="N51" s="4">
        <f t="shared" si="3"/>
        <v>14.800700278869895</v>
      </c>
      <c r="O51" s="4">
        <f t="shared" si="3"/>
        <v>3.1050001032247385</v>
      </c>
      <c r="P51" s="4">
        <f t="shared" si="3"/>
        <v>2.0119787080084572</v>
      </c>
      <c r="Q51" s="4">
        <f t="shared" si="3"/>
        <v>8.8156397940627578</v>
      </c>
      <c r="R51" s="4">
        <f t="shared" si="3"/>
        <v>3.8558716639430473</v>
      </c>
      <c r="S51" s="4">
        <f t="shared" si="3"/>
        <v>7.3913178085757085</v>
      </c>
      <c r="T51" s="4">
        <f t="shared" si="3"/>
        <v>4.8910477900802096</v>
      </c>
      <c r="U51" s="4">
        <f t="shared" si="3"/>
        <v>3.8369255010938987</v>
      </c>
      <c r="V51" s="4">
        <f t="shared" si="3"/>
        <v>8.187660641149515</v>
      </c>
      <c r="Y51" s="2">
        <v>11</v>
      </c>
      <c r="Z51" s="2" t="s">
        <v>479</v>
      </c>
      <c r="AA51" s="2">
        <v>500</v>
      </c>
    </row>
    <row r="52" spans="3:27" x14ac:dyDescent="0.2">
      <c r="G52" s="4"/>
      <c r="H52" s="4"/>
      <c r="J52" s="4">
        <f t="shared" ref="J52:V52" si="4">COUNTA(J8:J46)</f>
        <v>38</v>
      </c>
      <c r="K52" s="4">
        <f t="shared" si="4"/>
        <v>39</v>
      </c>
      <c r="L52" s="4">
        <f t="shared" si="4"/>
        <v>39</v>
      </c>
      <c r="M52" s="4">
        <f t="shared" si="4"/>
        <v>39</v>
      </c>
      <c r="N52" s="4">
        <f t="shared" si="4"/>
        <v>39</v>
      </c>
      <c r="O52" s="4">
        <f t="shared" si="4"/>
        <v>39</v>
      </c>
      <c r="P52" s="4">
        <f t="shared" si="4"/>
        <v>38</v>
      </c>
      <c r="Q52" s="4">
        <f t="shared" si="4"/>
        <v>38</v>
      </c>
      <c r="R52" s="4">
        <f t="shared" si="4"/>
        <v>39</v>
      </c>
      <c r="S52" s="4">
        <f t="shared" si="4"/>
        <v>39</v>
      </c>
      <c r="T52" s="4">
        <f t="shared" si="4"/>
        <v>33</v>
      </c>
      <c r="U52" s="4">
        <f t="shared" si="4"/>
        <v>39</v>
      </c>
      <c r="V52" s="4">
        <f t="shared" si="4"/>
        <v>39</v>
      </c>
      <c r="Z52" s="2" t="s">
        <v>498</v>
      </c>
      <c r="AA52" s="2">
        <v>1000</v>
      </c>
    </row>
    <row r="53" spans="3:27" x14ac:dyDescent="0.2">
      <c r="AA53" s="8" t="s">
        <v>508</v>
      </c>
    </row>
    <row r="55" spans="3:27" x14ac:dyDescent="0.2">
      <c r="Y55" s="2">
        <v>12</v>
      </c>
      <c r="Z55" s="2" t="s">
        <v>465</v>
      </c>
      <c r="AA55" s="2">
        <v>1168</v>
      </c>
    </row>
    <row r="58" spans="3:27" x14ac:dyDescent="0.2">
      <c r="Y58" s="2">
        <v>13</v>
      </c>
      <c r="Z58" s="2" t="s">
        <v>465</v>
      </c>
      <c r="AA58" s="2">
        <v>980</v>
      </c>
    </row>
    <row r="61" spans="3:27" x14ac:dyDescent="0.2">
      <c r="Y61" s="2">
        <v>14</v>
      </c>
      <c r="Z61" s="2" t="s">
        <v>465</v>
      </c>
      <c r="AA61" s="2">
        <v>1000</v>
      </c>
    </row>
    <row r="64" spans="3:27" x14ac:dyDescent="0.2">
      <c r="Y64" s="2">
        <v>15</v>
      </c>
      <c r="Z64" s="2" t="s">
        <v>465</v>
      </c>
      <c r="AA64" s="2">
        <v>1500</v>
      </c>
    </row>
    <row r="67" spans="25:27" x14ac:dyDescent="0.2">
      <c r="Y67" s="2">
        <v>16</v>
      </c>
      <c r="Z67" s="2" t="s">
        <v>456</v>
      </c>
      <c r="AA67" s="2">
        <v>1000</v>
      </c>
    </row>
    <row r="68" spans="25:27" x14ac:dyDescent="0.2">
      <c r="Z68" s="2" t="s">
        <v>458</v>
      </c>
    </row>
    <row r="70" spans="25:27" x14ac:dyDescent="0.2">
      <c r="Y70" s="2">
        <v>17</v>
      </c>
      <c r="Z70" s="15" t="s">
        <v>509</v>
      </c>
      <c r="AA70" s="2">
        <v>1000</v>
      </c>
    </row>
    <row r="73" spans="25:27" x14ac:dyDescent="0.2">
      <c r="Y73" s="2">
        <v>18</v>
      </c>
      <c r="Z73" s="15" t="s">
        <v>509</v>
      </c>
      <c r="AA73" s="2">
        <v>1000</v>
      </c>
    </row>
    <row r="77" spans="25:27" x14ac:dyDescent="0.2">
      <c r="Y77" s="2">
        <v>19</v>
      </c>
      <c r="Z77" s="15" t="s">
        <v>509</v>
      </c>
      <c r="AA77" s="2">
        <v>1000</v>
      </c>
    </row>
    <row r="80" spans="25:27" x14ac:dyDescent="0.2">
      <c r="Y80" s="2">
        <v>20</v>
      </c>
      <c r="Z80" s="2" t="s">
        <v>510</v>
      </c>
      <c r="AA80" s="8" t="s">
        <v>511</v>
      </c>
    </row>
    <row r="81" spans="25:27" x14ac:dyDescent="0.2">
      <c r="AA81" s="2">
        <v>18000</v>
      </c>
    </row>
    <row r="82" spans="25:27" x14ac:dyDescent="0.2">
      <c r="AA82" s="2">
        <v>15000</v>
      </c>
    </row>
    <row r="84" spans="25:27" x14ac:dyDescent="0.2">
      <c r="Y84" s="2">
        <v>21</v>
      </c>
      <c r="Z84" s="15" t="s">
        <v>509</v>
      </c>
      <c r="AA84" s="8" t="s">
        <v>511</v>
      </c>
    </row>
    <row r="85" spans="25:27" x14ac:dyDescent="0.2">
      <c r="AA85" s="2">
        <v>10000</v>
      </c>
    </row>
    <row r="86" spans="25:27" x14ac:dyDescent="0.2">
      <c r="AA86" s="2">
        <v>8000</v>
      </c>
    </row>
    <row r="88" spans="25:27" x14ac:dyDescent="0.2">
      <c r="Y88" s="2">
        <v>22</v>
      </c>
      <c r="Z88" s="15" t="s">
        <v>509</v>
      </c>
      <c r="AA88" s="8" t="s">
        <v>511</v>
      </c>
    </row>
    <row r="89" spans="25:27" x14ac:dyDescent="0.2">
      <c r="AA89" s="2">
        <v>2500</v>
      </c>
    </row>
    <row r="90" spans="25:27" x14ac:dyDescent="0.2">
      <c r="AA90" s="2">
        <v>800</v>
      </c>
    </row>
    <row r="92" spans="25:27" x14ac:dyDescent="0.2">
      <c r="Y92" s="2">
        <v>23</v>
      </c>
      <c r="Z92" s="2" t="s">
        <v>510</v>
      </c>
      <c r="AA92" s="2">
        <v>961</v>
      </c>
    </row>
    <row r="95" spans="25:27" x14ac:dyDescent="0.2">
      <c r="Y95" s="2">
        <v>24</v>
      </c>
      <c r="Z95" s="2" t="s">
        <v>512</v>
      </c>
      <c r="AA95" s="8" t="s">
        <v>511</v>
      </c>
    </row>
    <row r="96" spans="25:27" x14ac:dyDescent="0.2">
      <c r="Z96" s="2" t="s">
        <v>513</v>
      </c>
      <c r="AA96" s="2">
        <v>7000</v>
      </c>
    </row>
    <row r="97" spans="25:27" x14ac:dyDescent="0.2">
      <c r="AA97" s="2">
        <v>5000</v>
      </c>
    </row>
    <row r="98" spans="25:27" x14ac:dyDescent="0.2">
      <c r="Y98" s="2">
        <v>25</v>
      </c>
      <c r="Z98" s="15" t="s">
        <v>509</v>
      </c>
      <c r="AA98" s="2">
        <v>2000</v>
      </c>
    </row>
    <row r="101" spans="25:27" x14ac:dyDescent="0.2">
      <c r="Y101" s="2">
        <v>26</v>
      </c>
      <c r="Z101" s="15" t="s">
        <v>509</v>
      </c>
      <c r="AA101" s="2">
        <v>1000</v>
      </c>
    </row>
    <row r="104" spans="25:27" x14ac:dyDescent="0.2">
      <c r="Y104" s="2">
        <v>27</v>
      </c>
      <c r="Z104" s="15" t="s">
        <v>509</v>
      </c>
      <c r="AA104" s="2">
        <v>1000</v>
      </c>
    </row>
    <row r="107" spans="25:27" x14ac:dyDescent="0.2">
      <c r="Y107" s="2">
        <v>28</v>
      </c>
      <c r="Z107" s="15" t="s">
        <v>509</v>
      </c>
      <c r="AA107" s="2">
        <v>2500</v>
      </c>
    </row>
    <row r="108" spans="25:27" x14ac:dyDescent="0.2">
      <c r="AA108" s="2">
        <v>1000</v>
      </c>
    </row>
    <row r="110" spans="25:27" x14ac:dyDescent="0.2">
      <c r="Y110" s="2">
        <v>29</v>
      </c>
      <c r="Z110" s="15" t="s">
        <v>509</v>
      </c>
      <c r="AA110" s="2">
        <v>1000</v>
      </c>
    </row>
    <row r="113" spans="25:27" x14ac:dyDescent="0.2">
      <c r="Y113" s="2">
        <v>30</v>
      </c>
      <c r="Z113" s="15" t="s">
        <v>509</v>
      </c>
      <c r="AA113" s="2">
        <v>1000</v>
      </c>
    </row>
    <row r="114" spans="25:27" x14ac:dyDescent="0.2">
      <c r="AA114" s="2">
        <v>2500</v>
      </c>
    </row>
    <row r="116" spans="25:27" x14ac:dyDescent="0.2">
      <c r="Y116" s="2">
        <v>31</v>
      </c>
      <c r="Z116" s="15" t="s">
        <v>509</v>
      </c>
      <c r="AA116" s="2">
        <v>1000</v>
      </c>
    </row>
    <row r="117" spans="25:27" x14ac:dyDescent="0.2">
      <c r="Z117" s="2" t="s">
        <v>514</v>
      </c>
    </row>
    <row r="119" spans="25:27" x14ac:dyDescent="0.2">
      <c r="Y119" s="2">
        <v>32</v>
      </c>
      <c r="Z119" s="15" t="s">
        <v>509</v>
      </c>
      <c r="AA119" s="2">
        <v>1000</v>
      </c>
    </row>
    <row r="120" spans="25:27" x14ac:dyDescent="0.2">
      <c r="Z120" s="2" t="s">
        <v>514</v>
      </c>
    </row>
    <row r="122" spans="25:27" x14ac:dyDescent="0.2">
      <c r="Y122" s="2">
        <v>33</v>
      </c>
      <c r="Z122" s="2" t="s">
        <v>515</v>
      </c>
      <c r="AA122" s="2">
        <v>22500</v>
      </c>
    </row>
    <row r="123" spans="25:27" x14ac:dyDescent="0.2">
      <c r="Z123" s="2" t="s">
        <v>516</v>
      </c>
    </row>
    <row r="125" spans="25:27" x14ac:dyDescent="0.2">
      <c r="Y125" s="2">
        <v>34</v>
      </c>
      <c r="Z125" s="15" t="s">
        <v>509</v>
      </c>
      <c r="AA125" s="2">
        <v>1000</v>
      </c>
    </row>
    <row r="128" spans="25:27" x14ac:dyDescent="0.2">
      <c r="Y128" s="2">
        <v>35</v>
      </c>
      <c r="Z128" s="15" t="s">
        <v>509</v>
      </c>
      <c r="AA128" s="2">
        <v>1000</v>
      </c>
    </row>
    <row r="132" spans="25:27" x14ac:dyDescent="0.2">
      <c r="Y132" s="2">
        <v>36</v>
      </c>
      <c r="Z132" s="2" t="s">
        <v>515</v>
      </c>
      <c r="AA132" s="2">
        <v>1200</v>
      </c>
    </row>
    <row r="133" spans="25:27" x14ac:dyDescent="0.2">
      <c r="Z133" s="2" t="s">
        <v>516</v>
      </c>
    </row>
    <row r="135" spans="25:27" x14ac:dyDescent="0.2">
      <c r="Y135" s="2">
        <v>37</v>
      </c>
      <c r="Z135" s="15" t="s">
        <v>509</v>
      </c>
      <c r="AA135" s="2">
        <v>3000</v>
      </c>
    </row>
    <row r="138" spans="25:27" x14ac:dyDescent="0.2">
      <c r="Y138" s="2">
        <v>38</v>
      </c>
      <c r="Z138" s="15" t="s">
        <v>509</v>
      </c>
      <c r="AA138" s="8" t="s">
        <v>469</v>
      </c>
    </row>
    <row r="139" spans="25:27" x14ac:dyDescent="0.2">
      <c r="AA139" s="2">
        <v>5500</v>
      </c>
    </row>
    <row r="140" spans="25:27" x14ac:dyDescent="0.2">
      <c r="AA140" s="2">
        <v>6000</v>
      </c>
    </row>
    <row r="142" spans="25:27" x14ac:dyDescent="0.2">
      <c r="Y142" s="2">
        <v>39</v>
      </c>
      <c r="Z142" s="15" t="s">
        <v>509</v>
      </c>
      <c r="AA142" s="8" t="s">
        <v>469</v>
      </c>
    </row>
    <row r="143" spans="25:27" x14ac:dyDescent="0.2">
      <c r="AA143" s="2">
        <v>8500</v>
      </c>
    </row>
    <row r="144" spans="25:27" x14ac:dyDescent="0.2">
      <c r="AA144" s="2">
        <v>10000</v>
      </c>
    </row>
  </sheetData>
  <pageMargins left="0.5" right="0.5" top="0.75" bottom="0.75" header="0.5" footer="0.5"/>
  <pageSetup orientation="portrait" horizontalDpi="0" verticalDpi="0" copies="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2"/>
  <sheetViews>
    <sheetView showOutlineSymbols="0" defaultGridColor="0" topLeftCell="F1" colorId="9" workbookViewId="0">
      <selection activeCell="P28" sqref="P28"/>
    </sheetView>
  </sheetViews>
  <sheetFormatPr defaultColWidth="8.6640625" defaultRowHeight="15" x14ac:dyDescent="0.2"/>
  <cols>
    <col min="1" max="16384" width="8.6640625" style="2"/>
  </cols>
  <sheetData>
    <row r="1" spans="1:18" ht="18" x14ac:dyDescent="0.25">
      <c r="A1" s="18" t="s">
        <v>517</v>
      </c>
      <c r="R1" s="2" t="s">
        <v>1</v>
      </c>
    </row>
    <row r="2" spans="1:18" ht="18" x14ac:dyDescent="0.25">
      <c r="A2" s="18" t="s">
        <v>101</v>
      </c>
    </row>
    <row r="3" spans="1:18" x14ac:dyDescent="0.2">
      <c r="A3" s="2" t="s">
        <v>518</v>
      </c>
    </row>
    <row r="4" spans="1:18" ht="18" x14ac:dyDescent="0.25">
      <c r="A4" s="18"/>
    </row>
    <row r="5" spans="1:18" x14ac:dyDescent="0.2">
      <c r="R5" s="2" t="s">
        <v>1</v>
      </c>
    </row>
    <row r="6" spans="1:18" x14ac:dyDescent="0.2">
      <c r="A6" s="15" t="s">
        <v>253</v>
      </c>
      <c r="B6" s="8" t="s">
        <v>138</v>
      </c>
      <c r="C6" s="8" t="s">
        <v>136</v>
      </c>
      <c r="D6" s="8" t="s">
        <v>130</v>
      </c>
      <c r="E6" s="8" t="s">
        <v>133</v>
      </c>
      <c r="F6" s="8" t="s">
        <v>127</v>
      </c>
      <c r="G6" s="8" t="s">
        <v>121</v>
      </c>
      <c r="H6" s="8" t="s">
        <v>112</v>
      </c>
      <c r="J6" s="8" t="s">
        <v>138</v>
      </c>
      <c r="K6" s="8" t="s">
        <v>136</v>
      </c>
      <c r="L6" s="8" t="s">
        <v>130</v>
      </c>
      <c r="M6" s="8" t="s">
        <v>133</v>
      </c>
      <c r="N6" s="8" t="s">
        <v>127</v>
      </c>
      <c r="O6" s="8" t="s">
        <v>121</v>
      </c>
      <c r="P6" s="8" t="s">
        <v>112</v>
      </c>
      <c r="R6" s="2" t="s">
        <v>1</v>
      </c>
    </row>
    <row r="7" spans="1:18" x14ac:dyDescent="0.2">
      <c r="B7" s="8" t="s">
        <v>266</v>
      </c>
      <c r="C7" s="8" t="s">
        <v>144</v>
      </c>
      <c r="D7" s="8" t="s">
        <v>144</v>
      </c>
      <c r="E7" s="8" t="s">
        <v>144</v>
      </c>
      <c r="F7" s="8" t="s">
        <v>144</v>
      </c>
      <c r="G7" s="8" t="s">
        <v>144</v>
      </c>
      <c r="H7" s="8" t="s">
        <v>144</v>
      </c>
      <c r="J7" s="8" t="s">
        <v>266</v>
      </c>
      <c r="K7" s="8" t="s">
        <v>144</v>
      </c>
      <c r="L7" s="8" t="s">
        <v>144</v>
      </c>
      <c r="M7" s="8" t="s">
        <v>144</v>
      </c>
      <c r="N7" s="8" t="s">
        <v>144</v>
      </c>
      <c r="O7" s="8" t="s">
        <v>144</v>
      </c>
      <c r="P7" s="8" t="s">
        <v>144</v>
      </c>
      <c r="R7" s="2" t="s">
        <v>1</v>
      </c>
    </row>
    <row r="8" spans="1:18" x14ac:dyDescent="0.2">
      <c r="R8" s="2" t="s">
        <v>1</v>
      </c>
    </row>
    <row r="9" spans="1:18" x14ac:dyDescent="0.2">
      <c r="A9" s="19"/>
      <c r="R9" s="2" t="s">
        <v>1</v>
      </c>
    </row>
    <row r="10" spans="1:18" x14ac:dyDescent="0.2">
      <c r="A10" s="7">
        <f>DATE(92,1,13)</f>
        <v>33616</v>
      </c>
      <c r="B10" s="4">
        <v>341.4</v>
      </c>
      <c r="C10" s="4">
        <v>529.5</v>
      </c>
      <c r="D10" s="4">
        <v>285.5</v>
      </c>
      <c r="E10" s="4">
        <v>59</v>
      </c>
      <c r="F10" s="4"/>
      <c r="G10" s="4">
        <v>220.5</v>
      </c>
      <c r="H10" s="4">
        <v>158</v>
      </c>
      <c r="I10" s="7">
        <f>AVERAGE(A10)</f>
        <v>33616</v>
      </c>
      <c r="J10" s="4"/>
      <c r="K10" s="4">
        <f>AVERAGE(C10)</f>
        <v>529.5</v>
      </c>
      <c r="L10" s="4">
        <f>AVERAGE(D10)</f>
        <v>285.5</v>
      </c>
      <c r="M10" s="4">
        <f>AVERAGE(E10)</f>
        <v>59</v>
      </c>
      <c r="N10" s="4"/>
      <c r="O10" s="4">
        <f>AVERAGE(G10)</f>
        <v>220.5</v>
      </c>
      <c r="P10" s="4">
        <f>AVERAGE(H10)</f>
        <v>158</v>
      </c>
      <c r="R10" s="2" t="s">
        <v>1</v>
      </c>
    </row>
    <row r="11" spans="1:18" x14ac:dyDescent="0.2">
      <c r="A11" s="7">
        <f>DATE(92,12,14)</f>
        <v>33952</v>
      </c>
      <c r="B11" s="4">
        <v>339.6</v>
      </c>
      <c r="C11" s="4">
        <v>536</v>
      </c>
      <c r="D11" s="4">
        <v>295</v>
      </c>
      <c r="E11" s="4">
        <v>66</v>
      </c>
      <c r="F11" s="4">
        <v>24</v>
      </c>
      <c r="G11" s="4">
        <v>243</v>
      </c>
      <c r="H11" s="4">
        <v>166</v>
      </c>
      <c r="I11" s="7">
        <f t="shared" ref="I11:P11" si="0">AVERAGE(A11:A13)</f>
        <v>33958</v>
      </c>
      <c r="J11" s="4">
        <f t="shared" si="0"/>
        <v>341.09999999999997</v>
      </c>
      <c r="K11" s="4">
        <f t="shared" si="0"/>
        <v>540</v>
      </c>
      <c r="L11" s="4">
        <f t="shared" si="0"/>
        <v>294</v>
      </c>
      <c r="M11" s="4">
        <f t="shared" si="0"/>
        <v>65</v>
      </c>
      <c r="N11" s="4">
        <f t="shared" si="0"/>
        <v>24</v>
      </c>
      <c r="O11" s="4">
        <f t="shared" si="0"/>
        <v>242.33333333333334</v>
      </c>
      <c r="P11" s="4">
        <f t="shared" si="0"/>
        <v>163.33333333333334</v>
      </c>
      <c r="R11" s="2" t="s">
        <v>1</v>
      </c>
    </row>
    <row r="12" spans="1:18" x14ac:dyDescent="0.2">
      <c r="A12" s="7">
        <f>DATE(92,12,20)</f>
        <v>33958</v>
      </c>
      <c r="B12" s="4">
        <v>340.2</v>
      </c>
      <c r="C12" s="4">
        <v>537</v>
      </c>
      <c r="D12" s="4">
        <v>293</v>
      </c>
      <c r="E12" s="4">
        <v>64</v>
      </c>
      <c r="F12" s="4"/>
      <c r="G12" s="4">
        <v>258</v>
      </c>
      <c r="H12" s="4">
        <v>165</v>
      </c>
      <c r="I12" s="7">
        <f>AVERAGE(A14:A18)</f>
        <v>33985.599999999999</v>
      </c>
      <c r="J12" s="4">
        <f>AVERAGE(B14:B18)</f>
        <v>337.39</v>
      </c>
      <c r="K12" s="4">
        <f>AVERAGE(C14:C18)</f>
        <v>528.20000000000005</v>
      </c>
      <c r="L12" s="4">
        <f>AVERAGE(D14:D18)</f>
        <v>292.10000000000002</v>
      </c>
      <c r="M12" s="4">
        <f>AVERAGE(E14:E18)</f>
        <v>62.5</v>
      </c>
      <c r="N12" s="4"/>
      <c r="O12" s="4">
        <f>AVERAGE(G14:G18)</f>
        <v>242.2</v>
      </c>
      <c r="P12" s="4">
        <f>AVERAGE(H14:H18)</f>
        <v>159.9</v>
      </c>
      <c r="R12" s="2" t="s">
        <v>1</v>
      </c>
    </row>
    <row r="13" spans="1:18" x14ac:dyDescent="0.2">
      <c r="A13" s="7">
        <f>DATE(92,12,26)</f>
        <v>33964</v>
      </c>
      <c r="B13" s="4">
        <v>343.5</v>
      </c>
      <c r="C13" s="4">
        <v>547</v>
      </c>
      <c r="D13" s="4">
        <v>294</v>
      </c>
      <c r="E13" s="4">
        <v>65</v>
      </c>
      <c r="F13" s="4"/>
      <c r="G13" s="4">
        <v>226</v>
      </c>
      <c r="H13" s="4">
        <v>159</v>
      </c>
      <c r="I13" s="7">
        <f>AVERAGE(A19)</f>
        <v>34006</v>
      </c>
      <c r="J13" s="4">
        <f>AVERAGE(B19)</f>
        <v>338.9</v>
      </c>
      <c r="K13" s="4">
        <f>AVERAGE(C19)</f>
        <v>539</v>
      </c>
      <c r="L13" s="4">
        <f>AVERAGE(D19)</f>
        <v>294</v>
      </c>
      <c r="M13" s="4">
        <f>AVERAGE(E19)</f>
        <v>67</v>
      </c>
      <c r="N13" s="4"/>
      <c r="O13" s="4">
        <f>AVERAGE(G19)</f>
        <v>388</v>
      </c>
      <c r="P13" s="4">
        <f>AVERAGE(H19)</f>
        <v>160</v>
      </c>
      <c r="R13" s="2" t="s">
        <v>1</v>
      </c>
    </row>
    <row r="14" spans="1:18" x14ac:dyDescent="0.2">
      <c r="A14" s="7">
        <f>DATE(93,1,1)</f>
        <v>33970</v>
      </c>
      <c r="B14" s="4">
        <v>337.4</v>
      </c>
      <c r="C14" s="4">
        <v>539</v>
      </c>
      <c r="D14" s="4">
        <v>290</v>
      </c>
      <c r="E14" s="4">
        <v>64</v>
      </c>
      <c r="F14" s="4"/>
      <c r="G14" s="4">
        <v>256</v>
      </c>
      <c r="H14" s="4">
        <v>160</v>
      </c>
      <c r="I14" s="7">
        <f>AVERAGE(A20:A25)</f>
        <v>34042</v>
      </c>
      <c r="J14" s="4">
        <f>AVERAGE(B20:B25)</f>
        <v>339.4666666666667</v>
      </c>
      <c r="K14" s="4">
        <f>AVERAGE(C20:C25)</f>
        <v>537.25</v>
      </c>
      <c r="L14" s="4">
        <f>AVERAGE(D20:D25)</f>
        <v>345.58333333333331</v>
      </c>
      <c r="M14" s="4">
        <f>AVERAGE(E20:E25)</f>
        <v>65.666666666666671</v>
      </c>
      <c r="N14" s="4"/>
      <c r="O14" s="4">
        <f>AVERAGE(G20:G25)</f>
        <v>303.5</v>
      </c>
      <c r="P14" s="4">
        <f>AVERAGE(H20:H25)</f>
        <v>160</v>
      </c>
      <c r="R14" s="2" t="s">
        <v>1</v>
      </c>
    </row>
    <row r="15" spans="1:18" x14ac:dyDescent="0.2">
      <c r="A15" s="7">
        <f>DATE(93,1,7)</f>
        <v>33976</v>
      </c>
      <c r="B15" s="4">
        <v>341.25</v>
      </c>
      <c r="C15" s="4">
        <v>538.5</v>
      </c>
      <c r="D15" s="4">
        <v>292</v>
      </c>
      <c r="E15" s="4">
        <v>64</v>
      </c>
      <c r="F15" s="4"/>
      <c r="G15" s="4">
        <v>258.5</v>
      </c>
      <c r="H15" s="4">
        <v>160</v>
      </c>
      <c r="I15" s="7">
        <f t="shared" ref="I15:P15" si="1">AVERAGE(A26:A35)</f>
        <v>34073.5</v>
      </c>
      <c r="J15" s="4">
        <f t="shared" si="1"/>
        <v>340.80499999999995</v>
      </c>
      <c r="K15" s="4">
        <f t="shared" si="1"/>
        <v>541.15</v>
      </c>
      <c r="L15" s="4">
        <f t="shared" si="1"/>
        <v>292.14999999999998</v>
      </c>
      <c r="M15" s="4">
        <f t="shared" si="1"/>
        <v>236.3</v>
      </c>
      <c r="N15" s="4">
        <f t="shared" si="1"/>
        <v>16</v>
      </c>
      <c r="O15" s="4">
        <f t="shared" si="1"/>
        <v>238.25</v>
      </c>
      <c r="P15" s="4">
        <f t="shared" si="1"/>
        <v>160.55000000000001</v>
      </c>
      <c r="R15" s="2" t="s">
        <v>1</v>
      </c>
    </row>
    <row r="16" spans="1:18" x14ac:dyDescent="0.2">
      <c r="A16" s="7">
        <f>DATE(93,1,19)</f>
        <v>33988</v>
      </c>
      <c r="B16" s="4">
        <v>334</v>
      </c>
      <c r="C16" s="4">
        <v>517</v>
      </c>
      <c r="D16" s="4">
        <v>293</v>
      </c>
      <c r="E16" s="4">
        <v>60</v>
      </c>
      <c r="F16" s="4"/>
      <c r="G16" s="4">
        <v>221</v>
      </c>
      <c r="H16" s="4">
        <v>160</v>
      </c>
      <c r="I16" s="7">
        <f>AVERAGE(A36:A46)</f>
        <v>34105</v>
      </c>
      <c r="J16" s="4">
        <f>AVERAGE(B36:B46)</f>
        <v>340.08181818181816</v>
      </c>
      <c r="K16" s="4">
        <f>AVERAGE(C36:C46)</f>
        <v>534.40909090909088</v>
      </c>
      <c r="L16" s="4">
        <f>AVERAGE(D36:D46)</f>
        <v>291.81818181818181</v>
      </c>
      <c r="M16" s="4">
        <f>AVERAGE(E36:E46)</f>
        <v>296</v>
      </c>
      <c r="N16" s="4"/>
      <c r="O16" s="4">
        <f>AVERAGE(G36:G46)</f>
        <v>234.95454545454547</v>
      </c>
      <c r="P16" s="4">
        <f>AVERAGE(H36:H46)</f>
        <v>159.54545454545453</v>
      </c>
      <c r="R16" s="2" t="s">
        <v>1</v>
      </c>
    </row>
    <row r="17" spans="1:18" x14ac:dyDescent="0.2">
      <c r="A17" s="7">
        <f>DATE(93,1,25)</f>
        <v>33994</v>
      </c>
      <c r="B17" s="4">
        <v>335</v>
      </c>
      <c r="C17" s="4">
        <v>519</v>
      </c>
      <c r="D17" s="4">
        <v>293</v>
      </c>
      <c r="E17" s="4">
        <v>61</v>
      </c>
      <c r="F17" s="4"/>
      <c r="G17" s="4">
        <v>224</v>
      </c>
      <c r="H17" s="4">
        <v>159</v>
      </c>
      <c r="I17" s="7">
        <f>AVERAGE(A47:A55)</f>
        <v>34135.666666666664</v>
      </c>
      <c r="J17" s="4">
        <f>AVERAGE(B47:B55)</f>
        <v>342.94444444444446</v>
      </c>
      <c r="K17" s="4">
        <f>AVERAGE(C47:C55)</f>
        <v>548.61111111111109</v>
      </c>
      <c r="L17" s="4">
        <f>AVERAGE(D47:D55)</f>
        <v>293.22222222222223</v>
      </c>
      <c r="M17" s="4">
        <f>AVERAGE(E47:E55)</f>
        <v>243.77777777777777</v>
      </c>
      <c r="N17" s="4"/>
      <c r="O17" s="4">
        <f>AVERAGE(G47:G55)</f>
        <v>239.61111111111111</v>
      </c>
      <c r="P17" s="4">
        <f>AVERAGE(H47:H55)</f>
        <v>160.22222222222223</v>
      </c>
      <c r="R17" s="2" t="s">
        <v>1</v>
      </c>
    </row>
    <row r="18" spans="1:18" x14ac:dyDescent="0.2">
      <c r="A18" s="7">
        <f>DATE(93,1,31)</f>
        <v>34000</v>
      </c>
      <c r="B18" s="4">
        <v>339.3</v>
      </c>
      <c r="C18" s="4">
        <v>527.5</v>
      </c>
      <c r="D18" s="4">
        <v>292.5</v>
      </c>
      <c r="E18" s="4">
        <v>63.5</v>
      </c>
      <c r="F18" s="4"/>
      <c r="G18" s="4">
        <v>251.5</v>
      </c>
      <c r="H18" s="4">
        <v>160.5</v>
      </c>
      <c r="I18" s="7">
        <f t="shared" ref="I18:P18" si="2">AVERAGE(A56:A62)</f>
        <v>34162.857142857145</v>
      </c>
      <c r="J18" s="4">
        <f t="shared" si="2"/>
        <v>340.78571428571428</v>
      </c>
      <c r="K18" s="4">
        <f t="shared" si="2"/>
        <v>540.92857142857144</v>
      </c>
      <c r="L18" s="4">
        <f t="shared" si="2"/>
        <v>295</v>
      </c>
      <c r="M18" s="4">
        <f t="shared" si="2"/>
        <v>318.64285714285717</v>
      </c>
      <c r="N18" s="4">
        <f t="shared" si="2"/>
        <v>23</v>
      </c>
      <c r="O18" s="4">
        <f t="shared" si="2"/>
        <v>236</v>
      </c>
      <c r="P18" s="4">
        <f t="shared" si="2"/>
        <v>158.42857142857142</v>
      </c>
      <c r="R18" s="2" t="s">
        <v>1</v>
      </c>
    </row>
    <row r="19" spans="1:18" x14ac:dyDescent="0.2">
      <c r="A19" s="7">
        <f>DATE(93,2,6)</f>
        <v>34006</v>
      </c>
      <c r="B19" s="4">
        <v>338.9</v>
      </c>
      <c r="C19" s="4">
        <v>539</v>
      </c>
      <c r="D19" s="4">
        <v>294</v>
      </c>
      <c r="E19" s="4">
        <v>67</v>
      </c>
      <c r="F19" s="4"/>
      <c r="G19" s="4">
        <v>388</v>
      </c>
      <c r="H19" s="4">
        <v>160</v>
      </c>
      <c r="I19" s="7">
        <f t="shared" ref="I19:P19" si="3">AVERAGE(A63:A72)</f>
        <v>34196.5</v>
      </c>
      <c r="J19" s="4">
        <f t="shared" si="3"/>
        <v>340.7</v>
      </c>
      <c r="K19" s="4">
        <f t="shared" si="3"/>
        <v>536.35</v>
      </c>
      <c r="L19" s="4">
        <f t="shared" si="3"/>
        <v>292.5</v>
      </c>
      <c r="M19" s="4">
        <f t="shared" si="3"/>
        <v>283.14999999999998</v>
      </c>
      <c r="N19" s="4">
        <f t="shared" si="3"/>
        <v>22.083333333333332</v>
      </c>
      <c r="O19" s="4">
        <f t="shared" si="3"/>
        <v>224.7</v>
      </c>
      <c r="P19" s="4">
        <f t="shared" si="3"/>
        <v>159.65</v>
      </c>
      <c r="R19" s="2" t="s">
        <v>1</v>
      </c>
    </row>
    <row r="20" spans="1:18" x14ac:dyDescent="0.2">
      <c r="A20" s="7">
        <f>DATE(93,3,2)</f>
        <v>34030</v>
      </c>
      <c r="B20" s="4">
        <v>336.35</v>
      </c>
      <c r="C20" s="4">
        <v>536.5</v>
      </c>
      <c r="D20" s="4">
        <v>298.5</v>
      </c>
      <c r="E20" s="4">
        <v>63</v>
      </c>
      <c r="F20" s="4"/>
      <c r="G20" s="4">
        <v>255</v>
      </c>
      <c r="H20" s="4">
        <v>161</v>
      </c>
      <c r="I20" s="7">
        <f t="shared" ref="I20:P20" si="4">AVERAGE(A73:A81)</f>
        <v>34225</v>
      </c>
      <c r="J20" s="4">
        <f t="shared" si="4"/>
        <v>341.02222222222218</v>
      </c>
      <c r="K20" s="4">
        <f t="shared" si="4"/>
        <v>541.66666666666663</v>
      </c>
      <c r="L20" s="4">
        <f t="shared" si="4"/>
        <v>295.27777777777777</v>
      </c>
      <c r="M20" s="4">
        <f t="shared" si="4"/>
        <v>198.38888888888889</v>
      </c>
      <c r="N20" s="4">
        <f t="shared" si="4"/>
        <v>29.642857142857142</v>
      </c>
      <c r="O20" s="4">
        <f t="shared" si="4"/>
        <v>224.11111111111111</v>
      </c>
      <c r="P20" s="4">
        <f t="shared" si="4"/>
        <v>161.16666666666666</v>
      </c>
      <c r="R20" s="2" t="s">
        <v>1</v>
      </c>
    </row>
    <row r="21" spans="1:18" x14ac:dyDescent="0.2">
      <c r="A21" s="7">
        <f>DATE(93,3,8)</f>
        <v>34036</v>
      </c>
      <c r="B21" s="4">
        <v>341</v>
      </c>
      <c r="C21" s="4">
        <v>554</v>
      </c>
      <c r="D21" s="4">
        <v>594</v>
      </c>
      <c r="E21" s="4">
        <v>67.5</v>
      </c>
      <c r="F21" s="4"/>
      <c r="G21" s="4">
        <v>265.5</v>
      </c>
      <c r="H21" s="4">
        <v>160.5</v>
      </c>
      <c r="I21" s="7">
        <f t="shared" ref="I21:P21" si="5">AVERAGE(A82:A92)</f>
        <v>34258</v>
      </c>
      <c r="J21" s="4">
        <f t="shared" si="5"/>
        <v>341.9636363636364</v>
      </c>
      <c r="K21" s="4">
        <f t="shared" si="5"/>
        <v>547.63636363636363</v>
      </c>
      <c r="L21" s="4">
        <f t="shared" si="5"/>
        <v>297.18181818181819</v>
      </c>
      <c r="M21" s="4">
        <f t="shared" si="5"/>
        <v>237.40909090909091</v>
      </c>
      <c r="N21" s="4">
        <f t="shared" si="5"/>
        <v>34.285714285714285</v>
      </c>
      <c r="O21" s="4">
        <f t="shared" si="5"/>
        <v>256.72727272727275</v>
      </c>
      <c r="P21" s="4">
        <f t="shared" si="5"/>
        <v>161.36363636363637</v>
      </c>
      <c r="R21" s="2" t="s">
        <v>1</v>
      </c>
    </row>
    <row r="22" spans="1:18" x14ac:dyDescent="0.2">
      <c r="A22" s="7">
        <f>DATE(93,3,14)</f>
        <v>34042</v>
      </c>
      <c r="B22" s="4"/>
      <c r="C22" s="4">
        <v>534</v>
      </c>
      <c r="D22" s="4">
        <v>290.5</v>
      </c>
      <c r="E22" s="4">
        <v>61.5</v>
      </c>
      <c r="F22" s="4"/>
      <c r="G22" s="4">
        <v>215</v>
      </c>
      <c r="H22" s="4">
        <v>158.5</v>
      </c>
      <c r="I22" s="7">
        <f>AVERAGE(A93:A94)</f>
        <v>34279</v>
      </c>
      <c r="J22" s="4">
        <f>AVERAGE(B93:B94)</f>
        <v>340.6</v>
      </c>
      <c r="K22" s="4">
        <f>AVERAGE(C93:C94)</f>
        <v>563</v>
      </c>
      <c r="L22" s="4">
        <f>AVERAGE(D93:D94)</f>
        <v>327.5</v>
      </c>
      <c r="M22" s="4">
        <f>AVERAGE(E93:E94)</f>
        <v>285.25</v>
      </c>
      <c r="N22" s="4"/>
      <c r="O22" s="4">
        <f>AVERAGE(G83:G93)</f>
        <v>264.68181818181819</v>
      </c>
      <c r="P22" s="4">
        <f>AVERAGE(H93:H94)</f>
        <v>158.5</v>
      </c>
      <c r="R22" s="2" t="s">
        <v>1</v>
      </c>
    </row>
    <row r="23" spans="1:18" x14ac:dyDescent="0.2">
      <c r="A23" s="7">
        <f>DATE(93,3,14)</f>
        <v>34042</v>
      </c>
      <c r="B23" s="4">
        <v>341.05</v>
      </c>
      <c r="C23" s="4">
        <v>525</v>
      </c>
      <c r="D23" s="4">
        <v>291.5</v>
      </c>
      <c r="E23" s="4">
        <v>62</v>
      </c>
      <c r="F23" s="4"/>
      <c r="G23" s="4">
        <v>212.5</v>
      </c>
      <c r="H23" s="4">
        <v>161.5</v>
      </c>
      <c r="I23" s="7">
        <f t="shared" ref="I23:P23" si="6">AVERAGE(A95:A96)</f>
        <v>34327</v>
      </c>
      <c r="J23" s="4">
        <f t="shared" si="6"/>
        <v>340.6</v>
      </c>
      <c r="K23" s="4">
        <f t="shared" si="6"/>
        <v>575.75</v>
      </c>
      <c r="L23" s="4">
        <f t="shared" si="6"/>
        <v>324</v>
      </c>
      <c r="M23" s="4">
        <f t="shared" si="6"/>
        <v>352.5</v>
      </c>
      <c r="N23" s="4">
        <f t="shared" si="6"/>
        <v>29</v>
      </c>
      <c r="O23" s="4">
        <f t="shared" si="6"/>
        <v>342</v>
      </c>
      <c r="P23" s="4">
        <f t="shared" si="6"/>
        <v>159.25</v>
      </c>
      <c r="R23" s="2" t="s">
        <v>1</v>
      </c>
    </row>
    <row r="24" spans="1:18" x14ac:dyDescent="0.2">
      <c r="A24" s="7">
        <f>DATE(93,3,20)</f>
        <v>34048</v>
      </c>
      <c r="B24" s="4"/>
      <c r="C24" s="4">
        <v>534</v>
      </c>
      <c r="D24" s="4">
        <v>297</v>
      </c>
      <c r="E24" s="4">
        <v>66</v>
      </c>
      <c r="F24" s="4"/>
      <c r="G24" s="4">
        <v>259</v>
      </c>
      <c r="H24" s="4">
        <v>163</v>
      </c>
      <c r="I24" s="7">
        <f t="shared" ref="I24:P24" si="7">AVERAGE(A97:A101)</f>
        <v>34348</v>
      </c>
      <c r="J24" s="4">
        <f t="shared" si="7"/>
        <v>345.08000000000004</v>
      </c>
      <c r="K24" s="4">
        <f t="shared" si="7"/>
        <v>555.1</v>
      </c>
      <c r="L24" s="4">
        <f t="shared" si="7"/>
        <v>294.5</v>
      </c>
      <c r="M24" s="4">
        <f t="shared" si="7"/>
        <v>396</v>
      </c>
      <c r="N24" s="4">
        <f t="shared" si="7"/>
        <v>23</v>
      </c>
      <c r="O24" s="4">
        <f t="shared" si="7"/>
        <v>271.89999999999998</v>
      </c>
      <c r="P24" s="4">
        <f t="shared" si="7"/>
        <v>159.6</v>
      </c>
      <c r="R24" s="2" t="s">
        <v>1</v>
      </c>
    </row>
    <row r="25" spans="1:18" x14ac:dyDescent="0.2">
      <c r="A25" s="7">
        <f>DATE(93,3,26)</f>
        <v>34054</v>
      </c>
      <c r="B25" s="4"/>
      <c r="C25" s="4">
        <v>540</v>
      </c>
      <c r="D25" s="4">
        <v>302</v>
      </c>
      <c r="E25" s="4">
        <v>74</v>
      </c>
      <c r="F25" s="4"/>
      <c r="G25" s="4">
        <v>614</v>
      </c>
      <c r="H25" s="4">
        <v>155.5</v>
      </c>
      <c r="I25" s="7">
        <f t="shared" ref="I25:P25" si="8">AVERAGE(A102:A106)</f>
        <v>34378</v>
      </c>
      <c r="J25" s="4">
        <f t="shared" si="8"/>
        <v>342.65</v>
      </c>
      <c r="K25" s="4">
        <f t="shared" si="8"/>
        <v>547.5</v>
      </c>
      <c r="L25" s="4">
        <f t="shared" si="8"/>
        <v>295.89999999999998</v>
      </c>
      <c r="M25" s="4">
        <f t="shared" si="8"/>
        <v>386.9</v>
      </c>
      <c r="N25" s="4">
        <f t="shared" si="8"/>
        <v>24.5</v>
      </c>
      <c r="O25" s="4">
        <f t="shared" si="8"/>
        <v>228.1</v>
      </c>
      <c r="P25" s="4">
        <f t="shared" si="8"/>
        <v>161.19999999999999</v>
      </c>
      <c r="R25" s="2" t="s">
        <v>1</v>
      </c>
    </row>
    <row r="26" spans="1:18" x14ac:dyDescent="0.2">
      <c r="A26" s="7">
        <f>DATE(93,4,1)</f>
        <v>34060</v>
      </c>
      <c r="B26" s="4">
        <v>342.8</v>
      </c>
      <c r="C26" s="4">
        <v>537</v>
      </c>
      <c r="D26" s="4">
        <v>291.5</v>
      </c>
      <c r="E26" s="4">
        <v>63.5</v>
      </c>
      <c r="F26" s="4"/>
      <c r="G26" s="4">
        <v>222</v>
      </c>
      <c r="H26" s="4">
        <v>161</v>
      </c>
      <c r="I26" s="7">
        <f t="shared" ref="I26:P26" si="9">AVERAGE(A107:A111)</f>
        <v>34408.199999999997</v>
      </c>
      <c r="J26" s="4">
        <f t="shared" si="9"/>
        <v>345.6</v>
      </c>
      <c r="K26" s="4">
        <f t="shared" si="9"/>
        <v>556.9</v>
      </c>
      <c r="L26" s="4">
        <f t="shared" si="9"/>
        <v>299.3</v>
      </c>
      <c r="M26" s="4">
        <f t="shared" si="9"/>
        <v>412.1</v>
      </c>
      <c r="N26" s="4">
        <f t="shared" si="9"/>
        <v>26.5</v>
      </c>
      <c r="O26" s="4">
        <f t="shared" si="9"/>
        <v>266.2</v>
      </c>
      <c r="P26" s="4">
        <f t="shared" si="9"/>
        <v>164.9</v>
      </c>
      <c r="R26" s="2" t="s">
        <v>1</v>
      </c>
    </row>
    <row r="27" spans="1:18" x14ac:dyDescent="0.2">
      <c r="A27" s="7">
        <f>DATE(93,4,4)</f>
        <v>34063</v>
      </c>
      <c r="B27" s="4">
        <v>343.1</v>
      </c>
      <c r="C27" s="4">
        <v>538</v>
      </c>
      <c r="D27" s="4">
        <v>293.5</v>
      </c>
      <c r="E27" s="4">
        <v>63</v>
      </c>
      <c r="F27" s="4"/>
      <c r="G27" s="4">
        <v>217.5</v>
      </c>
      <c r="H27" s="4">
        <v>162.5</v>
      </c>
      <c r="I27" s="7">
        <f t="shared" ref="I27:P27" si="10">AVERAGE(A112:A113)</f>
        <v>34466.5</v>
      </c>
      <c r="J27" s="4">
        <f t="shared" si="10"/>
        <v>343</v>
      </c>
      <c r="K27" s="4">
        <f t="shared" si="10"/>
        <v>541.75</v>
      </c>
      <c r="L27" s="4">
        <f t="shared" si="10"/>
        <v>295.25</v>
      </c>
      <c r="M27" s="4">
        <f t="shared" si="10"/>
        <v>247.25</v>
      </c>
      <c r="N27" s="4">
        <f t="shared" si="10"/>
        <v>21.5</v>
      </c>
      <c r="O27" s="4">
        <f t="shared" si="10"/>
        <v>202.75</v>
      </c>
      <c r="P27" s="4">
        <f t="shared" si="10"/>
        <v>159.25</v>
      </c>
      <c r="R27" s="2" t="s">
        <v>1</v>
      </c>
    </row>
    <row r="28" spans="1:18" x14ac:dyDescent="0.2">
      <c r="A28" s="7">
        <f>DATE(93,4,7)</f>
        <v>34066</v>
      </c>
      <c r="B28" s="4">
        <v>339.7</v>
      </c>
      <c r="C28" s="4">
        <v>549</v>
      </c>
      <c r="D28" s="4">
        <v>294</v>
      </c>
      <c r="E28" s="4">
        <v>438.5</v>
      </c>
      <c r="F28" s="4"/>
      <c r="G28" s="4">
        <v>271.5</v>
      </c>
      <c r="H28" s="4">
        <v>159.5</v>
      </c>
      <c r="I28" s="7">
        <f t="shared" ref="I28:P28" si="11">AVERAGE(A114:A117)</f>
        <v>34506.25</v>
      </c>
      <c r="J28" s="4">
        <f t="shared" si="11"/>
        <v>343.72500000000002</v>
      </c>
      <c r="K28" s="4">
        <f t="shared" si="11"/>
        <v>544.875</v>
      </c>
      <c r="L28" s="4">
        <f t="shared" si="11"/>
        <v>292.75</v>
      </c>
      <c r="M28" s="4">
        <f t="shared" si="11"/>
        <v>391</v>
      </c>
      <c r="N28" s="4">
        <f t="shared" si="11"/>
        <v>42.666666666666664</v>
      </c>
      <c r="O28" s="4">
        <f t="shared" si="11"/>
        <v>198.5</v>
      </c>
      <c r="P28" s="4">
        <f t="shared" si="11"/>
        <v>161.25</v>
      </c>
      <c r="R28" s="2" t="s">
        <v>1</v>
      </c>
    </row>
    <row r="29" spans="1:18" x14ac:dyDescent="0.2">
      <c r="A29" s="7">
        <f>DATE(93,4,10)</f>
        <v>34069</v>
      </c>
      <c r="B29" s="4">
        <v>340.3</v>
      </c>
      <c r="C29" s="4">
        <v>543.5</v>
      </c>
      <c r="D29" s="4">
        <v>296</v>
      </c>
      <c r="E29" s="4">
        <v>67</v>
      </c>
      <c r="F29" s="4"/>
      <c r="G29" s="4">
        <v>256.5</v>
      </c>
      <c r="H29" s="4">
        <v>159.5</v>
      </c>
      <c r="I29" s="7">
        <f t="shared" ref="I29:P29" si="12">AVERAGE(A118:A122)</f>
        <v>34523.800000000003</v>
      </c>
      <c r="J29" s="4">
        <f t="shared" si="12"/>
        <v>343.91999999999996</v>
      </c>
      <c r="K29" s="4">
        <f t="shared" si="12"/>
        <v>548.9</v>
      </c>
      <c r="L29" s="4">
        <f t="shared" si="12"/>
        <v>296.2</v>
      </c>
      <c r="M29" s="4">
        <f t="shared" si="12"/>
        <v>246.5</v>
      </c>
      <c r="N29" s="4">
        <f t="shared" si="12"/>
        <v>23</v>
      </c>
      <c r="O29" s="4">
        <f t="shared" si="12"/>
        <v>220.4</v>
      </c>
      <c r="P29" s="4">
        <f t="shared" si="12"/>
        <v>160.80000000000001</v>
      </c>
      <c r="R29" s="2" t="s">
        <v>1</v>
      </c>
    </row>
    <row r="30" spans="1:18" x14ac:dyDescent="0.2">
      <c r="A30" s="7">
        <f>DATE(93,4,13)</f>
        <v>34072</v>
      </c>
      <c r="B30" s="4">
        <v>338</v>
      </c>
      <c r="C30" s="4">
        <v>546</v>
      </c>
      <c r="D30" s="4">
        <v>292.5</v>
      </c>
      <c r="E30" s="4">
        <v>286.5</v>
      </c>
      <c r="F30" s="4"/>
      <c r="G30" s="4">
        <v>254</v>
      </c>
      <c r="H30" s="4">
        <v>159.5</v>
      </c>
      <c r="I30" s="4"/>
      <c r="J30" s="4"/>
      <c r="K30" s="4"/>
      <c r="L30" s="4"/>
      <c r="M30" s="4"/>
      <c r="N30" s="4"/>
      <c r="O30" s="4"/>
      <c r="P30" s="4"/>
      <c r="R30" s="2" t="s">
        <v>1</v>
      </c>
    </row>
    <row r="31" spans="1:18" x14ac:dyDescent="0.2">
      <c r="A31" s="7">
        <f>DATE(93,4,16)</f>
        <v>34075</v>
      </c>
      <c r="B31" s="4">
        <v>340.5</v>
      </c>
      <c r="C31" s="4">
        <v>534</v>
      </c>
      <c r="D31" s="4">
        <v>289</v>
      </c>
      <c r="E31" s="4">
        <v>63.5</v>
      </c>
      <c r="F31" s="4"/>
      <c r="G31" s="4">
        <v>225.5</v>
      </c>
      <c r="H31" s="4">
        <v>160</v>
      </c>
      <c r="I31" s="4"/>
      <c r="J31" s="4"/>
      <c r="K31" s="4"/>
      <c r="L31" s="4"/>
      <c r="M31" s="4"/>
      <c r="N31" s="4"/>
      <c r="O31" s="4"/>
      <c r="P31" s="4"/>
      <c r="R31" s="2" t="s">
        <v>1</v>
      </c>
    </row>
    <row r="32" spans="1:18" x14ac:dyDescent="0.2">
      <c r="A32" s="7">
        <f>DATE(93,4,19)</f>
        <v>34078</v>
      </c>
      <c r="B32" s="4">
        <v>341</v>
      </c>
      <c r="C32" s="4">
        <v>546</v>
      </c>
      <c r="D32" s="4">
        <v>291</v>
      </c>
      <c r="E32" s="4">
        <v>664</v>
      </c>
      <c r="F32" s="4">
        <v>16</v>
      </c>
      <c r="G32" s="4">
        <v>242</v>
      </c>
      <c r="H32" s="4">
        <v>162.5</v>
      </c>
      <c r="I32" s="4"/>
      <c r="J32" s="4"/>
      <c r="K32" s="4"/>
      <c r="L32" s="4"/>
      <c r="M32" s="4"/>
      <c r="N32" s="4"/>
      <c r="O32" s="4"/>
      <c r="P32" s="4"/>
      <c r="R32" s="2" t="s">
        <v>1</v>
      </c>
    </row>
    <row r="33" spans="1:18" x14ac:dyDescent="0.2">
      <c r="A33" s="7">
        <f>DATE(93,4,22)</f>
        <v>34081</v>
      </c>
      <c r="B33" s="4">
        <v>339.5</v>
      </c>
      <c r="C33" s="4">
        <v>535.5</v>
      </c>
      <c r="D33" s="4">
        <v>289.5</v>
      </c>
      <c r="E33" s="4">
        <v>62</v>
      </c>
      <c r="F33" s="4"/>
      <c r="G33" s="4">
        <v>225</v>
      </c>
      <c r="H33" s="4">
        <v>161.5</v>
      </c>
      <c r="I33" s="4"/>
      <c r="J33" s="4"/>
      <c r="K33" s="4"/>
      <c r="L33" s="4"/>
      <c r="M33" s="4"/>
      <c r="N33" s="4"/>
      <c r="O33" s="4"/>
      <c r="P33" s="4"/>
      <c r="R33" s="2" t="s">
        <v>1</v>
      </c>
    </row>
    <row r="34" spans="1:18" x14ac:dyDescent="0.2">
      <c r="A34" s="7">
        <f>DATE(93,4,25)</f>
        <v>34084</v>
      </c>
      <c r="B34" s="4">
        <v>340.7</v>
      </c>
      <c r="C34" s="4">
        <v>540</v>
      </c>
      <c r="D34" s="4">
        <v>294</v>
      </c>
      <c r="E34" s="4">
        <v>591</v>
      </c>
      <c r="F34" s="4"/>
      <c r="G34" s="4">
        <v>239.5</v>
      </c>
      <c r="H34" s="4">
        <v>160.5</v>
      </c>
      <c r="I34" s="4"/>
      <c r="J34" s="4"/>
      <c r="K34" s="4"/>
      <c r="L34" s="4"/>
      <c r="M34" s="4"/>
      <c r="N34" s="4"/>
      <c r="O34" s="4"/>
      <c r="P34" s="4"/>
      <c r="R34" s="2" t="s">
        <v>1</v>
      </c>
    </row>
    <row r="35" spans="1:18" x14ac:dyDescent="0.2">
      <c r="A35" s="7">
        <f>DATE(93,4,28)</f>
        <v>34087</v>
      </c>
      <c r="B35" s="4">
        <v>342.45</v>
      </c>
      <c r="C35" s="4">
        <v>542.5</v>
      </c>
      <c r="D35" s="4">
        <v>290.5</v>
      </c>
      <c r="E35" s="4">
        <v>64</v>
      </c>
      <c r="F35" s="4"/>
      <c r="G35" s="4">
        <v>229</v>
      </c>
      <c r="H35" s="4">
        <v>159</v>
      </c>
      <c r="I35" s="4"/>
      <c r="J35" s="4"/>
      <c r="K35" s="4"/>
      <c r="L35" s="4"/>
      <c r="M35" s="4"/>
      <c r="N35" s="4"/>
      <c r="O35" s="4"/>
      <c r="P35" s="4"/>
      <c r="R35" s="2" t="s">
        <v>1</v>
      </c>
    </row>
    <row r="36" spans="1:18" x14ac:dyDescent="0.2">
      <c r="A36" s="7">
        <f>DATE(93,5,1)</f>
        <v>34090</v>
      </c>
      <c r="B36" s="4">
        <v>340.2</v>
      </c>
      <c r="C36" s="4">
        <v>541.5</v>
      </c>
      <c r="D36" s="4">
        <v>296.5</v>
      </c>
      <c r="E36" s="4">
        <v>295.5</v>
      </c>
      <c r="F36" s="4"/>
      <c r="G36" s="4">
        <v>249</v>
      </c>
      <c r="H36" s="4">
        <v>161.5</v>
      </c>
      <c r="I36" s="4"/>
      <c r="J36" s="4"/>
      <c r="K36" s="4"/>
      <c r="L36" s="4"/>
      <c r="M36" s="4"/>
      <c r="N36" s="4"/>
      <c r="O36" s="4"/>
      <c r="P36" s="4"/>
      <c r="R36" s="2" t="s">
        <v>1</v>
      </c>
    </row>
    <row r="37" spans="1:18" x14ac:dyDescent="0.2">
      <c r="A37" s="7">
        <f>DATE(93,5,4)</f>
        <v>34093</v>
      </c>
      <c r="B37" s="4">
        <v>339.75</v>
      </c>
      <c r="C37" s="4">
        <v>533</v>
      </c>
      <c r="D37" s="4">
        <v>295.5</v>
      </c>
      <c r="E37" s="4">
        <v>63</v>
      </c>
      <c r="F37" s="4"/>
      <c r="G37" s="4">
        <v>225.5</v>
      </c>
      <c r="H37" s="4">
        <v>160.5</v>
      </c>
      <c r="I37" s="4"/>
      <c r="J37" s="4"/>
      <c r="K37" s="4"/>
      <c r="L37" s="4"/>
      <c r="M37" s="4"/>
      <c r="N37" s="4"/>
      <c r="O37" s="4"/>
      <c r="P37" s="4"/>
      <c r="R37" s="2" t="s">
        <v>1</v>
      </c>
    </row>
    <row r="38" spans="1:18" x14ac:dyDescent="0.2">
      <c r="A38" s="7">
        <f>DATE(93,5,7)</f>
        <v>34096</v>
      </c>
      <c r="B38" s="4">
        <v>341.95</v>
      </c>
      <c r="C38" s="4">
        <v>526.5</v>
      </c>
      <c r="D38" s="4">
        <v>294.5</v>
      </c>
      <c r="E38" s="4">
        <v>283</v>
      </c>
      <c r="F38" s="4"/>
      <c r="G38" s="4">
        <v>227</v>
      </c>
      <c r="H38" s="4">
        <v>160.5</v>
      </c>
      <c r="I38" s="4"/>
      <c r="J38" s="4"/>
      <c r="K38" s="4"/>
      <c r="L38" s="4"/>
      <c r="M38" s="4"/>
      <c r="N38" s="4"/>
      <c r="O38" s="4"/>
      <c r="P38" s="4"/>
      <c r="R38" s="2" t="s">
        <v>1</v>
      </c>
    </row>
    <row r="39" spans="1:18" x14ac:dyDescent="0.2">
      <c r="A39" s="7">
        <f>DATE(93,5,10)</f>
        <v>34099</v>
      </c>
      <c r="B39" s="4">
        <v>342.9</v>
      </c>
      <c r="C39" s="4">
        <v>532</v>
      </c>
      <c r="D39" s="4">
        <v>292</v>
      </c>
      <c r="E39" s="4">
        <v>63.5</v>
      </c>
      <c r="F39" s="4"/>
      <c r="G39" s="4">
        <v>225.5</v>
      </c>
      <c r="H39" s="4">
        <v>159</v>
      </c>
      <c r="I39" s="4"/>
      <c r="J39" s="4"/>
      <c r="K39" s="4"/>
      <c r="L39" s="4"/>
      <c r="M39" s="4"/>
      <c r="N39" s="4"/>
      <c r="O39" s="4"/>
      <c r="P39" s="4"/>
      <c r="R39" s="2" t="s">
        <v>1</v>
      </c>
    </row>
    <row r="40" spans="1:18" x14ac:dyDescent="0.2">
      <c r="A40" s="7">
        <f>DATE(93,5,13)</f>
        <v>34102</v>
      </c>
      <c r="B40" s="4">
        <v>340</v>
      </c>
      <c r="C40" s="4">
        <v>524.5</v>
      </c>
      <c r="D40" s="4">
        <v>287</v>
      </c>
      <c r="E40" s="4">
        <v>519.5</v>
      </c>
      <c r="F40" s="4"/>
      <c r="G40" s="4">
        <v>232</v>
      </c>
      <c r="H40" s="4">
        <v>158.5</v>
      </c>
      <c r="I40" s="4"/>
      <c r="J40" s="4"/>
      <c r="K40" s="4"/>
      <c r="L40" s="4"/>
      <c r="M40" s="4"/>
      <c r="N40" s="4"/>
      <c r="O40" s="4"/>
      <c r="P40" s="4"/>
      <c r="R40" s="2" t="s">
        <v>1</v>
      </c>
    </row>
    <row r="41" spans="1:18" x14ac:dyDescent="0.2">
      <c r="A41" s="7">
        <f>DATE(93,5,16)</f>
        <v>34105</v>
      </c>
      <c r="B41" s="4">
        <v>339.6</v>
      </c>
      <c r="C41" s="4">
        <v>521.5</v>
      </c>
      <c r="D41" s="4">
        <v>290.5</v>
      </c>
      <c r="E41" s="4">
        <v>61.5</v>
      </c>
      <c r="F41" s="4"/>
      <c r="G41" s="4">
        <v>221</v>
      </c>
      <c r="H41" s="4">
        <v>161</v>
      </c>
      <c r="I41" s="4"/>
      <c r="J41" s="4"/>
      <c r="K41" s="4"/>
      <c r="L41" s="4"/>
      <c r="M41" s="4"/>
      <c r="N41" s="4"/>
      <c r="O41" s="4"/>
      <c r="P41" s="4"/>
      <c r="R41" s="2" t="s">
        <v>1</v>
      </c>
    </row>
    <row r="42" spans="1:18" x14ac:dyDescent="0.2">
      <c r="A42" s="7">
        <f>DATE(93,5,19)</f>
        <v>34108</v>
      </c>
      <c r="B42" s="4">
        <v>338</v>
      </c>
      <c r="C42" s="4">
        <v>535.5</v>
      </c>
      <c r="D42" s="4">
        <v>288</v>
      </c>
      <c r="E42" s="4">
        <v>581</v>
      </c>
      <c r="F42" s="4"/>
      <c r="G42" s="4">
        <v>234</v>
      </c>
      <c r="H42" s="4">
        <v>161.5</v>
      </c>
      <c r="I42" s="4"/>
      <c r="J42" s="4"/>
      <c r="K42" s="4"/>
      <c r="L42" s="4"/>
      <c r="M42" s="4"/>
      <c r="N42" s="4"/>
      <c r="O42" s="4"/>
      <c r="P42" s="4"/>
      <c r="R42" s="2" t="s">
        <v>1</v>
      </c>
    </row>
    <row r="43" spans="1:18" x14ac:dyDescent="0.2">
      <c r="A43" s="7">
        <f>DATE(93,5,22)</f>
        <v>34111</v>
      </c>
      <c r="B43" s="4">
        <v>338.5</v>
      </c>
      <c r="C43" s="4">
        <v>539.5</v>
      </c>
      <c r="D43" s="4">
        <v>289</v>
      </c>
      <c r="E43" s="4">
        <v>62</v>
      </c>
      <c r="F43" s="4"/>
      <c r="G43" s="4">
        <v>217.5</v>
      </c>
      <c r="H43" s="4">
        <v>160</v>
      </c>
      <c r="I43" s="4"/>
      <c r="J43" s="4"/>
      <c r="K43" s="4"/>
      <c r="L43" s="4"/>
      <c r="M43" s="4"/>
      <c r="N43" s="4"/>
      <c r="O43" s="4"/>
      <c r="P43" s="4"/>
      <c r="R43" s="2" t="s">
        <v>1</v>
      </c>
    </row>
    <row r="44" spans="1:18" x14ac:dyDescent="0.2">
      <c r="A44" s="7">
        <f>DATE(93,5,25)</f>
        <v>34114</v>
      </c>
      <c r="B44" s="4">
        <v>341.5</v>
      </c>
      <c r="C44" s="4">
        <v>554</v>
      </c>
      <c r="D44" s="4">
        <v>292</v>
      </c>
      <c r="E44" s="4">
        <v>735</v>
      </c>
      <c r="F44" s="4"/>
      <c r="G44" s="4">
        <v>311</v>
      </c>
      <c r="H44" s="4">
        <v>156.5</v>
      </c>
      <c r="I44" s="4"/>
      <c r="J44" s="4"/>
      <c r="K44" s="4"/>
      <c r="L44" s="4"/>
      <c r="M44" s="4"/>
      <c r="N44" s="4"/>
      <c r="O44" s="4"/>
      <c r="P44" s="4"/>
      <c r="R44" s="2" t="s">
        <v>1</v>
      </c>
    </row>
    <row r="45" spans="1:18" x14ac:dyDescent="0.2">
      <c r="A45" s="7">
        <f>DATE(93,5,28)</f>
        <v>34117</v>
      </c>
      <c r="B45" s="4">
        <v>339.5</v>
      </c>
      <c r="C45" s="4">
        <v>538</v>
      </c>
      <c r="D45" s="4">
        <v>291</v>
      </c>
      <c r="E45" s="4">
        <v>63</v>
      </c>
      <c r="F45" s="4"/>
      <c r="G45" s="4">
        <v>220.5</v>
      </c>
      <c r="H45" s="4">
        <v>156.5</v>
      </c>
      <c r="I45" s="4"/>
      <c r="J45" s="4"/>
      <c r="K45" s="4"/>
      <c r="L45" s="4"/>
      <c r="M45" s="4"/>
      <c r="N45" s="4"/>
      <c r="O45" s="4"/>
      <c r="P45" s="4"/>
      <c r="R45" s="2" t="s">
        <v>1</v>
      </c>
    </row>
    <row r="46" spans="1:18" x14ac:dyDescent="0.2">
      <c r="A46" s="7">
        <f>DATE(93,5,31)</f>
        <v>34120</v>
      </c>
      <c r="B46" s="4">
        <v>339</v>
      </c>
      <c r="C46" s="4">
        <v>532.5</v>
      </c>
      <c r="D46" s="4">
        <v>294</v>
      </c>
      <c r="E46" s="4">
        <v>529</v>
      </c>
      <c r="F46" s="4"/>
      <c r="G46" s="4">
        <v>221.5</v>
      </c>
      <c r="H46" s="4">
        <v>159.5</v>
      </c>
      <c r="I46" s="4"/>
      <c r="J46" s="4"/>
      <c r="K46" s="4"/>
      <c r="L46" s="4"/>
      <c r="M46" s="4"/>
      <c r="N46" s="4"/>
      <c r="O46" s="4"/>
      <c r="P46" s="4"/>
      <c r="R46" s="2" t="s">
        <v>1</v>
      </c>
    </row>
    <row r="47" spans="1:18" x14ac:dyDescent="0.2">
      <c r="A47" s="7">
        <f>DATE(93,6,3)</f>
        <v>34123</v>
      </c>
      <c r="B47" s="4">
        <v>342.5</v>
      </c>
      <c r="C47" s="4">
        <v>534.5</v>
      </c>
      <c r="D47" s="4">
        <v>291</v>
      </c>
      <c r="E47" s="4">
        <v>66</v>
      </c>
      <c r="F47" s="4"/>
      <c r="G47" s="4">
        <v>221</v>
      </c>
      <c r="H47" s="4">
        <v>160</v>
      </c>
      <c r="I47" s="4"/>
      <c r="J47" s="4"/>
      <c r="K47" s="4"/>
      <c r="L47" s="4"/>
      <c r="M47" s="4"/>
      <c r="N47" s="4"/>
      <c r="O47" s="4"/>
      <c r="P47" s="4"/>
      <c r="R47" s="2" t="s">
        <v>1</v>
      </c>
    </row>
    <row r="48" spans="1:18" x14ac:dyDescent="0.2">
      <c r="A48" s="7">
        <f>DATE(93,6,6)</f>
        <v>34126</v>
      </c>
      <c r="B48" s="4">
        <v>340</v>
      </c>
      <c r="C48" s="4">
        <v>536</v>
      </c>
      <c r="D48" s="4">
        <v>293</v>
      </c>
      <c r="E48" s="4">
        <v>510.5</v>
      </c>
      <c r="F48" s="4"/>
      <c r="G48" s="4">
        <v>227</v>
      </c>
      <c r="H48" s="4">
        <v>160.5</v>
      </c>
      <c r="I48" s="4"/>
      <c r="J48" s="4"/>
      <c r="K48" s="4"/>
      <c r="L48" s="4"/>
      <c r="M48" s="4"/>
      <c r="N48" s="4"/>
      <c r="O48" s="4"/>
      <c r="P48" s="4"/>
      <c r="R48" s="2" t="s">
        <v>1</v>
      </c>
    </row>
    <row r="49" spans="1:16" x14ac:dyDescent="0.2">
      <c r="A49" s="7">
        <f>DATE(93,6,9)</f>
        <v>34129</v>
      </c>
      <c r="B49" s="4">
        <v>345.5</v>
      </c>
      <c r="C49" s="4">
        <v>559.5</v>
      </c>
      <c r="D49" s="4">
        <v>294</v>
      </c>
      <c r="E49" s="4">
        <v>65</v>
      </c>
      <c r="F49" s="4"/>
      <c r="G49" s="4">
        <v>250.5</v>
      </c>
      <c r="H49" s="4">
        <v>159</v>
      </c>
      <c r="I49" s="4"/>
      <c r="J49" s="4"/>
      <c r="K49" s="4"/>
      <c r="L49" s="4"/>
      <c r="M49" s="4"/>
      <c r="N49" s="4"/>
      <c r="O49" s="4"/>
      <c r="P49" s="4"/>
    </row>
    <row r="50" spans="1:16" x14ac:dyDescent="0.2">
      <c r="A50" s="7">
        <f>DATE(93,6,12)</f>
        <v>34132</v>
      </c>
      <c r="B50" s="4">
        <v>341.5</v>
      </c>
      <c r="C50" s="4">
        <v>539</v>
      </c>
      <c r="D50" s="4">
        <v>294</v>
      </c>
      <c r="E50" s="4">
        <v>320</v>
      </c>
      <c r="F50" s="4"/>
      <c r="G50" s="4">
        <v>231</v>
      </c>
      <c r="H50" s="4">
        <v>160</v>
      </c>
      <c r="I50" s="4"/>
      <c r="J50" s="4"/>
      <c r="K50" s="4"/>
      <c r="L50" s="4"/>
      <c r="M50" s="4"/>
      <c r="N50" s="4"/>
      <c r="O50" s="4"/>
      <c r="P50" s="4"/>
    </row>
    <row r="51" spans="1:16" x14ac:dyDescent="0.2">
      <c r="A51" s="7">
        <f>DATE(93,6,15)</f>
        <v>34135</v>
      </c>
      <c r="B51" s="4">
        <v>342</v>
      </c>
      <c r="C51" s="4">
        <v>560</v>
      </c>
      <c r="D51" s="4">
        <v>292</v>
      </c>
      <c r="E51" s="4">
        <v>61</v>
      </c>
      <c r="F51" s="4"/>
      <c r="G51" s="4">
        <v>231</v>
      </c>
      <c r="H51" s="4">
        <v>162</v>
      </c>
      <c r="I51" s="4"/>
      <c r="J51" s="4"/>
      <c r="K51" s="4"/>
      <c r="L51" s="4"/>
      <c r="M51" s="4"/>
      <c r="N51" s="4"/>
      <c r="O51" s="4"/>
      <c r="P51" s="4"/>
    </row>
    <row r="52" spans="1:16" x14ac:dyDescent="0.2">
      <c r="A52" s="7">
        <f>DATE(93,6,18)</f>
        <v>34138</v>
      </c>
      <c r="B52" s="4">
        <v>340</v>
      </c>
      <c r="C52" s="4">
        <v>578</v>
      </c>
      <c r="D52" s="4">
        <v>290.5</v>
      </c>
      <c r="E52" s="4">
        <v>611.5</v>
      </c>
      <c r="F52" s="4"/>
      <c r="G52" s="4">
        <v>318.5</v>
      </c>
      <c r="H52" s="4">
        <v>158.5</v>
      </c>
      <c r="I52" s="4"/>
      <c r="J52" s="4"/>
      <c r="K52" s="4"/>
      <c r="L52" s="4"/>
      <c r="M52" s="4"/>
      <c r="N52" s="4"/>
      <c r="O52" s="4"/>
      <c r="P52" s="4"/>
    </row>
    <row r="53" spans="1:16" x14ac:dyDescent="0.2">
      <c r="A53" s="7">
        <f>DATE(93,6,21)</f>
        <v>34141</v>
      </c>
      <c r="B53" s="4">
        <v>342</v>
      </c>
      <c r="C53" s="4">
        <v>535</v>
      </c>
      <c r="D53" s="4">
        <v>295.5</v>
      </c>
      <c r="E53" s="4">
        <v>63.5</v>
      </c>
      <c r="F53" s="4"/>
      <c r="G53" s="4">
        <v>226.5</v>
      </c>
      <c r="H53" s="4">
        <v>160.5</v>
      </c>
      <c r="I53" s="4"/>
      <c r="J53" s="4"/>
      <c r="K53" s="4"/>
      <c r="L53" s="4"/>
      <c r="M53" s="4"/>
      <c r="N53" s="4"/>
      <c r="O53" s="4"/>
      <c r="P53" s="4"/>
    </row>
    <row r="54" spans="1:16" x14ac:dyDescent="0.2">
      <c r="A54" s="7">
        <f>DATE(93,6,27)</f>
        <v>34147</v>
      </c>
      <c r="B54" s="4">
        <v>348</v>
      </c>
      <c r="C54" s="4">
        <v>555</v>
      </c>
      <c r="D54" s="4">
        <v>294.5</v>
      </c>
      <c r="E54" s="4">
        <v>64</v>
      </c>
      <c r="F54" s="4"/>
      <c r="G54" s="4">
        <v>228.5</v>
      </c>
      <c r="H54" s="4">
        <v>162</v>
      </c>
      <c r="I54" s="4"/>
      <c r="J54" s="4"/>
      <c r="K54" s="4"/>
      <c r="L54" s="4"/>
      <c r="M54" s="4"/>
      <c r="N54" s="4"/>
      <c r="O54" s="4"/>
      <c r="P54" s="4"/>
    </row>
    <row r="55" spans="1:16" x14ac:dyDescent="0.2">
      <c r="A55" s="7">
        <f>DATE(93,6,30)</f>
        <v>34150</v>
      </c>
      <c r="B55" s="4">
        <v>345</v>
      </c>
      <c r="C55" s="4">
        <v>540.5</v>
      </c>
      <c r="D55" s="4">
        <v>294.5</v>
      </c>
      <c r="E55" s="4">
        <v>432.5</v>
      </c>
      <c r="F55" s="4"/>
      <c r="G55" s="4">
        <v>222.5</v>
      </c>
      <c r="H55" s="4">
        <v>159.5</v>
      </c>
      <c r="I55" s="4"/>
      <c r="J55" s="4"/>
      <c r="K55" s="4"/>
      <c r="L55" s="4"/>
      <c r="M55" s="4"/>
      <c r="N55" s="4"/>
      <c r="O55" s="4"/>
      <c r="P55" s="4"/>
    </row>
    <row r="56" spans="1:16" x14ac:dyDescent="0.2">
      <c r="A56" s="7">
        <f>DATE(93,7,3)</f>
        <v>34153</v>
      </c>
      <c r="B56" s="4">
        <v>342</v>
      </c>
      <c r="C56" s="4">
        <v>535.5</v>
      </c>
      <c r="D56" s="4">
        <v>294</v>
      </c>
      <c r="E56" s="4">
        <v>69</v>
      </c>
      <c r="F56" s="4">
        <v>27</v>
      </c>
      <c r="G56" s="4">
        <v>222</v>
      </c>
      <c r="H56" s="4">
        <v>156.5</v>
      </c>
      <c r="I56" s="4"/>
      <c r="J56" s="4"/>
      <c r="K56" s="4"/>
      <c r="L56" s="4"/>
      <c r="M56" s="4"/>
      <c r="N56" s="4"/>
      <c r="O56" s="4"/>
      <c r="P56" s="4"/>
    </row>
    <row r="57" spans="1:16" x14ac:dyDescent="0.2">
      <c r="A57" s="7">
        <f>DATE(93,7,6)</f>
        <v>34156</v>
      </c>
      <c r="B57" s="4">
        <v>342</v>
      </c>
      <c r="C57" s="4">
        <v>545.5</v>
      </c>
      <c r="D57" s="4">
        <v>297.5</v>
      </c>
      <c r="E57" s="4">
        <v>709</v>
      </c>
      <c r="F57" s="4">
        <v>21</v>
      </c>
      <c r="G57" s="4">
        <v>244.5</v>
      </c>
      <c r="H57" s="4">
        <v>157</v>
      </c>
      <c r="I57" s="4"/>
      <c r="J57" s="4"/>
      <c r="K57" s="4"/>
      <c r="L57" s="4"/>
      <c r="M57" s="4"/>
      <c r="N57" s="4"/>
      <c r="O57" s="4"/>
      <c r="P57" s="4"/>
    </row>
    <row r="58" spans="1:16" x14ac:dyDescent="0.2">
      <c r="A58" s="7">
        <f>DATE(93,7,9)</f>
        <v>34159</v>
      </c>
      <c r="B58" s="4">
        <v>341</v>
      </c>
      <c r="C58" s="4">
        <v>550.5</v>
      </c>
      <c r="D58" s="4">
        <v>294.5</v>
      </c>
      <c r="E58" s="4">
        <v>65</v>
      </c>
      <c r="F58" s="4"/>
      <c r="G58" s="4">
        <v>227.5</v>
      </c>
      <c r="H58" s="4">
        <v>160</v>
      </c>
      <c r="I58" s="4"/>
      <c r="J58" s="4"/>
      <c r="K58" s="4"/>
      <c r="L58" s="4"/>
      <c r="M58" s="4"/>
      <c r="N58" s="4"/>
      <c r="O58" s="4"/>
      <c r="P58" s="4"/>
    </row>
    <row r="59" spans="1:16" x14ac:dyDescent="0.2">
      <c r="A59" s="7">
        <f>DATE(93,7,12)</f>
        <v>34162</v>
      </c>
      <c r="B59" s="4">
        <v>339.5</v>
      </c>
      <c r="C59" s="4">
        <v>543</v>
      </c>
      <c r="D59" s="4">
        <v>301.5</v>
      </c>
      <c r="E59" s="4">
        <v>687</v>
      </c>
      <c r="F59" s="4"/>
      <c r="G59" s="4">
        <v>263.5</v>
      </c>
      <c r="H59" s="4">
        <v>163</v>
      </c>
      <c r="I59" s="4"/>
      <c r="J59" s="4"/>
      <c r="K59" s="4"/>
      <c r="L59" s="4"/>
      <c r="M59" s="4"/>
      <c r="N59" s="4"/>
      <c r="O59" s="4"/>
      <c r="P59" s="4"/>
    </row>
    <row r="60" spans="1:16" x14ac:dyDescent="0.2">
      <c r="A60" s="7">
        <f>DATE(93,7,15)</f>
        <v>34165</v>
      </c>
      <c r="B60" s="4">
        <v>339.5</v>
      </c>
      <c r="C60" s="4">
        <v>532.5</v>
      </c>
      <c r="D60" s="4">
        <v>293.5</v>
      </c>
      <c r="E60" s="4">
        <v>63</v>
      </c>
      <c r="F60" s="4">
        <v>22</v>
      </c>
      <c r="G60" s="4">
        <v>214</v>
      </c>
      <c r="H60" s="4">
        <v>156.5</v>
      </c>
      <c r="I60" s="4"/>
      <c r="J60" s="4"/>
      <c r="K60" s="4"/>
      <c r="L60" s="4"/>
      <c r="M60" s="4"/>
      <c r="N60" s="4"/>
      <c r="O60" s="4"/>
      <c r="P60" s="4"/>
    </row>
    <row r="61" spans="1:16" x14ac:dyDescent="0.2">
      <c r="A61" s="7">
        <f>DATE(93,7,18)</f>
        <v>34168</v>
      </c>
      <c r="B61" s="4">
        <v>340.5</v>
      </c>
      <c r="C61" s="4">
        <v>537.5</v>
      </c>
      <c r="D61" s="4">
        <v>289.5</v>
      </c>
      <c r="E61" s="4">
        <v>575.5</v>
      </c>
      <c r="F61" s="4">
        <v>28.5</v>
      </c>
      <c r="G61" s="4">
        <v>241.5</v>
      </c>
      <c r="H61" s="4">
        <v>156</v>
      </c>
      <c r="I61" s="4"/>
      <c r="J61" s="4"/>
      <c r="K61" s="4"/>
      <c r="L61" s="4"/>
      <c r="M61" s="4"/>
      <c r="N61" s="4"/>
      <c r="O61" s="4"/>
      <c r="P61" s="4"/>
    </row>
    <row r="62" spans="1:16" x14ac:dyDescent="0.2">
      <c r="A62" s="7">
        <f>DATE(93,7,27)</f>
        <v>34177</v>
      </c>
      <c r="B62" s="4">
        <v>341</v>
      </c>
      <c r="C62" s="4">
        <v>542</v>
      </c>
      <c r="D62" s="4">
        <v>294.5</v>
      </c>
      <c r="E62" s="4">
        <v>62</v>
      </c>
      <c r="F62" s="4">
        <v>16.5</v>
      </c>
      <c r="G62" s="4">
        <v>239</v>
      </c>
      <c r="H62" s="4">
        <v>160</v>
      </c>
      <c r="I62" s="4"/>
      <c r="J62" s="4"/>
      <c r="K62" s="4"/>
      <c r="L62" s="4"/>
      <c r="M62" s="4"/>
      <c r="N62" s="4"/>
      <c r="O62" s="4"/>
      <c r="P62" s="4"/>
    </row>
    <row r="63" spans="1:16" x14ac:dyDescent="0.2">
      <c r="A63" s="7">
        <f>DATE(93,8,2)</f>
        <v>34183</v>
      </c>
      <c r="B63" s="4">
        <v>344.5</v>
      </c>
      <c r="C63" s="4">
        <v>533.5</v>
      </c>
      <c r="D63" s="4">
        <v>299.5</v>
      </c>
      <c r="E63" s="4">
        <v>65.5</v>
      </c>
      <c r="F63" s="4">
        <v>22</v>
      </c>
      <c r="G63" s="4">
        <v>248.5</v>
      </c>
      <c r="H63" s="4">
        <v>157.5</v>
      </c>
      <c r="I63" s="4"/>
      <c r="J63" s="4"/>
      <c r="K63" s="4"/>
      <c r="L63" s="4"/>
      <c r="M63" s="4"/>
      <c r="N63" s="4"/>
      <c r="O63" s="4"/>
      <c r="P63" s="4"/>
    </row>
    <row r="64" spans="1:16" x14ac:dyDescent="0.2">
      <c r="A64" s="7">
        <f>DATE(93,8,5)</f>
        <v>34186</v>
      </c>
      <c r="B64" s="4">
        <v>341.5</v>
      </c>
      <c r="C64" s="4">
        <v>529.5</v>
      </c>
      <c r="D64" s="4">
        <v>286.5</v>
      </c>
      <c r="E64" s="4">
        <v>475.5</v>
      </c>
      <c r="F64" s="4">
        <v>21.5</v>
      </c>
      <c r="G64" s="4">
        <v>206.5</v>
      </c>
      <c r="H64" s="4">
        <v>159.5</v>
      </c>
      <c r="I64" s="4"/>
      <c r="J64" s="4"/>
      <c r="K64" s="4"/>
      <c r="L64" s="4"/>
      <c r="M64" s="4"/>
      <c r="N64" s="4"/>
      <c r="O64" s="4"/>
      <c r="P64" s="4"/>
    </row>
    <row r="65" spans="1:16" x14ac:dyDescent="0.2">
      <c r="A65" s="7">
        <f>DATE(93,8,8)</f>
        <v>34189</v>
      </c>
      <c r="B65" s="4">
        <v>342</v>
      </c>
      <c r="C65" s="4">
        <v>538</v>
      </c>
      <c r="D65" s="4">
        <v>289</v>
      </c>
      <c r="E65" s="4">
        <v>62.5</v>
      </c>
      <c r="F65" s="4">
        <v>23</v>
      </c>
      <c r="G65" s="4">
        <v>209.5</v>
      </c>
      <c r="H65" s="4">
        <v>161</v>
      </c>
      <c r="I65" s="4"/>
      <c r="J65" s="4"/>
      <c r="K65" s="4"/>
      <c r="L65" s="4"/>
      <c r="M65" s="4"/>
      <c r="N65" s="4"/>
      <c r="O65" s="4"/>
      <c r="P65" s="4"/>
    </row>
    <row r="66" spans="1:16" x14ac:dyDescent="0.2">
      <c r="A66" s="7">
        <f>DATE(93,8,11)</f>
        <v>34192</v>
      </c>
      <c r="B66" s="4">
        <v>339</v>
      </c>
      <c r="C66" s="4">
        <v>532</v>
      </c>
      <c r="D66" s="4">
        <v>293</v>
      </c>
      <c r="E66" s="4">
        <v>499</v>
      </c>
      <c r="F66" s="4">
        <v>19</v>
      </c>
      <c r="G66" s="4">
        <v>211</v>
      </c>
      <c r="H66" s="4">
        <v>160</v>
      </c>
      <c r="I66" s="4"/>
      <c r="J66" s="4"/>
      <c r="K66" s="4"/>
      <c r="L66" s="4"/>
      <c r="M66" s="4"/>
      <c r="N66" s="4"/>
      <c r="O66" s="4"/>
      <c r="P66" s="4"/>
    </row>
    <row r="67" spans="1:16" x14ac:dyDescent="0.2">
      <c r="A67" s="7">
        <f>DATE(93,8,14)</f>
        <v>34195</v>
      </c>
      <c r="B67" s="4">
        <v>339.5</v>
      </c>
      <c r="C67" s="4">
        <v>532</v>
      </c>
      <c r="D67" s="4">
        <v>292</v>
      </c>
      <c r="E67" s="4">
        <v>61</v>
      </c>
      <c r="F67" s="4">
        <v>21</v>
      </c>
      <c r="G67" s="4">
        <v>210.5</v>
      </c>
      <c r="H67" s="4">
        <v>160.5</v>
      </c>
      <c r="I67" s="4"/>
      <c r="J67" s="4"/>
      <c r="K67" s="4"/>
      <c r="L67" s="4"/>
      <c r="M67" s="4"/>
      <c r="N67" s="4"/>
      <c r="O67" s="4"/>
      <c r="P67" s="4"/>
    </row>
    <row r="68" spans="1:16" x14ac:dyDescent="0.2">
      <c r="A68" s="7">
        <f>DATE(93,8,17)</f>
        <v>34198</v>
      </c>
      <c r="B68" s="4">
        <v>342</v>
      </c>
      <c r="C68" s="4">
        <v>533.5</v>
      </c>
      <c r="D68" s="4">
        <v>291.5</v>
      </c>
      <c r="E68" s="4">
        <v>342.5</v>
      </c>
      <c r="F68" s="4">
        <v>26</v>
      </c>
      <c r="G68" s="4">
        <v>208.5</v>
      </c>
      <c r="H68" s="4">
        <v>158.5</v>
      </c>
      <c r="I68" s="4"/>
      <c r="J68" s="4"/>
      <c r="K68" s="4"/>
      <c r="L68" s="4"/>
      <c r="M68" s="4"/>
      <c r="N68" s="4"/>
      <c r="O68" s="4"/>
      <c r="P68" s="4"/>
    </row>
    <row r="69" spans="1:16" x14ac:dyDescent="0.2">
      <c r="A69" s="7">
        <f>DATE(93,8,20)</f>
        <v>34201</v>
      </c>
      <c r="B69" s="4">
        <v>343</v>
      </c>
      <c r="C69" s="4">
        <v>534.5</v>
      </c>
      <c r="D69" s="4">
        <v>290.5</v>
      </c>
      <c r="E69" s="4">
        <v>62</v>
      </c>
      <c r="F69" s="4"/>
      <c r="G69" s="4">
        <v>201.5</v>
      </c>
      <c r="H69" s="4">
        <v>159.5</v>
      </c>
      <c r="I69" s="4"/>
      <c r="J69" s="4"/>
      <c r="K69" s="4"/>
      <c r="L69" s="4"/>
      <c r="M69" s="4"/>
      <c r="N69" s="4"/>
      <c r="O69" s="4"/>
      <c r="P69" s="4"/>
    </row>
    <row r="70" spans="1:16" x14ac:dyDescent="0.2">
      <c r="A70" s="7">
        <f>DATE(93,8,23)</f>
        <v>34204</v>
      </c>
      <c r="B70" s="4">
        <v>338</v>
      </c>
      <c r="C70" s="4">
        <v>540</v>
      </c>
      <c r="D70" s="4">
        <v>293</v>
      </c>
      <c r="E70" s="4">
        <v>586</v>
      </c>
      <c r="F70" s="4"/>
      <c r="G70" s="4">
        <v>226</v>
      </c>
      <c r="H70" s="4">
        <v>160</v>
      </c>
      <c r="I70" s="4"/>
      <c r="J70" s="4"/>
      <c r="K70" s="4"/>
      <c r="L70" s="4"/>
      <c r="M70" s="4"/>
      <c r="N70" s="4"/>
      <c r="O70" s="4"/>
      <c r="P70" s="4"/>
    </row>
    <row r="71" spans="1:16" x14ac:dyDescent="0.2">
      <c r="A71" s="7">
        <f>DATE(93,8,26)</f>
        <v>34207</v>
      </c>
      <c r="B71" s="4">
        <v>336.5</v>
      </c>
      <c r="C71" s="4">
        <v>546</v>
      </c>
      <c r="D71" s="4">
        <v>297</v>
      </c>
      <c r="E71" s="4">
        <v>66.5</v>
      </c>
      <c r="F71" s="4"/>
      <c r="G71" s="4">
        <v>288</v>
      </c>
      <c r="H71" s="4">
        <v>160.5</v>
      </c>
      <c r="I71" s="4"/>
      <c r="J71" s="4"/>
      <c r="K71" s="4"/>
      <c r="L71" s="4"/>
      <c r="M71" s="4"/>
      <c r="N71" s="4"/>
      <c r="O71" s="4"/>
      <c r="P71" s="4"/>
    </row>
    <row r="72" spans="1:16" x14ac:dyDescent="0.2">
      <c r="A72" s="7">
        <f>DATE(93,8,29)</f>
        <v>34210</v>
      </c>
      <c r="B72" s="4">
        <v>341</v>
      </c>
      <c r="C72" s="4">
        <v>544.5</v>
      </c>
      <c r="D72" s="4">
        <v>293</v>
      </c>
      <c r="E72" s="4">
        <v>611</v>
      </c>
      <c r="F72" s="4"/>
      <c r="G72" s="4">
        <v>237</v>
      </c>
      <c r="H72" s="4">
        <v>159.5</v>
      </c>
      <c r="I72" s="4"/>
      <c r="J72" s="4"/>
      <c r="K72" s="4"/>
      <c r="L72" s="4"/>
      <c r="M72" s="4"/>
      <c r="N72" s="4"/>
      <c r="O72" s="4"/>
      <c r="P72" s="4"/>
    </row>
    <row r="73" spans="1:16" x14ac:dyDescent="0.2">
      <c r="A73" s="7">
        <f>DATE(93,9,1)</f>
        <v>34213</v>
      </c>
      <c r="B73" s="4">
        <v>339.2</v>
      </c>
      <c r="C73" s="4">
        <v>531</v>
      </c>
      <c r="D73" s="4">
        <v>300</v>
      </c>
      <c r="E73" s="4">
        <v>62</v>
      </c>
      <c r="F73" s="4">
        <v>30</v>
      </c>
      <c r="G73" s="4">
        <v>216</v>
      </c>
      <c r="H73" s="4">
        <v>165</v>
      </c>
      <c r="I73" s="4"/>
      <c r="J73" s="4"/>
      <c r="K73" s="4"/>
      <c r="L73" s="4"/>
      <c r="M73" s="4"/>
      <c r="N73" s="4"/>
      <c r="O73" s="4"/>
      <c r="P73" s="4"/>
    </row>
    <row r="74" spans="1:16" x14ac:dyDescent="0.2">
      <c r="A74" s="7">
        <f>DATE(93,9,4)</f>
        <v>34216</v>
      </c>
      <c r="B74" s="4">
        <v>339.2</v>
      </c>
      <c r="C74" s="4">
        <v>531</v>
      </c>
      <c r="D74" s="4">
        <v>299</v>
      </c>
      <c r="E74" s="4">
        <v>341</v>
      </c>
      <c r="F74" s="4">
        <v>20</v>
      </c>
      <c r="G74" s="4">
        <v>216</v>
      </c>
      <c r="H74" s="4">
        <v>165</v>
      </c>
      <c r="I74" s="4"/>
      <c r="J74" s="4"/>
      <c r="K74" s="4"/>
      <c r="L74" s="4"/>
      <c r="M74" s="4"/>
      <c r="N74" s="4"/>
      <c r="O74" s="4"/>
      <c r="P74" s="4"/>
    </row>
    <row r="75" spans="1:16" x14ac:dyDescent="0.2">
      <c r="A75" s="7">
        <f>DATE(93,9,7)</f>
        <v>34219</v>
      </c>
      <c r="B75" s="4">
        <v>340.9</v>
      </c>
      <c r="C75" s="4">
        <v>542.5</v>
      </c>
      <c r="D75" s="4">
        <v>303.5</v>
      </c>
      <c r="E75" s="4">
        <v>67</v>
      </c>
      <c r="F75" s="4">
        <v>30.5</v>
      </c>
      <c r="G75" s="4">
        <v>239.5</v>
      </c>
      <c r="H75" s="4">
        <v>165.5</v>
      </c>
      <c r="I75" s="4"/>
      <c r="J75" s="4"/>
      <c r="K75" s="4"/>
      <c r="L75" s="4"/>
      <c r="M75" s="4"/>
      <c r="N75" s="4"/>
      <c r="O75" s="4"/>
      <c r="P75" s="4"/>
    </row>
    <row r="76" spans="1:16" x14ac:dyDescent="0.2">
      <c r="A76" s="7">
        <f>DATE(93,9,10)</f>
        <v>34222</v>
      </c>
      <c r="B76" s="4">
        <v>339.45</v>
      </c>
      <c r="C76" s="4">
        <v>538.5</v>
      </c>
      <c r="D76" s="4">
        <v>293.5</v>
      </c>
      <c r="E76" s="4">
        <v>240</v>
      </c>
      <c r="F76" s="4">
        <v>46.5</v>
      </c>
      <c r="G76" s="4">
        <v>219.5</v>
      </c>
      <c r="H76" s="4">
        <v>159.5</v>
      </c>
      <c r="I76" s="4"/>
      <c r="J76" s="4"/>
      <c r="K76" s="4"/>
      <c r="L76" s="4"/>
      <c r="M76" s="4"/>
      <c r="N76" s="4"/>
      <c r="O76" s="4"/>
      <c r="P76" s="4"/>
    </row>
    <row r="77" spans="1:16" x14ac:dyDescent="0.2">
      <c r="A77" s="7">
        <f>DATE(93,9,13)</f>
        <v>34225</v>
      </c>
      <c r="B77" s="4">
        <v>339.05</v>
      </c>
      <c r="C77" s="4">
        <v>533.5</v>
      </c>
      <c r="D77" s="4">
        <v>295</v>
      </c>
      <c r="E77" s="4">
        <v>63</v>
      </c>
      <c r="F77" s="4">
        <v>24</v>
      </c>
      <c r="G77" s="4">
        <v>222.5</v>
      </c>
      <c r="H77" s="4">
        <v>163</v>
      </c>
      <c r="I77" s="4"/>
      <c r="J77" s="4"/>
      <c r="K77" s="4"/>
      <c r="L77" s="4"/>
      <c r="M77" s="4"/>
      <c r="N77" s="4"/>
      <c r="O77" s="4"/>
      <c r="P77" s="4"/>
    </row>
    <row r="78" spans="1:16" x14ac:dyDescent="0.2">
      <c r="A78" s="7">
        <f>DATE(93,9,16)</f>
        <v>34228</v>
      </c>
      <c r="B78" s="4">
        <v>340.9</v>
      </c>
      <c r="C78" s="4">
        <v>547.5</v>
      </c>
      <c r="D78" s="4">
        <v>290.5</v>
      </c>
      <c r="E78" s="4">
        <v>498</v>
      </c>
      <c r="F78" s="4"/>
      <c r="G78" s="4">
        <v>239.5</v>
      </c>
      <c r="H78" s="4">
        <v>158.5</v>
      </c>
      <c r="I78" s="4"/>
      <c r="J78" s="4"/>
      <c r="K78" s="4"/>
      <c r="L78" s="4"/>
      <c r="M78" s="4"/>
      <c r="N78" s="4"/>
      <c r="O78" s="4"/>
      <c r="P78" s="4"/>
    </row>
    <row r="79" spans="1:16" x14ac:dyDescent="0.2">
      <c r="A79" s="7">
        <f>DATE(93,9,19)</f>
        <v>34231</v>
      </c>
      <c r="B79" s="4">
        <v>341.8</v>
      </c>
      <c r="C79" s="4">
        <v>546</v>
      </c>
      <c r="D79" s="4">
        <v>291</v>
      </c>
      <c r="E79" s="4">
        <v>63</v>
      </c>
      <c r="F79" s="4"/>
      <c r="G79" s="4">
        <v>215</v>
      </c>
      <c r="H79" s="4">
        <v>158</v>
      </c>
      <c r="I79" s="4"/>
      <c r="J79" s="4"/>
      <c r="K79" s="4"/>
      <c r="L79" s="4"/>
      <c r="M79" s="4"/>
      <c r="N79" s="4"/>
      <c r="O79" s="4"/>
      <c r="P79" s="4"/>
    </row>
    <row r="80" spans="1:16" x14ac:dyDescent="0.2">
      <c r="A80" s="7">
        <f>DATE(93,9,22)</f>
        <v>34234</v>
      </c>
      <c r="B80" s="4">
        <v>342.45</v>
      </c>
      <c r="C80" s="4">
        <v>546.5</v>
      </c>
      <c r="D80" s="4">
        <v>291.5</v>
      </c>
      <c r="E80" s="4">
        <v>389</v>
      </c>
      <c r="F80" s="4">
        <v>22.5</v>
      </c>
      <c r="G80" s="4">
        <v>214</v>
      </c>
      <c r="H80" s="4">
        <v>157.5</v>
      </c>
      <c r="I80" s="4"/>
      <c r="J80" s="4"/>
      <c r="K80" s="4"/>
      <c r="L80" s="4"/>
      <c r="M80" s="4"/>
      <c r="N80" s="4"/>
      <c r="O80" s="4"/>
      <c r="P80" s="4"/>
    </row>
    <row r="81" spans="1:16" x14ac:dyDescent="0.2">
      <c r="A81" s="7">
        <f>DATE(93,9,25)</f>
        <v>34237</v>
      </c>
      <c r="B81" s="4">
        <v>346.25</v>
      </c>
      <c r="C81" s="4">
        <v>558.5</v>
      </c>
      <c r="D81" s="4">
        <v>293.5</v>
      </c>
      <c r="E81" s="4">
        <v>62.5</v>
      </c>
      <c r="F81" s="4">
        <v>34</v>
      </c>
      <c r="G81" s="4">
        <v>235</v>
      </c>
      <c r="H81" s="4">
        <v>158.5</v>
      </c>
      <c r="I81" s="4"/>
      <c r="J81" s="4"/>
      <c r="K81" s="4"/>
      <c r="L81" s="4"/>
      <c r="M81" s="4"/>
      <c r="N81" s="4"/>
      <c r="O81" s="4"/>
      <c r="P81" s="4"/>
    </row>
    <row r="82" spans="1:16" x14ac:dyDescent="0.2">
      <c r="A82" s="7">
        <f>DATE(93,10,1)</f>
        <v>34243</v>
      </c>
      <c r="B82" s="4">
        <v>339</v>
      </c>
      <c r="C82" s="4">
        <v>535.5</v>
      </c>
      <c r="D82" s="4">
        <v>293.5</v>
      </c>
      <c r="E82" s="4">
        <v>63</v>
      </c>
      <c r="F82" s="4">
        <v>27</v>
      </c>
      <c r="G82" s="4">
        <v>226</v>
      </c>
      <c r="H82" s="4">
        <v>158.5</v>
      </c>
      <c r="I82" s="4"/>
      <c r="J82" s="4"/>
      <c r="K82" s="4"/>
      <c r="L82" s="4"/>
      <c r="M82" s="4"/>
      <c r="N82" s="4"/>
      <c r="O82" s="4"/>
      <c r="P82" s="4"/>
    </row>
    <row r="83" spans="1:16" x14ac:dyDescent="0.2">
      <c r="A83" s="7">
        <f>DATE(93,10,4)</f>
        <v>34246</v>
      </c>
      <c r="B83" s="4">
        <v>340.4</v>
      </c>
      <c r="C83" s="4">
        <v>532.5</v>
      </c>
      <c r="D83" s="4">
        <v>293.5</v>
      </c>
      <c r="E83" s="4">
        <v>574.5</v>
      </c>
      <c r="F83" s="4">
        <v>19.5</v>
      </c>
      <c r="G83" s="4">
        <v>213</v>
      </c>
      <c r="H83" s="4">
        <v>161.5</v>
      </c>
      <c r="I83" s="4"/>
      <c r="J83" s="4"/>
      <c r="K83" s="4"/>
      <c r="L83" s="4"/>
      <c r="M83" s="4"/>
      <c r="N83" s="4"/>
      <c r="O83" s="4"/>
      <c r="P83" s="4"/>
    </row>
    <row r="84" spans="1:16" x14ac:dyDescent="0.2">
      <c r="A84" s="7">
        <f>DATE(93,10,7)</f>
        <v>34249</v>
      </c>
      <c r="B84" s="4">
        <v>339.15</v>
      </c>
      <c r="C84" s="4">
        <v>535.5</v>
      </c>
      <c r="D84" s="4">
        <v>295.5</v>
      </c>
      <c r="E84" s="4">
        <v>64.5</v>
      </c>
      <c r="F84" s="4"/>
      <c r="G84" s="4">
        <v>217.5</v>
      </c>
      <c r="H84" s="4">
        <v>161.5</v>
      </c>
      <c r="I84" s="4"/>
      <c r="J84" s="4"/>
      <c r="K84" s="4"/>
      <c r="L84" s="4"/>
      <c r="M84" s="4"/>
      <c r="N84" s="4"/>
      <c r="O84" s="4"/>
      <c r="P84" s="4"/>
    </row>
    <row r="85" spans="1:16" x14ac:dyDescent="0.2">
      <c r="A85" s="7">
        <f>DATE(93,10,10)</f>
        <v>34252</v>
      </c>
      <c r="B85" s="4">
        <v>346.05</v>
      </c>
      <c r="C85" s="4">
        <v>560</v>
      </c>
      <c r="D85" s="4">
        <v>298</v>
      </c>
      <c r="E85" s="4">
        <v>433.5</v>
      </c>
      <c r="F85" s="4">
        <v>46</v>
      </c>
      <c r="G85" s="4">
        <v>341</v>
      </c>
      <c r="H85" s="4">
        <v>160.5</v>
      </c>
      <c r="I85" s="4"/>
      <c r="J85" s="4"/>
      <c r="K85" s="4"/>
      <c r="L85" s="4"/>
      <c r="M85" s="4"/>
      <c r="N85" s="4"/>
      <c r="O85" s="4"/>
      <c r="P85" s="4"/>
    </row>
    <row r="86" spans="1:16" x14ac:dyDescent="0.2">
      <c r="A86" s="7">
        <f>DATE(93,10,13)</f>
        <v>34255</v>
      </c>
      <c r="B86" s="4">
        <v>344.8</v>
      </c>
      <c r="C86" s="4">
        <v>538.5</v>
      </c>
      <c r="D86" s="4">
        <v>295</v>
      </c>
      <c r="E86" s="4">
        <v>63.5</v>
      </c>
      <c r="F86" s="4">
        <v>32</v>
      </c>
      <c r="G86" s="4">
        <v>232.5</v>
      </c>
      <c r="H86" s="4">
        <v>162.5</v>
      </c>
      <c r="I86" s="4"/>
      <c r="J86" s="4"/>
      <c r="K86" s="4"/>
      <c r="L86" s="4"/>
      <c r="M86" s="4"/>
      <c r="N86" s="4"/>
      <c r="O86" s="4"/>
      <c r="P86" s="4"/>
    </row>
    <row r="87" spans="1:16" x14ac:dyDescent="0.2">
      <c r="A87" s="7">
        <f>DATE(93,10,16)</f>
        <v>34258</v>
      </c>
      <c r="B87" s="4">
        <v>338.6</v>
      </c>
      <c r="C87" s="4">
        <v>538.5</v>
      </c>
      <c r="D87" s="4">
        <v>294</v>
      </c>
      <c r="E87" s="4">
        <v>399.5</v>
      </c>
      <c r="F87" s="4"/>
      <c r="G87" s="4">
        <v>210.5</v>
      </c>
      <c r="H87" s="4">
        <v>160.5</v>
      </c>
      <c r="I87" s="4"/>
      <c r="J87" s="4"/>
      <c r="K87" s="4"/>
      <c r="L87" s="4"/>
      <c r="M87" s="4"/>
      <c r="N87" s="4"/>
      <c r="O87" s="4"/>
      <c r="P87" s="4"/>
    </row>
    <row r="88" spans="1:16" x14ac:dyDescent="0.2">
      <c r="A88" s="7">
        <f>DATE(93,10,19)</f>
        <v>34261</v>
      </c>
      <c r="B88" s="4">
        <v>341.15</v>
      </c>
      <c r="C88" s="4">
        <v>544</v>
      </c>
      <c r="D88" s="4">
        <v>296</v>
      </c>
      <c r="E88" s="4">
        <v>61.5</v>
      </c>
      <c r="F88" s="4"/>
      <c r="G88" s="4">
        <v>214.5</v>
      </c>
      <c r="H88" s="4">
        <v>160</v>
      </c>
      <c r="I88" s="4"/>
      <c r="J88" s="4"/>
      <c r="K88" s="4"/>
      <c r="L88" s="4"/>
      <c r="M88" s="4"/>
      <c r="N88" s="4"/>
      <c r="O88" s="4"/>
      <c r="P88" s="4"/>
    </row>
    <row r="89" spans="1:16" x14ac:dyDescent="0.2">
      <c r="A89" s="7">
        <f>DATE(93,10,22)</f>
        <v>34264</v>
      </c>
      <c r="B89" s="4">
        <v>342.3</v>
      </c>
      <c r="C89" s="4">
        <v>568.5</v>
      </c>
      <c r="D89" s="4">
        <v>303</v>
      </c>
      <c r="E89" s="4">
        <v>278.5</v>
      </c>
      <c r="F89" s="4">
        <v>43</v>
      </c>
      <c r="G89" s="4">
        <v>305.5</v>
      </c>
      <c r="H89" s="4">
        <v>163.5</v>
      </c>
      <c r="I89" s="4"/>
      <c r="J89" s="4"/>
      <c r="K89" s="4"/>
      <c r="L89" s="4"/>
      <c r="M89" s="4"/>
      <c r="N89" s="4"/>
      <c r="O89" s="4"/>
      <c r="P89" s="4"/>
    </row>
    <row r="90" spans="1:16" x14ac:dyDescent="0.2">
      <c r="A90" s="7">
        <f>DATE(93,10,25)</f>
        <v>34267</v>
      </c>
      <c r="B90" s="4">
        <v>341.9</v>
      </c>
      <c r="C90" s="4">
        <v>563</v>
      </c>
      <c r="D90" s="4">
        <v>304</v>
      </c>
      <c r="E90" s="4">
        <v>69</v>
      </c>
      <c r="F90" s="4"/>
      <c r="G90" s="4">
        <v>305</v>
      </c>
      <c r="H90" s="4">
        <v>166</v>
      </c>
      <c r="I90" s="4"/>
      <c r="J90" s="4"/>
      <c r="K90" s="4"/>
      <c r="L90" s="4"/>
      <c r="M90" s="4"/>
      <c r="N90" s="4"/>
      <c r="O90" s="4"/>
      <c r="P90" s="4"/>
    </row>
    <row r="91" spans="1:16" x14ac:dyDescent="0.2">
      <c r="A91" s="7">
        <f>DATE(93,10,28)</f>
        <v>34270</v>
      </c>
      <c r="B91" s="4">
        <v>341.55</v>
      </c>
      <c r="C91" s="4">
        <v>548</v>
      </c>
      <c r="D91" s="4">
        <v>294.5</v>
      </c>
      <c r="E91" s="4">
        <v>519.5</v>
      </c>
      <c r="F91" s="4">
        <v>24.5</v>
      </c>
      <c r="G91" s="4">
        <v>244.5</v>
      </c>
      <c r="H91" s="4">
        <v>159</v>
      </c>
      <c r="I91" s="4"/>
      <c r="J91" s="4"/>
      <c r="K91" s="4"/>
      <c r="L91" s="4"/>
      <c r="M91" s="4"/>
      <c r="N91" s="4"/>
      <c r="O91" s="4"/>
      <c r="P91" s="4"/>
    </row>
    <row r="92" spans="1:16" x14ac:dyDescent="0.2">
      <c r="A92" s="7">
        <f>DATE(93,10,31)</f>
        <v>34273</v>
      </c>
      <c r="B92" s="4">
        <v>346.7</v>
      </c>
      <c r="C92" s="4">
        <v>560</v>
      </c>
      <c r="D92" s="4">
        <v>302</v>
      </c>
      <c r="E92" s="4">
        <v>84.5</v>
      </c>
      <c r="F92" s="4">
        <v>48</v>
      </c>
      <c r="G92" s="4">
        <v>314</v>
      </c>
      <c r="H92" s="4">
        <v>161.5</v>
      </c>
      <c r="I92" s="4"/>
      <c r="J92" s="4"/>
      <c r="K92" s="4"/>
      <c r="L92" s="4"/>
      <c r="M92" s="4"/>
      <c r="N92" s="4"/>
      <c r="O92" s="4"/>
      <c r="P92" s="4"/>
    </row>
    <row r="93" spans="1:16" x14ac:dyDescent="0.2">
      <c r="A93" s="7">
        <f>DATE(93,11,3)</f>
        <v>34276</v>
      </c>
      <c r="B93" s="4">
        <v>339.75</v>
      </c>
      <c r="C93" s="4">
        <v>547</v>
      </c>
      <c r="D93" s="4">
        <v>353</v>
      </c>
      <c r="E93" s="4">
        <v>303</v>
      </c>
      <c r="F93" s="4"/>
      <c r="G93" s="4">
        <v>313.5</v>
      </c>
      <c r="H93" s="4">
        <v>154</v>
      </c>
      <c r="I93" s="4"/>
      <c r="J93" s="4"/>
      <c r="K93" s="4"/>
      <c r="L93" s="4"/>
      <c r="M93" s="4"/>
      <c r="N93" s="4"/>
      <c r="O93" s="4"/>
      <c r="P93" s="4"/>
    </row>
    <row r="94" spans="1:16" x14ac:dyDescent="0.2">
      <c r="A94" s="7">
        <f>DATE(93,11,9)</f>
        <v>34282</v>
      </c>
      <c r="B94" s="4">
        <v>341.45</v>
      </c>
      <c r="C94" s="4">
        <v>579</v>
      </c>
      <c r="D94" s="4">
        <v>302</v>
      </c>
      <c r="E94" s="4">
        <v>267.5</v>
      </c>
      <c r="F94" s="4"/>
      <c r="G94" s="4">
        <v>437</v>
      </c>
      <c r="H94" s="4">
        <v>163</v>
      </c>
      <c r="I94" s="4"/>
      <c r="J94" s="4"/>
      <c r="K94" s="4"/>
      <c r="L94" s="4"/>
      <c r="M94" s="4"/>
      <c r="N94" s="4"/>
      <c r="O94" s="4"/>
      <c r="P94" s="4"/>
    </row>
    <row r="95" spans="1:16" x14ac:dyDescent="0.2">
      <c r="A95" s="7">
        <f>DATE(93,12,21)</f>
        <v>34324</v>
      </c>
      <c r="B95" s="4">
        <v>339.6</v>
      </c>
      <c r="C95" s="4">
        <v>535</v>
      </c>
      <c r="D95" s="4">
        <v>294</v>
      </c>
      <c r="E95" s="4">
        <v>270.5</v>
      </c>
      <c r="F95" s="4">
        <v>19</v>
      </c>
      <c r="G95" s="4">
        <v>210</v>
      </c>
      <c r="H95" s="4">
        <v>160.5</v>
      </c>
      <c r="I95" s="4"/>
      <c r="J95" s="4"/>
      <c r="K95" s="4"/>
      <c r="L95" s="4"/>
      <c r="M95" s="4"/>
      <c r="N95" s="4"/>
      <c r="O95" s="4"/>
      <c r="P95" s="4"/>
    </row>
    <row r="96" spans="1:16" x14ac:dyDescent="0.2">
      <c r="A96" s="7">
        <f>DATE(93,12,27)</f>
        <v>34330</v>
      </c>
      <c r="B96" s="4">
        <v>341.6</v>
      </c>
      <c r="C96" s="4">
        <v>616.5</v>
      </c>
      <c r="D96" s="4">
        <v>354</v>
      </c>
      <c r="E96" s="4">
        <v>434.5</v>
      </c>
      <c r="F96" s="4">
        <v>39</v>
      </c>
      <c r="G96" s="4">
        <v>474</v>
      </c>
      <c r="H96" s="4">
        <v>158</v>
      </c>
      <c r="I96" s="4"/>
      <c r="J96" s="4"/>
      <c r="K96" s="4"/>
      <c r="L96" s="4"/>
      <c r="M96" s="4"/>
      <c r="N96" s="4"/>
      <c r="O96" s="4"/>
      <c r="P96" s="4"/>
    </row>
    <row r="97" spans="1:16" x14ac:dyDescent="0.2">
      <c r="A97" s="7">
        <f>DATE(94,1,2)</f>
        <v>34336</v>
      </c>
      <c r="B97" s="4">
        <v>348.5</v>
      </c>
      <c r="C97" s="4">
        <v>545.5</v>
      </c>
      <c r="D97" s="4">
        <v>292</v>
      </c>
      <c r="E97" s="4">
        <v>547</v>
      </c>
      <c r="F97" s="4"/>
      <c r="G97" s="4">
        <v>210</v>
      </c>
      <c r="H97" s="4">
        <v>159.5</v>
      </c>
      <c r="I97" s="4"/>
      <c r="J97" s="4"/>
      <c r="K97" s="4"/>
      <c r="L97" s="4"/>
      <c r="M97" s="4"/>
      <c r="N97" s="4"/>
      <c r="O97" s="4"/>
      <c r="P97" s="4"/>
    </row>
    <row r="98" spans="1:16" x14ac:dyDescent="0.2">
      <c r="A98" s="7">
        <f>DATE(94,1,8)</f>
        <v>34342</v>
      </c>
      <c r="B98" s="4">
        <v>347.5</v>
      </c>
      <c r="C98" s="4">
        <v>555</v>
      </c>
      <c r="D98" s="4">
        <v>294</v>
      </c>
      <c r="E98" s="4">
        <v>323</v>
      </c>
      <c r="F98" s="4"/>
      <c r="G98" s="4">
        <v>298</v>
      </c>
      <c r="H98" s="4">
        <v>159.5</v>
      </c>
      <c r="I98" s="4"/>
      <c r="J98" s="4"/>
      <c r="K98" s="4"/>
      <c r="L98" s="4"/>
      <c r="M98" s="4"/>
      <c r="N98" s="4"/>
      <c r="O98" s="4"/>
      <c r="P98" s="4"/>
    </row>
    <row r="99" spans="1:16" x14ac:dyDescent="0.2">
      <c r="A99" s="7">
        <f>DATE(94,1,14)</f>
        <v>34348</v>
      </c>
      <c r="B99" s="4">
        <v>345.5</v>
      </c>
      <c r="C99" s="4">
        <v>546</v>
      </c>
      <c r="D99" s="4">
        <v>291.5</v>
      </c>
      <c r="E99" s="4">
        <v>241.5</v>
      </c>
      <c r="F99" s="4">
        <v>17.5</v>
      </c>
      <c r="G99" s="4">
        <v>212</v>
      </c>
      <c r="H99" s="4">
        <v>160.5</v>
      </c>
      <c r="I99" s="4"/>
      <c r="J99" s="4"/>
      <c r="K99" s="4"/>
      <c r="L99" s="4"/>
      <c r="M99" s="4"/>
      <c r="N99" s="4"/>
      <c r="O99" s="4"/>
      <c r="P99" s="4"/>
    </row>
    <row r="100" spans="1:16" x14ac:dyDescent="0.2">
      <c r="A100" s="7">
        <f>DATE(94,1,20)</f>
        <v>34354</v>
      </c>
      <c r="B100" s="4">
        <v>343.5</v>
      </c>
      <c r="C100" s="4">
        <v>594.5</v>
      </c>
      <c r="D100" s="4">
        <v>302.5</v>
      </c>
      <c r="E100" s="4">
        <v>466</v>
      </c>
      <c r="F100" s="4">
        <v>28</v>
      </c>
      <c r="G100" s="4">
        <v>415.5</v>
      </c>
      <c r="H100" s="4">
        <v>158.5</v>
      </c>
      <c r="I100" s="4"/>
      <c r="J100" s="4"/>
      <c r="K100" s="4"/>
      <c r="L100" s="4"/>
      <c r="M100" s="4"/>
      <c r="N100" s="4"/>
      <c r="O100" s="4"/>
      <c r="P100" s="4"/>
    </row>
    <row r="101" spans="1:16" x14ac:dyDescent="0.2">
      <c r="A101" s="7">
        <f>DATE(94,1,26)</f>
        <v>34360</v>
      </c>
      <c r="B101" s="4">
        <v>340.4</v>
      </c>
      <c r="C101" s="4">
        <v>534.5</v>
      </c>
      <c r="D101" s="4">
        <v>292.5</v>
      </c>
      <c r="E101" s="4">
        <v>402.5</v>
      </c>
      <c r="F101" s="4">
        <v>23.5</v>
      </c>
      <c r="G101" s="4">
        <v>224</v>
      </c>
      <c r="H101" s="4">
        <v>160</v>
      </c>
      <c r="I101" s="4"/>
      <c r="J101" s="4"/>
      <c r="K101" s="4"/>
      <c r="L101" s="4"/>
      <c r="M101" s="4"/>
      <c r="N101" s="4"/>
      <c r="O101" s="4"/>
      <c r="P101" s="4"/>
    </row>
    <row r="102" spans="1:16" x14ac:dyDescent="0.2">
      <c r="A102" s="7">
        <f>DATE(94,2,1)</f>
        <v>34366</v>
      </c>
      <c r="B102" s="4">
        <v>341.75</v>
      </c>
      <c r="C102" s="4">
        <v>547</v>
      </c>
      <c r="D102" s="4">
        <v>296</v>
      </c>
      <c r="E102" s="4">
        <v>254</v>
      </c>
      <c r="F102" s="4"/>
      <c r="G102" s="4">
        <v>227.5</v>
      </c>
      <c r="H102" s="4">
        <v>162</v>
      </c>
      <c r="I102" s="4"/>
      <c r="J102" s="4"/>
      <c r="K102" s="4"/>
      <c r="L102" s="4"/>
      <c r="M102" s="4"/>
      <c r="N102" s="4"/>
      <c r="O102" s="4"/>
      <c r="P102" s="4"/>
    </row>
    <row r="103" spans="1:16" x14ac:dyDescent="0.2">
      <c r="A103" s="7">
        <f>DATE(94,2,7)</f>
        <v>34372</v>
      </c>
      <c r="B103" s="4">
        <v>341.5</v>
      </c>
      <c r="C103" s="4">
        <v>549</v>
      </c>
      <c r="D103" s="4">
        <v>298</v>
      </c>
      <c r="E103" s="4">
        <v>452</v>
      </c>
      <c r="F103" s="4"/>
      <c r="G103" s="4">
        <v>248</v>
      </c>
      <c r="H103" s="4">
        <v>162</v>
      </c>
      <c r="I103" s="4"/>
      <c r="J103" s="4"/>
      <c r="K103" s="4"/>
      <c r="L103" s="4"/>
      <c r="M103" s="4"/>
      <c r="N103" s="4"/>
      <c r="O103" s="4"/>
      <c r="P103" s="4"/>
    </row>
    <row r="104" spans="1:16" x14ac:dyDescent="0.2">
      <c r="A104" s="7">
        <f>DATE(94,2,13)</f>
        <v>34378</v>
      </c>
      <c r="B104" s="4">
        <v>343</v>
      </c>
      <c r="C104" s="4">
        <v>547</v>
      </c>
      <c r="D104" s="4">
        <v>295</v>
      </c>
      <c r="E104" s="4">
        <v>485.5</v>
      </c>
      <c r="F104" s="4">
        <v>24</v>
      </c>
      <c r="G104" s="4">
        <v>217.5</v>
      </c>
      <c r="H104" s="4">
        <v>161</v>
      </c>
      <c r="I104" s="4"/>
      <c r="J104" s="4"/>
      <c r="K104" s="4"/>
      <c r="L104" s="4"/>
      <c r="M104" s="4"/>
      <c r="N104" s="4"/>
      <c r="O104" s="4"/>
      <c r="P104" s="4"/>
    </row>
    <row r="105" spans="1:16" x14ac:dyDescent="0.2">
      <c r="A105" s="7">
        <f>DATE(94,2,19)</f>
        <v>34384</v>
      </c>
      <c r="B105" s="4">
        <v>342.5</v>
      </c>
      <c r="C105" s="4">
        <v>544</v>
      </c>
      <c r="D105" s="4">
        <v>294.5</v>
      </c>
      <c r="E105" s="4">
        <v>504</v>
      </c>
      <c r="F105" s="4"/>
      <c r="G105" s="4">
        <v>208</v>
      </c>
      <c r="H105" s="4">
        <v>160.5</v>
      </c>
      <c r="I105" s="4"/>
      <c r="J105" s="4"/>
      <c r="K105" s="4"/>
      <c r="L105" s="4"/>
      <c r="M105" s="4"/>
      <c r="N105" s="4"/>
      <c r="O105" s="4"/>
      <c r="P105" s="4"/>
    </row>
    <row r="106" spans="1:16" x14ac:dyDescent="0.2">
      <c r="A106" s="7">
        <f>DATE(94,2,25)</f>
        <v>34390</v>
      </c>
      <c r="B106" s="4">
        <v>344.5</v>
      </c>
      <c r="C106" s="4">
        <v>550.5</v>
      </c>
      <c r="D106" s="4">
        <v>296</v>
      </c>
      <c r="E106" s="4">
        <v>239</v>
      </c>
      <c r="F106" s="4">
        <v>25</v>
      </c>
      <c r="G106" s="4">
        <v>239.5</v>
      </c>
      <c r="H106" s="4">
        <v>160.5</v>
      </c>
      <c r="I106" s="4"/>
      <c r="J106" s="4"/>
      <c r="K106" s="4"/>
      <c r="L106" s="4"/>
      <c r="M106" s="4"/>
      <c r="N106" s="4"/>
      <c r="O106" s="4"/>
      <c r="P106" s="4"/>
    </row>
    <row r="107" spans="1:16" x14ac:dyDescent="0.2">
      <c r="A107" s="7">
        <f>DATE(94,3,3)</f>
        <v>34396</v>
      </c>
      <c r="B107" s="4">
        <v>344.5</v>
      </c>
      <c r="C107" s="4">
        <v>580.5</v>
      </c>
      <c r="D107" s="4">
        <v>303.5</v>
      </c>
      <c r="E107" s="4">
        <v>504</v>
      </c>
      <c r="F107" s="4"/>
      <c r="G107" s="4">
        <v>445.5</v>
      </c>
      <c r="H107" s="4">
        <v>163.5</v>
      </c>
      <c r="I107" s="4"/>
      <c r="J107" s="4"/>
      <c r="K107" s="4"/>
      <c r="L107" s="4"/>
      <c r="M107" s="4"/>
      <c r="N107" s="4"/>
      <c r="O107" s="4"/>
      <c r="P107" s="4"/>
    </row>
    <row r="108" spans="1:16" x14ac:dyDescent="0.2">
      <c r="A108" s="7">
        <f>DATE(94,3,9)</f>
        <v>34402</v>
      </c>
      <c r="B108" s="4">
        <v>345</v>
      </c>
      <c r="C108" s="4">
        <v>556</v>
      </c>
      <c r="D108" s="4">
        <v>295</v>
      </c>
      <c r="E108" s="4">
        <v>439</v>
      </c>
      <c r="F108" s="4">
        <v>29</v>
      </c>
      <c r="G108" s="4">
        <v>223</v>
      </c>
      <c r="H108" s="4">
        <v>164.5</v>
      </c>
      <c r="I108" s="4"/>
      <c r="J108" s="4"/>
      <c r="K108" s="4"/>
      <c r="L108" s="4"/>
      <c r="M108" s="4"/>
      <c r="N108" s="4"/>
      <c r="O108" s="4"/>
      <c r="P108" s="4"/>
    </row>
    <row r="109" spans="1:16" x14ac:dyDescent="0.2">
      <c r="A109" s="7">
        <f>DATE(94,3,15)</f>
        <v>34408</v>
      </c>
      <c r="B109" s="4">
        <v>345</v>
      </c>
      <c r="C109" s="4">
        <v>556.5</v>
      </c>
      <c r="D109" s="4">
        <v>294</v>
      </c>
      <c r="E109" s="4">
        <v>273</v>
      </c>
      <c r="F109" s="4">
        <v>31</v>
      </c>
      <c r="G109" s="4">
        <v>218.5</v>
      </c>
      <c r="H109" s="4">
        <v>164.5</v>
      </c>
      <c r="I109" s="4"/>
      <c r="J109" s="4"/>
      <c r="K109" s="4"/>
      <c r="L109" s="4"/>
      <c r="M109" s="4"/>
      <c r="N109" s="4"/>
      <c r="O109" s="4"/>
      <c r="P109" s="4"/>
    </row>
    <row r="110" spans="1:16" x14ac:dyDescent="0.2">
      <c r="A110" s="7">
        <f>DATE(94,3,22)</f>
        <v>34415</v>
      </c>
      <c r="B110" s="4">
        <v>346.5</v>
      </c>
      <c r="C110" s="4">
        <v>542</v>
      </c>
      <c r="D110" s="4">
        <v>300.5</v>
      </c>
      <c r="E110" s="4">
        <v>390.5</v>
      </c>
      <c r="F110" s="4">
        <v>22</v>
      </c>
      <c r="G110" s="4">
        <v>212</v>
      </c>
      <c r="H110" s="4">
        <v>165.5</v>
      </c>
      <c r="I110" s="4"/>
      <c r="J110" s="4"/>
      <c r="K110" s="4"/>
      <c r="L110" s="4"/>
      <c r="M110" s="4"/>
      <c r="N110" s="4"/>
      <c r="O110" s="4"/>
      <c r="P110" s="4"/>
    </row>
    <row r="111" spans="1:16" x14ac:dyDescent="0.2">
      <c r="A111" s="7">
        <f>DATE(94,3,27)</f>
        <v>34420</v>
      </c>
      <c r="B111" s="4">
        <v>347</v>
      </c>
      <c r="C111" s="4">
        <v>549.5</v>
      </c>
      <c r="D111" s="4">
        <v>303.5</v>
      </c>
      <c r="E111" s="4">
        <v>454</v>
      </c>
      <c r="F111" s="4">
        <v>24</v>
      </c>
      <c r="G111" s="4">
        <v>232</v>
      </c>
      <c r="H111" s="4">
        <v>166.5</v>
      </c>
      <c r="I111" s="4"/>
      <c r="J111" s="4"/>
      <c r="K111" s="4"/>
      <c r="L111" s="4"/>
      <c r="M111" s="4"/>
      <c r="N111" s="4"/>
      <c r="O111" s="4"/>
      <c r="P111" s="4"/>
    </row>
    <row r="112" spans="1:16" x14ac:dyDescent="0.2">
      <c r="A112" s="7">
        <f>DATE(94,5,11)</f>
        <v>34465</v>
      </c>
      <c r="B112" s="4">
        <v>343</v>
      </c>
      <c r="C112" s="4">
        <v>541</v>
      </c>
      <c r="D112" s="4">
        <v>295</v>
      </c>
      <c r="E112" s="4">
        <v>61</v>
      </c>
      <c r="F112" s="4">
        <v>20</v>
      </c>
      <c r="G112" s="4">
        <v>199.5</v>
      </c>
      <c r="H112" s="4">
        <v>160.5</v>
      </c>
      <c r="I112" s="4"/>
      <c r="J112" s="4"/>
      <c r="K112" s="4"/>
      <c r="L112" s="4"/>
      <c r="M112" s="4"/>
      <c r="N112" s="4"/>
      <c r="O112" s="4"/>
      <c r="P112" s="4"/>
    </row>
    <row r="113" spans="1:16" x14ac:dyDescent="0.2">
      <c r="A113" s="7">
        <f>DATE(94,5,14)</f>
        <v>34468</v>
      </c>
      <c r="B113" s="4">
        <v>343</v>
      </c>
      <c r="C113" s="4">
        <v>542.5</v>
      </c>
      <c r="D113" s="4">
        <v>295.5</v>
      </c>
      <c r="E113" s="4">
        <v>433.5</v>
      </c>
      <c r="F113" s="4">
        <v>23</v>
      </c>
      <c r="G113" s="4">
        <v>206</v>
      </c>
      <c r="H113" s="4">
        <v>158</v>
      </c>
      <c r="I113" s="4"/>
      <c r="J113" s="4"/>
      <c r="K113" s="4"/>
      <c r="L113" s="4"/>
      <c r="M113" s="4"/>
      <c r="N113" s="4"/>
      <c r="O113" s="4"/>
      <c r="P113" s="4"/>
    </row>
    <row r="114" spans="1:16" x14ac:dyDescent="0.2">
      <c r="A114" s="7">
        <f>DATE(94,6,13)</f>
        <v>34498</v>
      </c>
      <c r="B114" s="4">
        <v>341.9</v>
      </c>
      <c r="C114" s="4">
        <v>544</v>
      </c>
      <c r="D114" s="4">
        <v>294</v>
      </c>
      <c r="E114" s="4">
        <v>564</v>
      </c>
      <c r="F114" s="4">
        <v>17</v>
      </c>
      <c r="G114" s="4">
        <v>203</v>
      </c>
      <c r="H114" s="4">
        <v>162</v>
      </c>
      <c r="I114" s="4"/>
      <c r="J114" s="4"/>
      <c r="K114" s="4"/>
      <c r="L114" s="4"/>
      <c r="M114" s="4"/>
      <c r="N114" s="4"/>
      <c r="O114" s="4"/>
      <c r="P114" s="4"/>
    </row>
    <row r="115" spans="1:16" x14ac:dyDescent="0.2">
      <c r="A115" s="7">
        <f>DATE(94,6,19)</f>
        <v>34504</v>
      </c>
      <c r="B115" s="4">
        <v>345</v>
      </c>
      <c r="C115" s="4">
        <v>547.5</v>
      </c>
      <c r="D115" s="4">
        <v>290</v>
      </c>
      <c r="E115" s="4">
        <v>511</v>
      </c>
      <c r="F115" s="4">
        <v>86</v>
      </c>
      <c r="G115" s="4">
        <v>199</v>
      </c>
      <c r="H115" s="4">
        <v>161</v>
      </c>
      <c r="I115" s="4"/>
      <c r="J115" s="4"/>
      <c r="K115" s="4"/>
      <c r="L115" s="4"/>
      <c r="M115" s="4"/>
      <c r="N115" s="4"/>
      <c r="O115" s="4"/>
      <c r="P115" s="4"/>
    </row>
    <row r="116" spans="1:16" x14ac:dyDescent="0.2">
      <c r="A116" s="7">
        <f>DATE(94,6,25)</f>
        <v>34510</v>
      </c>
      <c r="B116" s="4">
        <v>345</v>
      </c>
      <c r="C116" s="4">
        <v>544</v>
      </c>
      <c r="D116" s="4">
        <v>294</v>
      </c>
      <c r="E116" s="4">
        <v>429</v>
      </c>
      <c r="F116" s="4"/>
      <c r="G116" s="4">
        <v>197</v>
      </c>
      <c r="H116" s="4">
        <v>162</v>
      </c>
      <c r="I116" s="4"/>
      <c r="J116" s="4"/>
      <c r="K116" s="4"/>
      <c r="L116" s="4"/>
      <c r="M116" s="4"/>
      <c r="N116" s="4"/>
      <c r="O116" s="4"/>
      <c r="P116" s="4"/>
    </row>
    <row r="117" spans="1:16" x14ac:dyDescent="0.2">
      <c r="A117" s="7">
        <f>DATE(94,6,28)</f>
        <v>34513</v>
      </c>
      <c r="B117" s="4">
        <v>343</v>
      </c>
      <c r="C117" s="4">
        <v>544</v>
      </c>
      <c r="D117" s="4">
        <v>293</v>
      </c>
      <c r="E117" s="4">
        <v>60</v>
      </c>
      <c r="F117" s="4">
        <v>25</v>
      </c>
      <c r="G117" s="4">
        <v>195</v>
      </c>
      <c r="H117" s="4">
        <v>160</v>
      </c>
      <c r="I117" s="4"/>
      <c r="J117" s="4"/>
      <c r="K117" s="4"/>
      <c r="L117" s="4"/>
      <c r="M117" s="4"/>
      <c r="N117" s="4"/>
      <c r="O117" s="4"/>
      <c r="P117" s="4"/>
    </row>
    <row r="118" spans="1:16" x14ac:dyDescent="0.2">
      <c r="A118" s="7">
        <f>DATE(94,7,1)</f>
        <v>34516</v>
      </c>
      <c r="B118" s="4">
        <v>344</v>
      </c>
      <c r="C118" s="4">
        <v>547</v>
      </c>
      <c r="D118" s="4">
        <v>295</v>
      </c>
      <c r="E118" s="4">
        <v>575</v>
      </c>
      <c r="F118" s="4">
        <v>23</v>
      </c>
      <c r="G118" s="4">
        <v>210</v>
      </c>
      <c r="H118" s="4">
        <v>160</v>
      </c>
      <c r="I118" s="4"/>
      <c r="J118" s="4"/>
      <c r="K118" s="4"/>
      <c r="L118" s="4"/>
      <c r="M118" s="4"/>
      <c r="N118" s="4"/>
      <c r="O118" s="4"/>
      <c r="P118" s="4"/>
    </row>
    <row r="119" spans="1:16" x14ac:dyDescent="0.2">
      <c r="A119" s="7">
        <f>DATE(94,7,4)</f>
        <v>34519</v>
      </c>
      <c r="B119" s="4">
        <v>345.15</v>
      </c>
      <c r="C119" s="4">
        <v>544</v>
      </c>
      <c r="D119" s="4">
        <v>297</v>
      </c>
      <c r="E119" s="4">
        <v>62</v>
      </c>
      <c r="F119" s="4"/>
      <c r="G119" s="4">
        <v>198.5</v>
      </c>
      <c r="H119" s="4">
        <v>163</v>
      </c>
      <c r="I119" s="4"/>
      <c r="J119" s="4"/>
      <c r="K119" s="4"/>
      <c r="L119" s="4"/>
      <c r="M119" s="4"/>
      <c r="N119" s="4"/>
      <c r="O119" s="4"/>
      <c r="P119" s="4"/>
    </row>
    <row r="120" spans="1:16" x14ac:dyDescent="0.2">
      <c r="A120" s="7">
        <f>DATE(94,7,10)</f>
        <v>34525</v>
      </c>
      <c r="B120" s="4">
        <v>344.45</v>
      </c>
      <c r="C120" s="4">
        <v>553.5</v>
      </c>
      <c r="D120" s="4">
        <v>293.5</v>
      </c>
      <c r="E120" s="4">
        <v>63</v>
      </c>
      <c r="F120" s="4"/>
      <c r="G120" s="4">
        <v>212.5</v>
      </c>
      <c r="H120" s="4">
        <v>158</v>
      </c>
      <c r="I120" s="4"/>
      <c r="J120" s="4"/>
      <c r="K120" s="4"/>
      <c r="L120" s="4"/>
      <c r="M120" s="4"/>
      <c r="N120" s="4"/>
      <c r="O120" s="4"/>
      <c r="P120" s="4"/>
    </row>
    <row r="121" spans="1:16" x14ac:dyDescent="0.2">
      <c r="A121" s="7">
        <f>DATE(94,7,13)</f>
        <v>34528</v>
      </c>
      <c r="B121" s="4">
        <v>343</v>
      </c>
      <c r="C121" s="4">
        <v>544</v>
      </c>
      <c r="D121" s="4">
        <v>298</v>
      </c>
      <c r="E121" s="4">
        <v>469</v>
      </c>
      <c r="F121" s="4"/>
      <c r="G121" s="4">
        <v>209</v>
      </c>
      <c r="H121" s="4">
        <v>162</v>
      </c>
      <c r="I121" s="4"/>
      <c r="J121" s="4"/>
      <c r="K121" s="4"/>
      <c r="L121" s="4"/>
      <c r="M121" s="4"/>
      <c r="N121" s="4"/>
      <c r="O121" s="4"/>
      <c r="P121" s="4"/>
    </row>
    <row r="122" spans="1:16" x14ac:dyDescent="0.2">
      <c r="A122" s="7">
        <f>DATE(94,7,16)</f>
        <v>34531</v>
      </c>
      <c r="B122" s="4">
        <v>343</v>
      </c>
      <c r="C122" s="4">
        <v>556</v>
      </c>
      <c r="D122" s="4">
        <v>297.5</v>
      </c>
      <c r="E122" s="4">
        <v>63.5</v>
      </c>
      <c r="F122" s="4"/>
      <c r="G122" s="4">
        <v>272</v>
      </c>
      <c r="H122" s="4">
        <v>161</v>
      </c>
      <c r="I122" s="4"/>
      <c r="J122" s="4"/>
      <c r="K122" s="4"/>
      <c r="L122" s="4"/>
      <c r="M122" s="4"/>
      <c r="N122" s="4"/>
      <c r="O122" s="4"/>
      <c r="P122" s="4"/>
    </row>
    <row r="123" spans="1:16" x14ac:dyDescent="0.2">
      <c r="A123" s="19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</row>
    <row r="124" spans="1:16" x14ac:dyDescent="0.2">
      <c r="A124" s="19"/>
      <c r="B124" s="8" t="s">
        <v>138</v>
      </c>
      <c r="C124" s="8" t="s">
        <v>136</v>
      </c>
      <c r="D124" s="8" t="s">
        <v>130</v>
      </c>
      <c r="E124" s="8" t="s">
        <v>133</v>
      </c>
      <c r="F124" s="8" t="s">
        <v>127</v>
      </c>
      <c r="G124" s="8" t="s">
        <v>121</v>
      </c>
      <c r="H124" s="8" t="s">
        <v>112</v>
      </c>
    </row>
    <row r="125" spans="1:16" x14ac:dyDescent="0.2">
      <c r="A125" s="7">
        <f>AVERAGE(A10:A122)</f>
        <v>34205.442477876109</v>
      </c>
      <c r="B125" s="4">
        <f t="shared" ref="B125:H125" si="13">AVERAGE(B26:B122)</f>
        <v>341.94123711340217</v>
      </c>
      <c r="C125" s="4">
        <f t="shared" si="13"/>
        <v>544.93814432989689</v>
      </c>
      <c r="D125" s="4">
        <f t="shared" si="13"/>
        <v>295.68041237113403</v>
      </c>
      <c r="E125" s="4">
        <f t="shared" si="13"/>
        <v>286.73711340206188</v>
      </c>
      <c r="F125" s="4">
        <f t="shared" si="13"/>
        <v>27.604651162790699</v>
      </c>
      <c r="G125" s="4">
        <f t="shared" si="13"/>
        <v>241.55154639175257</v>
      </c>
      <c r="H125" s="4">
        <f t="shared" si="13"/>
        <v>160.46391752577318</v>
      </c>
      <c r="I125" s="4"/>
      <c r="J125" s="4"/>
      <c r="K125" s="4"/>
      <c r="L125" s="4"/>
      <c r="M125" s="4"/>
      <c r="N125" s="4"/>
      <c r="O125" s="4"/>
      <c r="P125" s="4"/>
    </row>
    <row r="126" spans="1:16" x14ac:dyDescent="0.2">
      <c r="A126" s="19"/>
      <c r="B126" s="4">
        <f t="shared" ref="B126:H126" si="14">STDEV(B26:B122)</f>
        <v>2.5073123300209157</v>
      </c>
      <c r="C126" s="4">
        <f t="shared" si="14"/>
        <v>14.124863150509405</v>
      </c>
      <c r="D126" s="4">
        <f t="shared" si="14"/>
        <v>9.2447016264188875</v>
      </c>
      <c r="E126" s="4">
        <f t="shared" si="14"/>
        <v>215.39219428346846</v>
      </c>
      <c r="F126" s="4">
        <f t="shared" si="14"/>
        <v>12.120210462740719</v>
      </c>
      <c r="G126" s="4">
        <f t="shared" si="14"/>
        <v>51.560718885201339</v>
      </c>
      <c r="H126" s="4">
        <f t="shared" si="14"/>
        <v>2.2813184038607601</v>
      </c>
      <c r="I126" s="4"/>
      <c r="J126" s="4"/>
      <c r="K126" s="4"/>
      <c r="L126" s="4"/>
      <c r="M126" s="4"/>
      <c r="N126" s="4"/>
      <c r="O126" s="4"/>
      <c r="P126" s="4"/>
    </row>
    <row r="127" spans="1:16" x14ac:dyDescent="0.2">
      <c r="A127" s="19"/>
      <c r="B127" s="4">
        <f t="shared" ref="B127:H127" si="15">COUNTA(B26:B122)</f>
        <v>97</v>
      </c>
      <c r="C127" s="4">
        <f t="shared" si="15"/>
        <v>97</v>
      </c>
      <c r="D127" s="4">
        <f t="shared" si="15"/>
        <v>97</v>
      </c>
      <c r="E127" s="4">
        <f t="shared" si="15"/>
        <v>97</v>
      </c>
      <c r="F127" s="4">
        <f t="shared" si="15"/>
        <v>43</v>
      </c>
      <c r="G127" s="4">
        <f t="shared" si="15"/>
        <v>97</v>
      </c>
      <c r="H127" s="4">
        <f t="shared" si="15"/>
        <v>97</v>
      </c>
      <c r="I127" s="4"/>
      <c r="J127" s="4"/>
      <c r="K127" s="4"/>
      <c r="L127" s="4"/>
      <c r="M127" s="4"/>
      <c r="N127" s="4"/>
      <c r="O127" s="4"/>
      <c r="P127" s="4"/>
    </row>
    <row r="128" spans="1:16" x14ac:dyDescent="0.2">
      <c r="A128" s="19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</row>
    <row r="129" spans="1:16" x14ac:dyDescent="0.2">
      <c r="A129" s="19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</row>
    <row r="130" spans="1:16" x14ac:dyDescent="0.2">
      <c r="A130" s="19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</row>
    <row r="131" spans="1:16" x14ac:dyDescent="0.2">
      <c r="A131" s="19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</row>
    <row r="132" spans="1:16" x14ac:dyDescent="0.2">
      <c r="A132" s="19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</row>
    <row r="133" spans="1:16" x14ac:dyDescent="0.2">
      <c r="A133" s="19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</row>
    <row r="134" spans="1:16" x14ac:dyDescent="0.2">
      <c r="A134" s="19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</row>
    <row r="135" spans="1:16" x14ac:dyDescent="0.2">
      <c r="A135" s="19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</row>
    <row r="136" spans="1:16" x14ac:dyDescent="0.2">
      <c r="A136" s="19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</row>
    <row r="137" spans="1:16" x14ac:dyDescent="0.2">
      <c r="A137" s="19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</row>
    <row r="138" spans="1:16" x14ac:dyDescent="0.2">
      <c r="A138" s="19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</row>
    <row r="139" spans="1:16" x14ac:dyDescent="0.2">
      <c r="A139" s="19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</row>
    <row r="140" spans="1:16" x14ac:dyDescent="0.2">
      <c r="A140" s="19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</row>
    <row r="141" spans="1:16" x14ac:dyDescent="0.2">
      <c r="A141" s="19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</row>
    <row r="142" spans="1:16" x14ac:dyDescent="0.2">
      <c r="A142" s="19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</row>
    <row r="143" spans="1:16" x14ac:dyDescent="0.2">
      <c r="A143" s="19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</row>
    <row r="144" spans="1:16" x14ac:dyDescent="0.2">
      <c r="A144" s="19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</row>
    <row r="145" spans="1:16" x14ac:dyDescent="0.2">
      <c r="A145" s="19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</row>
    <row r="146" spans="1:16" x14ac:dyDescent="0.2"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</row>
    <row r="147" spans="1:16" x14ac:dyDescent="0.2"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</row>
    <row r="148" spans="1:16" x14ac:dyDescent="0.2"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</row>
    <row r="149" spans="1:16" x14ac:dyDescent="0.2"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</row>
    <row r="150" spans="1:16" x14ac:dyDescent="0.2"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</row>
    <row r="151" spans="1:16" x14ac:dyDescent="0.2"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</row>
    <row r="152" spans="1:16" x14ac:dyDescent="0.2"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</row>
    <row r="153" spans="1:16" x14ac:dyDescent="0.2"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</row>
    <row r="154" spans="1:16" x14ac:dyDescent="0.2"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</row>
    <row r="155" spans="1:16" x14ac:dyDescent="0.2"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</row>
    <row r="156" spans="1:16" x14ac:dyDescent="0.2"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</row>
    <row r="157" spans="1:16" x14ac:dyDescent="0.2"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</row>
    <row r="158" spans="1:16" x14ac:dyDescent="0.2"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</row>
    <row r="159" spans="1:16" x14ac:dyDescent="0.2"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</row>
    <row r="160" spans="1:16" x14ac:dyDescent="0.2"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</row>
    <row r="161" spans="2:16" x14ac:dyDescent="0.2"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</row>
    <row r="162" spans="2:16" x14ac:dyDescent="0.2"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</row>
    <row r="163" spans="2:16" x14ac:dyDescent="0.2"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</row>
    <row r="164" spans="2:16" x14ac:dyDescent="0.2"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</row>
    <row r="165" spans="2:16" x14ac:dyDescent="0.2"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</row>
    <row r="166" spans="2:16" x14ac:dyDescent="0.2"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</row>
    <row r="167" spans="2:16" x14ac:dyDescent="0.2"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</row>
    <row r="168" spans="2:16" x14ac:dyDescent="0.2"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</row>
    <row r="169" spans="2:16" x14ac:dyDescent="0.2"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</row>
    <row r="170" spans="2:16" x14ac:dyDescent="0.2"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</row>
    <row r="171" spans="2:16" x14ac:dyDescent="0.2"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</row>
    <row r="172" spans="2:16" x14ac:dyDescent="0.2"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</row>
    <row r="173" spans="2:16" x14ac:dyDescent="0.2"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</row>
    <row r="174" spans="2:16" x14ac:dyDescent="0.2"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</row>
    <row r="175" spans="2:16" x14ac:dyDescent="0.2"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</row>
    <row r="176" spans="2:16" x14ac:dyDescent="0.2"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</row>
    <row r="177" spans="2:16" x14ac:dyDescent="0.2"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</row>
    <row r="178" spans="2:16" x14ac:dyDescent="0.2"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</row>
    <row r="179" spans="2:16" x14ac:dyDescent="0.2"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</row>
    <row r="180" spans="2:16" x14ac:dyDescent="0.2"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</row>
    <row r="181" spans="2:16" x14ac:dyDescent="0.2"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</row>
    <row r="182" spans="2:16" x14ac:dyDescent="0.2"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</row>
  </sheetData>
  <pageMargins left="0.5" right="0.5" top="0.75" bottom="0.75" header="0.5" footer="0.5"/>
  <pageSetup orientation="portrait" horizontalDpi="0" verticalDpi="0" copies="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2"/>
  <sheetViews>
    <sheetView showOutlineSymbols="0" defaultGridColor="0" colorId="9" workbookViewId="0">
      <selection activeCell="E1" sqref="E1"/>
    </sheetView>
  </sheetViews>
  <sheetFormatPr defaultColWidth="8.6640625" defaultRowHeight="15" x14ac:dyDescent="0.2"/>
  <cols>
    <col min="1" max="16384" width="8.6640625" style="2"/>
  </cols>
  <sheetData>
    <row r="1" spans="1:16" ht="18" x14ac:dyDescent="0.25">
      <c r="A1" s="18" t="s">
        <v>519</v>
      </c>
      <c r="P1" s="2" t="s">
        <v>1</v>
      </c>
    </row>
    <row r="2" spans="1:16" x14ac:dyDescent="0.2">
      <c r="A2" s="2" t="s">
        <v>520</v>
      </c>
      <c r="P2" s="2" t="s">
        <v>1</v>
      </c>
    </row>
    <row r="3" spans="1:16" x14ac:dyDescent="0.2">
      <c r="A3" s="2" t="s">
        <v>521</v>
      </c>
      <c r="P3" s="2" t="s">
        <v>1</v>
      </c>
    </row>
    <row r="4" spans="1:16" x14ac:dyDescent="0.2">
      <c r="P4" s="2" t="s">
        <v>1</v>
      </c>
    </row>
    <row r="5" spans="1:16" x14ac:dyDescent="0.2">
      <c r="P5" s="2" t="s">
        <v>1</v>
      </c>
    </row>
    <row r="6" spans="1:16" x14ac:dyDescent="0.2">
      <c r="P6" s="2" t="s">
        <v>1</v>
      </c>
    </row>
    <row r="7" spans="1:16" x14ac:dyDescent="0.2">
      <c r="G7" s="8" t="s">
        <v>265</v>
      </c>
      <c r="H7" s="8" t="s">
        <v>265</v>
      </c>
      <c r="P7" s="2" t="s">
        <v>1</v>
      </c>
    </row>
    <row r="8" spans="1:16" x14ac:dyDescent="0.2">
      <c r="A8" s="15" t="s">
        <v>253</v>
      </c>
      <c r="B8" s="2" t="s">
        <v>522</v>
      </c>
      <c r="C8" s="8" t="s">
        <v>448</v>
      </c>
      <c r="D8" s="8" t="s">
        <v>138</v>
      </c>
      <c r="E8" s="8" t="s">
        <v>136</v>
      </c>
      <c r="F8" s="8" t="s">
        <v>130</v>
      </c>
      <c r="G8" s="8" t="s">
        <v>144</v>
      </c>
      <c r="H8" s="8" t="s">
        <v>144</v>
      </c>
      <c r="I8" s="8" t="s">
        <v>133</v>
      </c>
      <c r="J8" s="8" t="s">
        <v>127</v>
      </c>
      <c r="K8" s="8" t="s">
        <v>121</v>
      </c>
      <c r="L8" s="8" t="s">
        <v>112</v>
      </c>
      <c r="M8" s="8" t="s">
        <v>142</v>
      </c>
      <c r="N8" s="8" t="s">
        <v>140</v>
      </c>
      <c r="P8" s="2" t="s">
        <v>1</v>
      </c>
    </row>
    <row r="9" spans="1:16" x14ac:dyDescent="0.2">
      <c r="A9" s="19"/>
      <c r="B9" s="19"/>
      <c r="C9" s="8" t="s">
        <v>523</v>
      </c>
      <c r="D9" s="8" t="s">
        <v>266</v>
      </c>
      <c r="E9" s="8" t="s">
        <v>144</v>
      </c>
      <c r="F9" s="8" t="s">
        <v>144</v>
      </c>
      <c r="G9" s="8" t="s">
        <v>524</v>
      </c>
      <c r="H9" s="8" t="s">
        <v>525</v>
      </c>
      <c r="I9" s="8" t="s">
        <v>144</v>
      </c>
      <c r="J9" s="8" t="s">
        <v>144</v>
      </c>
      <c r="K9" s="8" t="s">
        <v>144</v>
      </c>
      <c r="L9" s="8" t="s">
        <v>144</v>
      </c>
      <c r="M9" s="8" t="s">
        <v>144</v>
      </c>
      <c r="N9" s="8" t="s">
        <v>144</v>
      </c>
      <c r="P9" s="2" t="s">
        <v>1</v>
      </c>
    </row>
    <row r="10" spans="1:16" x14ac:dyDescent="0.2">
      <c r="A10" s="19"/>
      <c r="P10" s="2" t="s">
        <v>1</v>
      </c>
    </row>
    <row r="11" spans="1:16" x14ac:dyDescent="0.2">
      <c r="A11" s="19">
        <f>DATE(82,5,7)</f>
        <v>30078</v>
      </c>
      <c r="B11" s="2">
        <v>178</v>
      </c>
      <c r="C11" s="2">
        <v>500</v>
      </c>
      <c r="D11" s="4">
        <v>335.7</v>
      </c>
      <c r="E11" s="4">
        <v>347.1</v>
      </c>
      <c r="F11" s="4">
        <v>203.3</v>
      </c>
      <c r="G11" s="4">
        <v>0.22</v>
      </c>
      <c r="H11" s="4">
        <v>0.3</v>
      </c>
      <c r="I11" s="4">
        <v>21.58</v>
      </c>
      <c r="J11" s="4">
        <v>42.5</v>
      </c>
      <c r="K11" s="4">
        <v>175.4</v>
      </c>
      <c r="L11" s="4">
        <v>154.9</v>
      </c>
      <c r="M11" s="4">
        <v>12.54</v>
      </c>
      <c r="N11" s="4">
        <v>69.28</v>
      </c>
      <c r="P11" s="2" t="s">
        <v>1</v>
      </c>
    </row>
    <row r="12" spans="1:16" x14ac:dyDescent="0.2">
      <c r="A12" s="19"/>
      <c r="B12" s="2">
        <v>202</v>
      </c>
      <c r="C12" s="2">
        <v>500</v>
      </c>
      <c r="D12" s="4">
        <v>338.6</v>
      </c>
      <c r="E12" s="4">
        <v>345.4</v>
      </c>
      <c r="F12" s="4">
        <v>209.1</v>
      </c>
      <c r="G12" s="4">
        <v>0.15</v>
      </c>
      <c r="H12" s="4">
        <v>0.23</v>
      </c>
      <c r="I12" s="4">
        <v>20.55</v>
      </c>
      <c r="J12" s="4">
        <v>32.89</v>
      </c>
      <c r="K12" s="4">
        <v>169.2</v>
      </c>
      <c r="L12" s="4">
        <v>161.69999999999999</v>
      </c>
      <c r="M12" s="4">
        <v>5.47</v>
      </c>
      <c r="N12" s="4">
        <v>59.93</v>
      </c>
      <c r="P12" s="2" t="s">
        <v>1</v>
      </c>
    </row>
    <row r="13" spans="1:16" x14ac:dyDescent="0.2">
      <c r="A13" s="19"/>
      <c r="B13" s="2">
        <v>115</v>
      </c>
      <c r="C13" s="2">
        <v>6000</v>
      </c>
      <c r="D13" s="4">
        <v>339.9</v>
      </c>
      <c r="E13" s="4">
        <v>349</v>
      </c>
      <c r="F13" s="4">
        <v>206.7</v>
      </c>
      <c r="G13" s="4">
        <v>0.14000000000000001</v>
      </c>
      <c r="H13" s="4">
        <v>0.16</v>
      </c>
      <c r="I13" s="4">
        <v>22.03</v>
      </c>
      <c r="J13" s="4">
        <v>33.33</v>
      </c>
      <c r="K13" s="4">
        <v>150.19999999999999</v>
      </c>
      <c r="L13" s="4">
        <v>147.6</v>
      </c>
      <c r="M13" s="4">
        <v>7.36</v>
      </c>
      <c r="N13" s="4">
        <v>104.2</v>
      </c>
      <c r="P13" s="2" t="s">
        <v>1</v>
      </c>
    </row>
    <row r="14" spans="1:16" x14ac:dyDescent="0.2">
      <c r="A14" s="19"/>
      <c r="B14" s="2">
        <v>14</v>
      </c>
      <c r="C14" s="2">
        <v>4000</v>
      </c>
      <c r="D14" s="4">
        <v>341.3</v>
      </c>
      <c r="E14" s="4">
        <v>350</v>
      </c>
      <c r="F14" s="4">
        <v>206.2</v>
      </c>
      <c r="G14" s="4">
        <v>0.32</v>
      </c>
      <c r="H14" s="4">
        <v>0.13</v>
      </c>
      <c r="I14" s="4">
        <v>23.36</v>
      </c>
      <c r="J14" s="4">
        <v>33.94</v>
      </c>
      <c r="K14" s="4">
        <v>150.30000000000001</v>
      </c>
      <c r="L14" s="4">
        <v>152.69999999999999</v>
      </c>
      <c r="M14" s="4">
        <v>12.91</v>
      </c>
      <c r="N14" s="4">
        <v>98.45</v>
      </c>
      <c r="P14" s="2" t="s">
        <v>1</v>
      </c>
    </row>
    <row r="15" spans="1:16" x14ac:dyDescent="0.2">
      <c r="A15" s="19"/>
      <c r="B15" s="2">
        <v>100</v>
      </c>
      <c r="C15" s="2">
        <v>2000</v>
      </c>
      <c r="D15" s="4">
        <v>340.1</v>
      </c>
      <c r="E15" s="4">
        <v>349.6</v>
      </c>
      <c r="F15" s="4">
        <v>204.1</v>
      </c>
      <c r="G15" s="4">
        <v>0.42</v>
      </c>
      <c r="H15" s="4">
        <v>0.15</v>
      </c>
      <c r="I15" s="4">
        <v>22.51</v>
      </c>
      <c r="J15" s="4">
        <v>34.08</v>
      </c>
      <c r="K15" s="4">
        <v>150.6</v>
      </c>
      <c r="L15" s="4">
        <v>144.69999999999999</v>
      </c>
      <c r="M15" s="4">
        <v>11.85</v>
      </c>
      <c r="N15" s="4">
        <v>89.27</v>
      </c>
      <c r="P15" s="2" t="s">
        <v>1</v>
      </c>
    </row>
    <row r="16" spans="1:16" x14ac:dyDescent="0.2">
      <c r="A16" s="19"/>
      <c r="B16" s="2">
        <v>180</v>
      </c>
      <c r="C16" s="2">
        <v>8000</v>
      </c>
      <c r="D16" s="4">
        <v>339.2</v>
      </c>
      <c r="E16" s="4">
        <v>349.6</v>
      </c>
      <c r="F16" s="4">
        <v>198.6</v>
      </c>
      <c r="G16" s="4">
        <v>0.15</v>
      </c>
      <c r="H16" s="4">
        <v>0.12</v>
      </c>
      <c r="I16" s="4">
        <v>24.37</v>
      </c>
      <c r="J16" s="4">
        <v>30.45</v>
      </c>
      <c r="K16" s="4">
        <v>167.8</v>
      </c>
      <c r="L16" s="4">
        <v>157.30000000000001</v>
      </c>
      <c r="M16" s="4">
        <v>14.97</v>
      </c>
      <c r="N16" s="4">
        <v>95.39</v>
      </c>
      <c r="P16" s="2" t="s">
        <v>1</v>
      </c>
    </row>
    <row r="17" spans="1:16" x14ac:dyDescent="0.2">
      <c r="A17" s="19"/>
      <c r="B17" s="2">
        <v>20</v>
      </c>
      <c r="C17" s="2">
        <v>6000</v>
      </c>
      <c r="D17" s="4">
        <v>337.7</v>
      </c>
      <c r="E17" s="4">
        <v>353.7</v>
      </c>
      <c r="F17" s="4">
        <v>199.8</v>
      </c>
      <c r="G17" s="4">
        <v>0.35</v>
      </c>
      <c r="H17" s="4">
        <v>0.16</v>
      </c>
      <c r="I17" s="4">
        <v>22.15</v>
      </c>
      <c r="J17" s="4">
        <v>36.75</v>
      </c>
      <c r="K17" s="4">
        <v>177.9</v>
      </c>
      <c r="L17" s="4">
        <v>167.1</v>
      </c>
      <c r="M17" s="4">
        <v>15.6</v>
      </c>
      <c r="N17" s="4">
        <v>106.5</v>
      </c>
      <c r="P17" s="2" t="s">
        <v>1</v>
      </c>
    </row>
    <row r="18" spans="1:16" x14ac:dyDescent="0.2">
      <c r="A18" s="19"/>
      <c r="B18" s="2">
        <v>26</v>
      </c>
      <c r="C18" s="2">
        <v>2000</v>
      </c>
      <c r="D18" s="4">
        <v>333.5</v>
      </c>
      <c r="E18" s="4">
        <v>345.5</v>
      </c>
      <c r="F18" s="4">
        <v>205.2</v>
      </c>
      <c r="G18" s="4">
        <v>0.55000000000000004</v>
      </c>
      <c r="H18" s="4">
        <v>0.19</v>
      </c>
      <c r="I18" s="4">
        <v>21.97</v>
      </c>
      <c r="J18" s="4">
        <v>38.22</v>
      </c>
      <c r="K18" s="4">
        <v>181.2</v>
      </c>
      <c r="L18" s="4">
        <v>152.69999999999999</v>
      </c>
      <c r="M18" s="4">
        <v>18.12</v>
      </c>
      <c r="N18" s="4">
        <v>90.72</v>
      </c>
      <c r="P18" s="2" t="s">
        <v>1</v>
      </c>
    </row>
    <row r="19" spans="1:16" x14ac:dyDescent="0.2">
      <c r="A19" s="19"/>
      <c r="B19" s="2">
        <v>197</v>
      </c>
      <c r="C19" s="2">
        <v>10000</v>
      </c>
      <c r="D19" s="4">
        <v>336.8</v>
      </c>
      <c r="E19" s="4">
        <v>350.2</v>
      </c>
      <c r="F19" s="4">
        <v>205.8</v>
      </c>
      <c r="G19" s="4">
        <v>7.0000000000000007E-2</v>
      </c>
      <c r="H19" s="4">
        <v>0.11</v>
      </c>
      <c r="I19" s="4">
        <v>21.61</v>
      </c>
      <c r="J19" s="4">
        <v>34.01</v>
      </c>
      <c r="K19" s="4">
        <v>161.6</v>
      </c>
      <c r="L19" s="4">
        <v>148.30000000000001</v>
      </c>
      <c r="M19" s="4">
        <v>9.6999999999999993</v>
      </c>
      <c r="N19" s="4">
        <v>102.9</v>
      </c>
      <c r="P19" s="2" t="s">
        <v>1</v>
      </c>
    </row>
    <row r="20" spans="1:16" x14ac:dyDescent="0.2">
      <c r="A20" s="19"/>
      <c r="B20" s="2">
        <v>42</v>
      </c>
      <c r="C20" s="2">
        <v>8000</v>
      </c>
      <c r="D20" s="4">
        <v>338.2</v>
      </c>
      <c r="E20" s="4">
        <v>352.5</v>
      </c>
      <c r="F20" s="4">
        <v>201.6</v>
      </c>
      <c r="G20" s="4">
        <v>0.45</v>
      </c>
      <c r="H20" s="4">
        <v>0.09</v>
      </c>
      <c r="I20" s="4">
        <v>22.36</v>
      </c>
      <c r="J20" s="4">
        <v>22.33</v>
      </c>
      <c r="K20" s="4">
        <v>162.4</v>
      </c>
      <c r="L20" s="4">
        <v>153.5</v>
      </c>
      <c r="M20" s="4">
        <v>12.95</v>
      </c>
      <c r="N20" s="4">
        <v>101.5</v>
      </c>
      <c r="P20" s="2" t="s">
        <v>1</v>
      </c>
    </row>
    <row r="21" spans="1:16" x14ac:dyDescent="0.2">
      <c r="A21" s="19"/>
      <c r="B21" s="2">
        <v>25</v>
      </c>
      <c r="C21" s="2">
        <v>10000</v>
      </c>
      <c r="D21" s="4">
        <v>335.3</v>
      </c>
      <c r="E21" s="4">
        <v>349.2</v>
      </c>
      <c r="F21" s="4">
        <v>205.8</v>
      </c>
      <c r="G21" s="4">
        <v>0.11</v>
      </c>
      <c r="H21" s="4">
        <v>0.12</v>
      </c>
      <c r="I21" s="4">
        <v>21.77</v>
      </c>
      <c r="J21" s="4">
        <v>27.15</v>
      </c>
      <c r="K21" s="4">
        <v>178.8</v>
      </c>
      <c r="L21" s="4">
        <v>161.4</v>
      </c>
      <c r="M21" s="4">
        <v>10.91</v>
      </c>
      <c r="N21" s="4">
        <v>97.9</v>
      </c>
      <c r="P21" s="2" t="s">
        <v>1</v>
      </c>
    </row>
    <row r="22" spans="1:16" x14ac:dyDescent="0.2">
      <c r="A22" s="19"/>
      <c r="B22" s="2">
        <v>3</v>
      </c>
      <c r="C22" s="2">
        <v>12000</v>
      </c>
      <c r="D22" s="4">
        <v>343.3</v>
      </c>
      <c r="E22" s="4">
        <v>354.2</v>
      </c>
      <c r="F22" s="4">
        <v>202</v>
      </c>
      <c r="G22" s="4">
        <v>0.9</v>
      </c>
      <c r="H22" s="4">
        <v>0.34</v>
      </c>
      <c r="I22" s="4">
        <v>24.61</v>
      </c>
      <c r="J22" s="4">
        <v>26.81</v>
      </c>
      <c r="K22" s="4">
        <v>176.6</v>
      </c>
      <c r="L22" s="4">
        <v>157.9</v>
      </c>
      <c r="M22" s="4">
        <v>14.8</v>
      </c>
      <c r="N22" s="4">
        <v>102.4</v>
      </c>
      <c r="P22" s="2" t="s">
        <v>1</v>
      </c>
    </row>
    <row r="23" spans="1:16" x14ac:dyDescent="0.2">
      <c r="A23" s="19"/>
      <c r="B23" s="2">
        <v>272</v>
      </c>
      <c r="C23" s="2">
        <v>12000</v>
      </c>
      <c r="D23" s="4">
        <v>336.7</v>
      </c>
      <c r="E23" s="4">
        <v>347.7</v>
      </c>
      <c r="F23" s="4">
        <v>200.7</v>
      </c>
      <c r="G23" s="4">
        <v>0.14000000000000001</v>
      </c>
      <c r="H23" s="4">
        <v>0.1</v>
      </c>
      <c r="I23" s="4">
        <v>22.58</v>
      </c>
      <c r="J23" s="4">
        <v>29.98</v>
      </c>
      <c r="K23" s="4">
        <v>167.6</v>
      </c>
      <c r="L23" s="4">
        <v>158.80000000000001</v>
      </c>
      <c r="M23" s="4">
        <v>9.15</v>
      </c>
      <c r="N23" s="4">
        <v>82.9</v>
      </c>
      <c r="P23" s="2" t="s">
        <v>1</v>
      </c>
    </row>
    <row r="24" spans="1:16" x14ac:dyDescent="0.2">
      <c r="A24" s="19"/>
      <c r="B24" s="2">
        <v>9</v>
      </c>
      <c r="C24" s="2">
        <v>13900</v>
      </c>
      <c r="D24" s="4">
        <v>348.6</v>
      </c>
      <c r="E24" s="4">
        <v>351.3</v>
      </c>
      <c r="F24" s="4">
        <v>199.6</v>
      </c>
      <c r="G24" s="4">
        <v>0.18</v>
      </c>
      <c r="H24" s="4">
        <v>0.17</v>
      </c>
      <c r="I24" s="4">
        <v>25.09</v>
      </c>
      <c r="J24" s="4">
        <v>31.56</v>
      </c>
      <c r="K24" s="4">
        <v>167.4</v>
      </c>
      <c r="L24" s="4">
        <v>154.4</v>
      </c>
      <c r="M24" s="4">
        <v>7.28</v>
      </c>
      <c r="N24" s="4">
        <v>90.19</v>
      </c>
      <c r="P24" s="2" t="s">
        <v>1</v>
      </c>
    </row>
    <row r="25" spans="1:16" x14ac:dyDescent="0.2">
      <c r="A25" s="19"/>
      <c r="B25" s="2">
        <v>503</v>
      </c>
      <c r="C25" s="2" t="s">
        <v>526</v>
      </c>
      <c r="D25" s="4">
        <v>339.2</v>
      </c>
      <c r="E25" s="4">
        <v>350.7</v>
      </c>
      <c r="F25" s="4">
        <v>202.4</v>
      </c>
      <c r="G25" s="4">
        <v>2.4500000000000002</v>
      </c>
      <c r="H25" s="4">
        <v>2.4500000000000002</v>
      </c>
      <c r="I25" s="4">
        <v>26.91</v>
      </c>
      <c r="J25" s="4">
        <v>41.88</v>
      </c>
      <c r="K25" s="4">
        <v>175.9</v>
      </c>
      <c r="L25" s="4">
        <v>120.5</v>
      </c>
      <c r="M25" s="4">
        <v>5.88</v>
      </c>
      <c r="N25" s="4">
        <v>67.38</v>
      </c>
      <c r="P25" s="2" t="s">
        <v>1</v>
      </c>
    </row>
    <row r="26" spans="1:16" x14ac:dyDescent="0.2">
      <c r="A26" s="19"/>
      <c r="B26" s="4">
        <v>333</v>
      </c>
      <c r="C26" s="2">
        <v>500</v>
      </c>
      <c r="D26" s="4">
        <v>334</v>
      </c>
      <c r="E26" s="4">
        <v>354.5</v>
      </c>
      <c r="F26" s="4">
        <v>203.4</v>
      </c>
      <c r="G26" s="4">
        <v>0.45</v>
      </c>
      <c r="H26" s="4">
        <v>0.21</v>
      </c>
      <c r="I26" s="4">
        <v>22.01</v>
      </c>
      <c r="J26" s="4">
        <v>36.67</v>
      </c>
      <c r="K26" s="4">
        <v>176.3</v>
      </c>
      <c r="L26" s="4">
        <v>144.4</v>
      </c>
      <c r="M26" s="4"/>
      <c r="N26" s="4">
        <v>69.430000000000007</v>
      </c>
      <c r="P26" s="2" t="s">
        <v>1</v>
      </c>
    </row>
    <row r="27" spans="1:16" x14ac:dyDescent="0.2">
      <c r="A27" s="19"/>
      <c r="B27" s="4">
        <v>711</v>
      </c>
      <c r="C27" s="2">
        <v>2000</v>
      </c>
      <c r="D27" s="4">
        <v>338.4</v>
      </c>
      <c r="E27" s="4">
        <v>350.7</v>
      </c>
      <c r="F27" s="4">
        <v>208.3</v>
      </c>
      <c r="G27" s="4">
        <v>0.57999999999999996</v>
      </c>
      <c r="H27" s="4">
        <v>0.26</v>
      </c>
      <c r="I27" s="4">
        <v>23.1</v>
      </c>
      <c r="J27" s="4">
        <v>47.12</v>
      </c>
      <c r="K27" s="4">
        <v>177.6</v>
      </c>
      <c r="L27" s="4">
        <v>109.3</v>
      </c>
      <c r="M27" s="4">
        <v>6.36</v>
      </c>
      <c r="N27" s="4">
        <v>103.63</v>
      </c>
      <c r="P27" s="2" t="s">
        <v>1</v>
      </c>
    </row>
    <row r="28" spans="1:16" x14ac:dyDescent="0.2">
      <c r="A28" s="19"/>
      <c r="B28" s="4">
        <v>356</v>
      </c>
      <c r="C28" s="2">
        <v>12000</v>
      </c>
      <c r="D28" s="4">
        <v>340.2</v>
      </c>
      <c r="E28" s="4">
        <v>350.1</v>
      </c>
      <c r="F28" s="4">
        <v>203.6</v>
      </c>
      <c r="G28" s="4"/>
      <c r="H28" s="4">
        <v>0.08</v>
      </c>
      <c r="I28" s="4">
        <v>22.87</v>
      </c>
      <c r="J28" s="4">
        <v>32.92</v>
      </c>
      <c r="K28" s="4">
        <v>172</v>
      </c>
      <c r="L28" s="4">
        <v>45</v>
      </c>
      <c r="M28" s="4">
        <v>6.38</v>
      </c>
      <c r="N28" s="4">
        <v>99.44</v>
      </c>
      <c r="P28" s="2" t="s">
        <v>1</v>
      </c>
    </row>
    <row r="29" spans="1:16" x14ac:dyDescent="0.2">
      <c r="A29" s="19"/>
      <c r="B29" s="4">
        <v>327</v>
      </c>
      <c r="C29" s="2">
        <v>13900</v>
      </c>
      <c r="D29" s="4">
        <v>335.4</v>
      </c>
      <c r="E29" s="4">
        <v>344.7</v>
      </c>
      <c r="F29" s="4">
        <v>200</v>
      </c>
      <c r="G29" s="4">
        <v>0.56000000000000005</v>
      </c>
      <c r="H29" s="4">
        <v>0.27</v>
      </c>
      <c r="I29" s="4">
        <v>24.05</v>
      </c>
      <c r="J29" s="4">
        <v>34.96</v>
      </c>
      <c r="K29" s="4">
        <v>162.9</v>
      </c>
      <c r="L29" s="4">
        <v>37.799999999999997</v>
      </c>
      <c r="M29" s="4">
        <v>17.82</v>
      </c>
      <c r="N29" s="4">
        <v>83.66</v>
      </c>
      <c r="P29" s="2" t="s">
        <v>1</v>
      </c>
    </row>
    <row r="30" spans="1:16" x14ac:dyDescent="0.2">
      <c r="A30" s="19"/>
      <c r="B30" s="4">
        <v>710</v>
      </c>
      <c r="C30" s="2">
        <v>8000</v>
      </c>
      <c r="D30" s="4">
        <v>331.8</v>
      </c>
      <c r="E30" s="4">
        <v>345.6</v>
      </c>
      <c r="F30" s="4">
        <v>199.2</v>
      </c>
      <c r="G30" s="4">
        <v>0.26</v>
      </c>
      <c r="H30" s="4">
        <v>0.14000000000000001</v>
      </c>
      <c r="I30" s="4">
        <v>24.03</v>
      </c>
      <c r="J30" s="4">
        <v>49.65</v>
      </c>
      <c r="K30" s="4">
        <v>195.9</v>
      </c>
      <c r="L30" s="4">
        <v>19.7</v>
      </c>
      <c r="M30" s="4">
        <v>12.39</v>
      </c>
      <c r="N30" s="4">
        <v>104.38</v>
      </c>
      <c r="P30" s="2" t="s">
        <v>1</v>
      </c>
    </row>
    <row r="31" spans="1:16" x14ac:dyDescent="0.2">
      <c r="A31" s="19"/>
      <c r="B31" s="4">
        <v>505</v>
      </c>
      <c r="C31" s="2">
        <v>6000</v>
      </c>
      <c r="D31" s="4">
        <v>336.5</v>
      </c>
      <c r="E31" s="4">
        <v>347.5</v>
      </c>
      <c r="F31" s="4">
        <v>201.3</v>
      </c>
      <c r="G31" s="4">
        <v>0.28000000000000003</v>
      </c>
      <c r="H31" s="4">
        <v>1.1200000000000001</v>
      </c>
      <c r="I31" s="4">
        <v>23.13</v>
      </c>
      <c r="J31" s="4">
        <v>42.75</v>
      </c>
      <c r="K31" s="4">
        <v>174</v>
      </c>
      <c r="L31" s="4">
        <v>35.700000000000003</v>
      </c>
      <c r="M31" s="4">
        <v>7.33</v>
      </c>
      <c r="N31" s="4">
        <v>106.59</v>
      </c>
      <c r="P31" s="2" t="s">
        <v>1</v>
      </c>
    </row>
    <row r="32" spans="1:16" x14ac:dyDescent="0.2">
      <c r="A32" s="19"/>
      <c r="B32" s="4">
        <v>351</v>
      </c>
      <c r="C32" s="2">
        <v>4000</v>
      </c>
      <c r="D32" s="4">
        <v>342.5</v>
      </c>
      <c r="E32" s="4">
        <v>349.5</v>
      </c>
      <c r="F32" s="4">
        <v>196.4</v>
      </c>
      <c r="G32" s="4">
        <v>0.4</v>
      </c>
      <c r="H32" s="4">
        <v>0.54</v>
      </c>
      <c r="I32" s="4">
        <v>20</v>
      </c>
      <c r="J32" s="4">
        <v>39.31</v>
      </c>
      <c r="K32" s="4">
        <v>176.1</v>
      </c>
      <c r="L32" s="4">
        <v>140.1</v>
      </c>
      <c r="M32" s="4">
        <v>5.52</v>
      </c>
      <c r="N32" s="4">
        <v>107.28</v>
      </c>
      <c r="P32" s="2" t="s">
        <v>1</v>
      </c>
    </row>
    <row r="33" spans="1:16" x14ac:dyDescent="0.2">
      <c r="A33" s="19">
        <f>DATE(82,8,13)</f>
        <v>30176</v>
      </c>
      <c r="B33" s="2">
        <v>256</v>
      </c>
      <c r="C33" s="2">
        <v>500</v>
      </c>
      <c r="D33" s="4">
        <v>337.4</v>
      </c>
      <c r="E33" s="4">
        <v>349.4</v>
      </c>
      <c r="F33" s="4">
        <v>204.2</v>
      </c>
      <c r="G33" s="4">
        <v>0.22</v>
      </c>
      <c r="H33" s="4">
        <v>0.16</v>
      </c>
      <c r="I33" s="4">
        <v>22.27</v>
      </c>
      <c r="J33" s="4">
        <v>38.17</v>
      </c>
      <c r="K33" s="4">
        <v>173.7</v>
      </c>
      <c r="L33" s="4">
        <v>161.6</v>
      </c>
      <c r="M33" s="4">
        <v>12.21</v>
      </c>
      <c r="N33" s="4">
        <v>70.72</v>
      </c>
      <c r="P33" s="2" t="s">
        <v>1</v>
      </c>
    </row>
    <row r="34" spans="1:16" x14ac:dyDescent="0.2">
      <c r="A34" s="19"/>
      <c r="B34" s="2">
        <v>209</v>
      </c>
      <c r="C34" s="2">
        <v>500</v>
      </c>
      <c r="D34" s="4">
        <v>336.9</v>
      </c>
      <c r="E34" s="4">
        <v>348.8</v>
      </c>
      <c r="F34" s="4">
        <v>200.4</v>
      </c>
      <c r="G34" s="4">
        <v>0.53</v>
      </c>
      <c r="H34" s="4">
        <v>0.28000000000000003</v>
      </c>
      <c r="I34" s="4">
        <v>22.6</v>
      </c>
      <c r="J34" s="4">
        <v>38.46</v>
      </c>
      <c r="K34" s="4">
        <v>178.8</v>
      </c>
      <c r="L34" s="4">
        <v>157.1</v>
      </c>
      <c r="M34" s="4">
        <v>12.61</v>
      </c>
      <c r="N34" s="4">
        <v>71.150000000000006</v>
      </c>
      <c r="P34" s="2" t="s">
        <v>1</v>
      </c>
    </row>
    <row r="35" spans="1:16" x14ac:dyDescent="0.2">
      <c r="A35" s="19"/>
      <c r="B35" s="2">
        <v>266</v>
      </c>
      <c r="C35" s="2">
        <v>6000</v>
      </c>
      <c r="D35" s="4">
        <v>332.9</v>
      </c>
      <c r="E35" s="4">
        <v>352.6</v>
      </c>
      <c r="F35" s="4">
        <v>202.9</v>
      </c>
      <c r="G35" s="4">
        <v>0.82</v>
      </c>
      <c r="H35" s="4">
        <v>7.0000000000000007E-2</v>
      </c>
      <c r="I35" s="4">
        <v>23.36</v>
      </c>
      <c r="J35" s="4">
        <v>37.72</v>
      </c>
      <c r="K35" s="4">
        <v>180.8</v>
      </c>
      <c r="L35" s="4">
        <v>149.9</v>
      </c>
      <c r="M35" s="4">
        <v>12.22</v>
      </c>
      <c r="N35" s="4">
        <v>97.96</v>
      </c>
      <c r="P35" s="2" t="s">
        <v>1</v>
      </c>
    </row>
    <row r="36" spans="1:16" x14ac:dyDescent="0.2">
      <c r="A36" s="19"/>
      <c r="B36" s="2">
        <v>8</v>
      </c>
      <c r="C36" s="2">
        <v>4000</v>
      </c>
      <c r="D36" s="4">
        <v>334.9</v>
      </c>
      <c r="E36" s="4">
        <v>348</v>
      </c>
      <c r="F36" s="4">
        <v>202.8</v>
      </c>
      <c r="G36" s="4">
        <v>0.56999999999999995</v>
      </c>
      <c r="H36" s="4">
        <v>0.14000000000000001</v>
      </c>
      <c r="I36" s="4">
        <v>22.46</v>
      </c>
      <c r="J36" s="4">
        <v>34.44</v>
      </c>
      <c r="K36" s="4">
        <v>177.6</v>
      </c>
      <c r="L36" s="4">
        <v>149.4</v>
      </c>
      <c r="M36" s="4">
        <v>11.29</v>
      </c>
      <c r="N36" s="4">
        <v>107.46</v>
      </c>
      <c r="P36" s="2" t="s">
        <v>1</v>
      </c>
    </row>
    <row r="37" spans="1:16" x14ac:dyDescent="0.2">
      <c r="A37" s="19"/>
      <c r="B37" s="2">
        <v>227</v>
      </c>
      <c r="C37" s="2">
        <v>8000</v>
      </c>
      <c r="D37" s="4">
        <v>335.7</v>
      </c>
      <c r="E37" s="4">
        <v>347.6</v>
      </c>
      <c r="F37" s="4">
        <v>192.8</v>
      </c>
      <c r="G37" s="4">
        <v>0.44</v>
      </c>
      <c r="H37" s="4">
        <v>0.16</v>
      </c>
      <c r="I37" s="4">
        <v>21.2</v>
      </c>
      <c r="J37" s="4">
        <v>27.24</v>
      </c>
      <c r="K37" s="4">
        <v>194.8</v>
      </c>
      <c r="L37" s="4">
        <v>161.30000000000001</v>
      </c>
      <c r="M37" s="4">
        <v>15.81</v>
      </c>
      <c r="N37" s="4">
        <v>87.53</v>
      </c>
      <c r="P37" s="2" t="s">
        <v>1</v>
      </c>
    </row>
    <row r="38" spans="1:16" x14ac:dyDescent="0.2">
      <c r="A38" s="19"/>
      <c r="B38" s="2">
        <v>154</v>
      </c>
      <c r="C38" s="2">
        <v>8000</v>
      </c>
      <c r="D38" s="4">
        <v>330.1</v>
      </c>
      <c r="E38" s="4">
        <v>352.9</v>
      </c>
      <c r="F38" s="4">
        <v>199.3</v>
      </c>
      <c r="G38" s="4"/>
      <c r="H38" s="4">
        <v>0.06</v>
      </c>
      <c r="I38" s="4">
        <v>21.03</v>
      </c>
      <c r="J38" s="4">
        <v>32.590000000000003</v>
      </c>
      <c r="K38" s="4">
        <v>173.5</v>
      </c>
      <c r="L38" s="4">
        <v>152</v>
      </c>
      <c r="M38" s="4">
        <v>14.57</v>
      </c>
      <c r="N38" s="4">
        <v>91.06</v>
      </c>
      <c r="P38" s="2" t="s">
        <v>1</v>
      </c>
    </row>
    <row r="39" spans="1:16" x14ac:dyDescent="0.2">
      <c r="A39" s="19"/>
      <c r="B39" s="2">
        <v>184</v>
      </c>
      <c r="C39" s="2">
        <v>10000</v>
      </c>
      <c r="D39" s="4">
        <v>332.7</v>
      </c>
      <c r="E39" s="4">
        <v>353.6</v>
      </c>
      <c r="F39" s="4">
        <v>202</v>
      </c>
      <c r="G39" s="4"/>
      <c r="H39" s="4">
        <v>0.08</v>
      </c>
      <c r="I39" s="4">
        <v>21.32</v>
      </c>
      <c r="J39" s="4">
        <v>31.53</v>
      </c>
      <c r="K39" s="4">
        <v>172.8</v>
      </c>
      <c r="L39" s="4">
        <v>156.69999999999999</v>
      </c>
      <c r="M39" s="4">
        <v>15.59</v>
      </c>
      <c r="N39" s="4">
        <v>64.91</v>
      </c>
      <c r="P39" s="2" t="s">
        <v>1</v>
      </c>
    </row>
    <row r="40" spans="1:16" x14ac:dyDescent="0.2">
      <c r="A40" s="19"/>
      <c r="B40" s="2">
        <v>80</v>
      </c>
      <c r="C40" s="2">
        <v>12000</v>
      </c>
      <c r="D40" s="4">
        <v>334.5</v>
      </c>
      <c r="E40" s="4">
        <v>339.2</v>
      </c>
      <c r="F40" s="4">
        <v>215.2</v>
      </c>
      <c r="G40" s="4">
        <v>0.53</v>
      </c>
      <c r="H40" s="4">
        <v>7.0000000000000007E-2</v>
      </c>
      <c r="I40" s="4">
        <v>25.01</v>
      </c>
      <c r="J40" s="4">
        <v>32.409999999999997</v>
      </c>
      <c r="K40" s="4">
        <v>174.6</v>
      </c>
      <c r="L40" s="4">
        <v>156.19999999999999</v>
      </c>
      <c r="M40" s="4">
        <v>13.74</v>
      </c>
      <c r="N40" s="4">
        <v>96.7</v>
      </c>
      <c r="P40" s="2" t="s">
        <v>1</v>
      </c>
    </row>
    <row r="41" spans="1:16" x14ac:dyDescent="0.2">
      <c r="A41" s="19"/>
      <c r="B41" s="2">
        <v>166</v>
      </c>
      <c r="C41" s="2">
        <v>12000</v>
      </c>
      <c r="D41" s="4">
        <v>337.2</v>
      </c>
      <c r="E41" s="4">
        <v>349.4</v>
      </c>
      <c r="F41" s="4">
        <v>199.7</v>
      </c>
      <c r="G41" s="4">
        <v>0.14000000000000001</v>
      </c>
      <c r="H41" s="4">
        <v>0.12</v>
      </c>
      <c r="I41" s="4">
        <v>20.89</v>
      </c>
      <c r="J41" s="4">
        <v>26.39</v>
      </c>
      <c r="K41" s="4">
        <v>170.1</v>
      </c>
      <c r="L41" s="4">
        <v>156.19999999999999</v>
      </c>
      <c r="M41" s="4">
        <v>10.15</v>
      </c>
      <c r="N41" s="4">
        <v>41.69</v>
      </c>
      <c r="P41" s="2" t="s">
        <v>1</v>
      </c>
    </row>
    <row r="42" spans="1:16" x14ac:dyDescent="0.2">
      <c r="A42" s="19"/>
      <c r="B42" s="2">
        <v>296</v>
      </c>
      <c r="C42" s="2">
        <v>12000</v>
      </c>
      <c r="D42" s="4">
        <v>335.7</v>
      </c>
      <c r="E42" s="4">
        <v>346.5</v>
      </c>
      <c r="F42" s="4">
        <v>204.1</v>
      </c>
      <c r="G42" s="4">
        <v>0.09</v>
      </c>
      <c r="H42" s="4">
        <v>0.09</v>
      </c>
      <c r="I42" s="4">
        <v>21.93</v>
      </c>
      <c r="J42" s="4">
        <v>29.78</v>
      </c>
      <c r="K42" s="4">
        <v>180.9</v>
      </c>
      <c r="L42" s="4">
        <v>158.5</v>
      </c>
      <c r="M42" s="4">
        <v>9.86</v>
      </c>
      <c r="N42" s="4">
        <v>54.97</v>
      </c>
      <c r="P42" s="2" t="s">
        <v>1</v>
      </c>
    </row>
    <row r="43" spans="1:16" x14ac:dyDescent="0.2">
      <c r="A43" s="19"/>
      <c r="B43" s="2">
        <v>22</v>
      </c>
      <c r="C43" s="2">
        <v>6000</v>
      </c>
      <c r="D43" s="4">
        <v>347.5</v>
      </c>
      <c r="E43" s="4">
        <v>352.3</v>
      </c>
      <c r="F43" s="4">
        <v>206.1</v>
      </c>
      <c r="G43" s="4">
        <v>7.0000000000000007E-2</v>
      </c>
      <c r="H43" s="4">
        <v>7.0000000000000007E-2</v>
      </c>
      <c r="I43" s="4">
        <v>21.27</v>
      </c>
      <c r="J43" s="4">
        <v>30.01</v>
      </c>
      <c r="K43" s="4">
        <v>176.8</v>
      </c>
      <c r="L43" s="4">
        <v>154</v>
      </c>
      <c r="M43" s="4">
        <v>28.43</v>
      </c>
      <c r="N43" s="4">
        <v>98.61</v>
      </c>
      <c r="P43" s="2" t="s">
        <v>1</v>
      </c>
    </row>
    <row r="44" spans="1:16" x14ac:dyDescent="0.2">
      <c r="A44" s="19"/>
      <c r="B44" s="2">
        <v>69</v>
      </c>
      <c r="C44" s="2">
        <v>14000</v>
      </c>
      <c r="D44" s="4">
        <v>348.1</v>
      </c>
      <c r="E44" s="4">
        <v>354.7</v>
      </c>
      <c r="F44" s="4">
        <v>203.3</v>
      </c>
      <c r="G44" s="4">
        <v>0.69</v>
      </c>
      <c r="H44" s="4">
        <v>0.31</v>
      </c>
      <c r="I44" s="4">
        <v>22.78</v>
      </c>
      <c r="J44" s="4">
        <v>28.57</v>
      </c>
      <c r="K44" s="4">
        <v>167</v>
      </c>
      <c r="L44" s="4">
        <v>149.80000000000001</v>
      </c>
      <c r="M44" s="4">
        <v>11.06</v>
      </c>
      <c r="N44" s="4">
        <v>88.44</v>
      </c>
      <c r="P44" s="2" t="s">
        <v>1</v>
      </c>
    </row>
    <row r="45" spans="1:16" x14ac:dyDescent="0.2">
      <c r="A45" s="19"/>
      <c r="B45" s="2">
        <v>46</v>
      </c>
      <c r="C45" s="2">
        <v>2700</v>
      </c>
      <c r="D45" s="4">
        <v>344.6</v>
      </c>
      <c r="E45" s="4">
        <v>353.4</v>
      </c>
      <c r="F45" s="4">
        <v>205.4</v>
      </c>
      <c r="G45" s="4">
        <v>0.5</v>
      </c>
      <c r="H45" s="4">
        <v>0.31</v>
      </c>
      <c r="I45" s="4">
        <v>22.05</v>
      </c>
      <c r="J45" s="4">
        <v>35.31</v>
      </c>
      <c r="K45" s="4">
        <v>174.3</v>
      </c>
      <c r="L45" s="4">
        <v>156.19999999999999</v>
      </c>
      <c r="M45" s="4">
        <v>12.23</v>
      </c>
      <c r="N45" s="4">
        <v>100.25</v>
      </c>
      <c r="P45" s="2" t="s">
        <v>1</v>
      </c>
    </row>
    <row r="46" spans="1:16" x14ac:dyDescent="0.2">
      <c r="A46" s="19"/>
      <c r="B46" s="2">
        <v>261</v>
      </c>
      <c r="C46" s="2">
        <v>4000</v>
      </c>
      <c r="D46" s="4">
        <v>343.7</v>
      </c>
      <c r="E46" s="4">
        <v>362</v>
      </c>
      <c r="F46" s="4">
        <v>201.4</v>
      </c>
      <c r="G46" s="4">
        <v>0.38</v>
      </c>
      <c r="H46" s="4">
        <v>0.12</v>
      </c>
      <c r="I46" s="4">
        <v>24.45</v>
      </c>
      <c r="J46" s="4">
        <v>34.200000000000003</v>
      </c>
      <c r="K46" s="4">
        <v>165.5</v>
      </c>
      <c r="L46" s="4">
        <v>152.80000000000001</v>
      </c>
      <c r="M46" s="4">
        <v>8.43</v>
      </c>
      <c r="N46" s="4">
        <v>101.3</v>
      </c>
    </row>
    <row r="47" spans="1:16" x14ac:dyDescent="0.2">
      <c r="A47" s="19"/>
      <c r="B47" s="2">
        <v>248</v>
      </c>
      <c r="C47" s="2">
        <v>2700</v>
      </c>
      <c r="D47" s="4">
        <v>343.6</v>
      </c>
      <c r="E47" s="4">
        <v>359.9</v>
      </c>
      <c r="F47" s="4">
        <v>203.6</v>
      </c>
      <c r="G47" s="4">
        <v>0.48</v>
      </c>
      <c r="H47" s="4">
        <v>0.24</v>
      </c>
      <c r="I47" s="4">
        <v>21.75</v>
      </c>
      <c r="J47" s="4">
        <v>35.659999999999997</v>
      </c>
      <c r="K47" s="4">
        <v>165.1</v>
      </c>
      <c r="L47" s="4">
        <v>157.6</v>
      </c>
      <c r="M47" s="4">
        <v>9.2799999999999994</v>
      </c>
      <c r="N47" s="4">
        <v>110.03</v>
      </c>
    </row>
    <row r="48" spans="1:16" x14ac:dyDescent="0.2">
      <c r="A48" s="19"/>
      <c r="B48" s="2">
        <v>56</v>
      </c>
      <c r="C48" s="2">
        <v>14000</v>
      </c>
      <c r="D48" s="4">
        <v>343.5</v>
      </c>
      <c r="E48" s="4">
        <v>357.3</v>
      </c>
      <c r="F48" s="4">
        <v>194.6</v>
      </c>
      <c r="G48" s="4">
        <v>0.09</v>
      </c>
      <c r="H48" s="4">
        <v>0.1</v>
      </c>
      <c r="I48" s="4">
        <v>21.79</v>
      </c>
      <c r="J48" s="4">
        <v>28.36</v>
      </c>
      <c r="K48" s="4">
        <v>161.69999999999999</v>
      </c>
      <c r="L48" s="4">
        <v>157</v>
      </c>
      <c r="M48" s="4"/>
      <c r="N48" s="4">
        <v>88.99</v>
      </c>
    </row>
    <row r="49" spans="1:14" x14ac:dyDescent="0.2">
      <c r="A49" s="19"/>
      <c r="B49" s="2">
        <v>503</v>
      </c>
      <c r="C49" s="2" t="s">
        <v>526</v>
      </c>
      <c r="D49" s="4">
        <v>337.5</v>
      </c>
      <c r="E49" s="4">
        <v>350.7</v>
      </c>
      <c r="F49" s="4">
        <v>203</v>
      </c>
      <c r="G49" s="4">
        <v>0.57999999999999996</v>
      </c>
      <c r="H49" s="4">
        <v>0.5</v>
      </c>
      <c r="I49" s="4">
        <v>21.17</v>
      </c>
      <c r="J49" s="4">
        <v>35.909999999999997</v>
      </c>
      <c r="K49" s="4">
        <v>213.7</v>
      </c>
      <c r="L49" s="4">
        <v>128.30000000000001</v>
      </c>
      <c r="M49" s="4">
        <v>106.25</v>
      </c>
      <c r="N49" s="4">
        <v>70.900000000000006</v>
      </c>
    </row>
    <row r="50" spans="1:14" x14ac:dyDescent="0.2">
      <c r="A50" s="19"/>
      <c r="B50" s="2">
        <v>501</v>
      </c>
      <c r="C50" s="2">
        <v>8000</v>
      </c>
      <c r="D50" s="4">
        <v>335.5</v>
      </c>
      <c r="E50" s="4">
        <v>348.1</v>
      </c>
      <c r="F50" s="4">
        <v>205.1</v>
      </c>
      <c r="G50" s="4">
        <v>0.81</v>
      </c>
      <c r="H50" s="4">
        <v>0.19</v>
      </c>
      <c r="I50" s="4">
        <v>24.06</v>
      </c>
      <c r="J50" s="4">
        <v>33.28</v>
      </c>
      <c r="K50" s="4">
        <v>160.4</v>
      </c>
      <c r="L50" s="4"/>
      <c r="M50" s="4">
        <v>7.41</v>
      </c>
      <c r="N50" s="4">
        <v>80.27</v>
      </c>
    </row>
    <row r="51" spans="1:14" x14ac:dyDescent="0.2">
      <c r="A51" s="19"/>
      <c r="B51" s="2" t="s">
        <v>527</v>
      </c>
      <c r="C51" s="2">
        <v>4000</v>
      </c>
      <c r="D51" s="4">
        <v>355.7</v>
      </c>
      <c r="E51" s="4">
        <v>355.8</v>
      </c>
      <c r="F51" s="4">
        <v>197.1</v>
      </c>
      <c r="G51" s="4">
        <v>0.47</v>
      </c>
      <c r="H51" s="4">
        <v>0.51</v>
      </c>
      <c r="I51" s="4">
        <v>20.66</v>
      </c>
      <c r="J51" s="4">
        <v>38.03</v>
      </c>
      <c r="K51" s="4">
        <v>173.5</v>
      </c>
      <c r="L51" s="4"/>
      <c r="M51" s="4">
        <v>12.03</v>
      </c>
      <c r="N51" s="4">
        <v>107.86</v>
      </c>
    </row>
    <row r="52" spans="1:14" x14ac:dyDescent="0.2">
      <c r="A52" s="19"/>
      <c r="C52" s="2">
        <v>700</v>
      </c>
      <c r="D52" s="4">
        <v>339.9</v>
      </c>
      <c r="E52" s="4">
        <v>357.2</v>
      </c>
      <c r="F52" s="4">
        <v>197.7</v>
      </c>
      <c r="G52" s="4">
        <v>1.17</v>
      </c>
      <c r="H52" s="4">
        <v>0.49</v>
      </c>
      <c r="I52" s="4">
        <v>22.75</v>
      </c>
      <c r="J52" s="4">
        <v>43.25</v>
      </c>
      <c r="K52" s="4">
        <v>175.2</v>
      </c>
      <c r="L52" s="4"/>
      <c r="M52" s="4">
        <v>5.46</v>
      </c>
      <c r="N52" s="4">
        <v>73.430000000000007</v>
      </c>
    </row>
    <row r="53" spans="1:14" x14ac:dyDescent="0.2">
      <c r="A53" s="19"/>
      <c r="C53" s="2">
        <v>12000</v>
      </c>
      <c r="D53" s="4">
        <v>335.8</v>
      </c>
      <c r="E53" s="4">
        <v>354.5</v>
      </c>
      <c r="F53" s="4">
        <v>204.3</v>
      </c>
      <c r="G53" s="4">
        <v>0.19</v>
      </c>
      <c r="H53" s="4">
        <v>0.13</v>
      </c>
      <c r="I53" s="4">
        <v>22.29</v>
      </c>
      <c r="J53" s="4">
        <v>35.46</v>
      </c>
      <c r="K53" s="4">
        <v>174.4</v>
      </c>
      <c r="L53" s="4"/>
      <c r="M53" s="4">
        <v>11.17</v>
      </c>
      <c r="N53" s="4">
        <v>113.85</v>
      </c>
    </row>
    <row r="54" spans="1:14" x14ac:dyDescent="0.2">
      <c r="A54" s="19"/>
      <c r="B54" s="2" t="s">
        <v>528</v>
      </c>
      <c r="C54" s="2">
        <v>10000</v>
      </c>
      <c r="D54" s="4">
        <v>337.2</v>
      </c>
      <c r="E54" s="4">
        <v>352.2</v>
      </c>
      <c r="F54" s="4">
        <v>201.6</v>
      </c>
      <c r="G54" s="4">
        <v>0.09</v>
      </c>
      <c r="H54" s="4">
        <v>0.13</v>
      </c>
      <c r="I54" s="4">
        <v>20.9</v>
      </c>
      <c r="J54" s="4">
        <v>31.17</v>
      </c>
      <c r="K54" s="4">
        <v>167.8</v>
      </c>
      <c r="L54" s="4"/>
      <c r="M54" s="4">
        <v>4.93</v>
      </c>
      <c r="N54" s="4">
        <v>94.87</v>
      </c>
    </row>
    <row r="55" spans="1:14" x14ac:dyDescent="0.2">
      <c r="A55" s="19"/>
      <c r="C55" s="2">
        <v>500</v>
      </c>
      <c r="D55" s="4">
        <v>333.6</v>
      </c>
      <c r="E55" s="4">
        <v>347.1</v>
      </c>
      <c r="F55" s="4">
        <v>199.3</v>
      </c>
      <c r="G55" s="4">
        <v>0.12</v>
      </c>
      <c r="H55" s="4">
        <v>0.15</v>
      </c>
      <c r="I55" s="4">
        <v>21.19</v>
      </c>
      <c r="J55" s="4">
        <v>37.56</v>
      </c>
      <c r="K55" s="4">
        <v>178.9</v>
      </c>
      <c r="L55" s="4">
        <v>143.5</v>
      </c>
      <c r="M55" s="4">
        <v>8.8000000000000007</v>
      </c>
      <c r="N55" s="4">
        <v>69.87</v>
      </c>
    </row>
    <row r="56" spans="1:14" x14ac:dyDescent="0.2">
      <c r="A56" s="19"/>
    </row>
    <row r="57" spans="1:14" x14ac:dyDescent="0.2">
      <c r="A57" s="19"/>
      <c r="D57" s="8" t="s">
        <v>138</v>
      </c>
      <c r="E57" s="8" t="s">
        <v>136</v>
      </c>
      <c r="F57" s="8" t="s">
        <v>130</v>
      </c>
      <c r="G57" s="8" t="s">
        <v>144</v>
      </c>
      <c r="H57" s="8" t="s">
        <v>144</v>
      </c>
      <c r="I57" s="8" t="s">
        <v>133</v>
      </c>
      <c r="J57" s="8" t="s">
        <v>127</v>
      </c>
      <c r="K57" s="8" t="s">
        <v>121</v>
      </c>
      <c r="L57" s="8" t="s">
        <v>112</v>
      </c>
      <c r="M57" s="8" t="s">
        <v>142</v>
      </c>
      <c r="N57" s="8" t="s">
        <v>140</v>
      </c>
    </row>
    <row r="58" spans="1:14" x14ac:dyDescent="0.2">
      <c r="A58" s="19"/>
      <c r="D58" s="8" t="s">
        <v>266</v>
      </c>
      <c r="E58" s="8" t="s">
        <v>144</v>
      </c>
      <c r="F58" s="8" t="s">
        <v>144</v>
      </c>
      <c r="G58" s="8" t="s">
        <v>524</v>
      </c>
      <c r="H58" s="8" t="s">
        <v>525</v>
      </c>
      <c r="I58" s="8" t="s">
        <v>144</v>
      </c>
      <c r="J58" s="8" t="s">
        <v>144</v>
      </c>
      <c r="K58" s="8" t="s">
        <v>144</v>
      </c>
      <c r="L58" s="8" t="s">
        <v>144</v>
      </c>
      <c r="M58" s="8" t="s">
        <v>144</v>
      </c>
      <c r="N58" s="8" t="s">
        <v>144</v>
      </c>
    </row>
    <row r="59" spans="1:14" x14ac:dyDescent="0.2">
      <c r="A59" s="19"/>
    </row>
    <row r="60" spans="1:14" x14ac:dyDescent="0.2">
      <c r="A60" s="7">
        <f>AVERAGE(A11:A55)</f>
        <v>30127</v>
      </c>
      <c r="B60" s="2" t="s">
        <v>529</v>
      </c>
      <c r="D60" s="4">
        <f t="shared" ref="D60:N60" si="0">AVERAGE(D11:D55)</f>
        <v>338.60222222222234</v>
      </c>
      <c r="E60" s="4">
        <f t="shared" si="0"/>
        <v>350.7</v>
      </c>
      <c r="F60" s="4">
        <f t="shared" si="0"/>
        <v>202.42222222222222</v>
      </c>
      <c r="G60" s="4">
        <f t="shared" si="0"/>
        <v>0.43119047619047624</v>
      </c>
      <c r="H60" s="4">
        <f t="shared" si="0"/>
        <v>0.26488888888888895</v>
      </c>
      <c r="I60" s="4">
        <f t="shared" si="0"/>
        <v>22.484888888888886</v>
      </c>
      <c r="J60" s="4">
        <f t="shared" si="0"/>
        <v>34.550222222222224</v>
      </c>
      <c r="K60" s="4">
        <f t="shared" si="0"/>
        <v>172.88</v>
      </c>
      <c r="L60" s="4">
        <f t="shared" si="0"/>
        <v>139.59</v>
      </c>
      <c r="M60" s="4">
        <f t="shared" si="0"/>
        <v>13.460930232558137</v>
      </c>
      <c r="N60" s="4">
        <f t="shared" si="0"/>
        <v>89.24755555555555</v>
      </c>
    </row>
    <row r="61" spans="1:14" x14ac:dyDescent="0.2">
      <c r="A61" s="19"/>
      <c r="B61" s="2" t="s">
        <v>255</v>
      </c>
      <c r="D61" s="4">
        <f t="shared" ref="D61:N61" si="1">STDEV(D11:D55)</f>
        <v>5.000885780125218</v>
      </c>
      <c r="E61" s="4">
        <f t="shared" si="1"/>
        <v>4.1989717355995175</v>
      </c>
      <c r="F61" s="4">
        <f t="shared" si="1"/>
        <v>3.9246244110330806</v>
      </c>
      <c r="G61" s="4">
        <f t="shared" si="1"/>
        <v>0.40826941356587843</v>
      </c>
      <c r="H61" s="4">
        <f t="shared" si="1"/>
        <v>0.38102506611783565</v>
      </c>
      <c r="I61" s="4">
        <f t="shared" si="1"/>
        <v>1.4100638641600958</v>
      </c>
      <c r="J61" s="4">
        <f t="shared" si="1"/>
        <v>5.5230864596169278</v>
      </c>
      <c r="K61" s="4">
        <f t="shared" si="1"/>
        <v>11.23138055142417</v>
      </c>
      <c r="L61" s="4">
        <f t="shared" si="1"/>
        <v>37.220898458410097</v>
      </c>
      <c r="M61" s="4">
        <f t="shared" si="1"/>
        <v>15.135825651799882</v>
      </c>
      <c r="N61" s="4">
        <f t="shared" si="1"/>
        <v>16.908416698571287</v>
      </c>
    </row>
    <row r="62" spans="1:14" x14ac:dyDescent="0.2">
      <c r="A62" s="19"/>
      <c r="B62" s="2" t="s">
        <v>365</v>
      </c>
      <c r="D62" s="4">
        <f t="shared" ref="D62:N62" si="2">COUNTA(D11:D55)</f>
        <v>45</v>
      </c>
      <c r="E62" s="4">
        <f t="shared" si="2"/>
        <v>45</v>
      </c>
      <c r="F62" s="4">
        <f t="shared" si="2"/>
        <v>45</v>
      </c>
      <c r="G62" s="4">
        <f t="shared" si="2"/>
        <v>42</v>
      </c>
      <c r="H62" s="4">
        <f t="shared" si="2"/>
        <v>45</v>
      </c>
      <c r="I62" s="4">
        <f t="shared" si="2"/>
        <v>45</v>
      </c>
      <c r="J62" s="4">
        <f t="shared" si="2"/>
        <v>45</v>
      </c>
      <c r="K62" s="4">
        <f t="shared" si="2"/>
        <v>45</v>
      </c>
      <c r="L62" s="4">
        <f t="shared" si="2"/>
        <v>40</v>
      </c>
      <c r="M62" s="4">
        <f t="shared" si="2"/>
        <v>43</v>
      </c>
      <c r="N62" s="4">
        <f t="shared" si="2"/>
        <v>45</v>
      </c>
    </row>
  </sheetData>
  <pageMargins left="0.5" right="0.5" top="0.75" bottom="0.75" header="0.5" footer="0.5"/>
  <pageSetup orientation="portrait" horizontalDpi="0" verticalDpi="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58</vt:i4>
      </vt:variant>
      <vt:variant>
        <vt:lpstr>Named Ranges</vt:lpstr>
      </vt:variant>
      <vt:variant>
        <vt:i4>1</vt:i4>
      </vt:variant>
    </vt:vector>
  </HeadingPairs>
  <TitlesOfParts>
    <vt:vector size="59" baseType="lpstr">
      <vt:lpstr>OVERVIEW</vt:lpstr>
      <vt:lpstr>ALE Tanks</vt:lpstr>
      <vt:lpstr>Alert</vt:lpstr>
      <vt:lpstr>Africa</vt:lpstr>
      <vt:lpstr>Acadia</vt:lpstr>
      <vt:lpstr>Allegheny</vt:lpstr>
      <vt:lpstr>Arctic</vt:lpstr>
      <vt:lpstr>Arguello</vt:lpstr>
      <vt:lpstr>BarrowFlt</vt:lpstr>
      <vt:lpstr>Bahamas</vt:lpstr>
      <vt:lpstr>Belem</vt:lpstr>
      <vt:lpstr>BeavertonOGC</vt:lpstr>
      <vt:lpstr>Beijing Rural</vt:lpstr>
      <vt:lpstr>BlackSaddleOR</vt:lpstr>
      <vt:lpstr>Brazil Many</vt:lpstr>
      <vt:lpstr>Brazil Flights1</vt:lpstr>
      <vt:lpstr>Brazil Flights2</vt:lpstr>
      <vt:lpstr>CajunPass</vt:lpstr>
      <vt:lpstr>Cozumel</vt:lpstr>
      <vt:lpstr>Chendu Rural</vt:lpstr>
      <vt:lpstr>DeadHorse</vt:lpstr>
      <vt:lpstr>DiscoveryBay</vt:lpstr>
      <vt:lpstr>Ducke Brazil</vt:lpstr>
      <vt:lpstr>Dye3</vt:lpstr>
      <vt:lpstr>Greenland</vt:lpstr>
      <vt:lpstr>GlenCanyon</vt:lpstr>
      <vt:lpstr>Guam</vt:lpstr>
      <vt:lpstr>GuangzhouRural</vt:lpstr>
      <vt:lpstr>Hawaii</vt:lpstr>
      <vt:lpstr>HopiPoint</vt:lpstr>
      <vt:lpstr>Iceland</vt:lpstr>
      <vt:lpstr>Jungfraujauch</vt:lpstr>
      <vt:lpstr>Keahole HA</vt:lpstr>
      <vt:lpstr>Kuwait</vt:lpstr>
      <vt:lpstr>Landsdown</vt:lpstr>
      <vt:lpstr>LaurelHill PA</vt:lpstr>
      <vt:lpstr>Marshall Isl</vt:lpstr>
      <vt:lpstr>NiwotRidge</vt:lpstr>
      <vt:lpstr>NorwayShipM</vt:lpstr>
      <vt:lpstr>NorwayNyAlesund</vt:lpstr>
      <vt:lpstr>PachecoPass</vt:lpstr>
      <vt:lpstr>PtReyes</vt:lpstr>
      <vt:lpstr>Sondrestrom</vt:lpstr>
      <vt:lpstr>SanNicholsIISL</vt:lpstr>
      <vt:lpstr>Shenandoah</vt:lpstr>
      <vt:lpstr>SpiritMountain</vt:lpstr>
      <vt:lpstr>Toolik Lake</vt:lpstr>
      <vt:lpstr>TuZu China</vt:lpstr>
      <vt:lpstr>CStJames</vt:lpstr>
      <vt:lpstr>WhiteFaceMtn</vt:lpstr>
      <vt:lpstr>AmazonRiver</vt:lpstr>
      <vt:lpstr>Cruise83</vt:lpstr>
      <vt:lpstr>Cruise87</vt:lpstr>
      <vt:lpstr>Cruise91</vt:lpstr>
      <vt:lpstr>Cruise92</vt:lpstr>
      <vt:lpstr>Tillamook</vt:lpstr>
      <vt:lpstr>Yangtze River</vt:lpstr>
      <vt:lpstr>Yosemite</vt:lpstr>
      <vt:lpstr>\Z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cbuten-admin</dc:creator>
  <cp:lastModifiedBy>Chris Butenhoff</cp:lastModifiedBy>
  <dcterms:created xsi:type="dcterms:W3CDTF">2015-08-19T20:56:15Z</dcterms:created>
  <dcterms:modified xsi:type="dcterms:W3CDTF">2015-09-01T19:11:45Z</dcterms:modified>
</cp:coreProperties>
</file>