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andrew/Documents/GitHub/pySCION_roots/data/01_spatial/"/>
    </mc:Choice>
  </mc:AlternateContent>
  <xr:revisionPtr revIDLastSave="0" documentId="13_ncr:1_{7E096B42-CE03-0C4D-8C0E-131957EBAFBE}" xr6:coauthVersionLast="47" xr6:coauthVersionMax="47" xr10:uidLastSave="{00000000-0000-0000-0000-000000000000}"/>
  <bookViews>
    <workbookView xWindow="39200" yWindow="1900" windowWidth="38660" windowHeight="16800" xr2:uid="{00000000-000D-0000-FFFF-FFFF00000000}"/>
  </bookViews>
  <sheets>
    <sheet name="Sheet1" sheetId="1" r:id="rId1"/>
    <sheet name="Sheet3" sheetId="3" r:id="rId2"/>
    <sheet name="Sheet2" sheetId="2" r:id="rId3"/>
  </sheets>
  <definedNames>
    <definedName name="_xlnm._FilterDatabase" localSheetId="0" hidden="1">Sheet1!$A$1:$AC$2025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25" i="1" l="1"/>
  <c r="X961" i="1"/>
  <c r="Y961" i="1"/>
  <c r="X960" i="1"/>
  <c r="Y960" i="1"/>
  <c r="Z1453" i="1" l="1"/>
  <c r="Z1451" i="1"/>
  <c r="Z1462" i="1"/>
  <c r="Z1449" i="1"/>
  <c r="Z1447" i="1"/>
  <c r="L678" i="1"/>
  <c r="L679" i="1"/>
  <c r="L680" i="1"/>
  <c r="L681" i="1"/>
  <c r="L682" i="1"/>
  <c r="L677" i="1"/>
  <c r="Z633" i="1" l="1"/>
  <c r="Z634" i="1"/>
  <c r="Z635" i="1"/>
  <c r="L633" i="1"/>
  <c r="L634" i="1"/>
  <c r="L635" i="1"/>
  <c r="L632" i="1"/>
  <c r="I634" i="1"/>
  <c r="I635" i="1"/>
  <c r="I633" i="1"/>
  <c r="I632" i="1"/>
  <c r="Z632" i="1"/>
  <c r="X433" i="1" l="1"/>
  <c r="Y433" i="1"/>
  <c r="Y432" i="1" l="1"/>
  <c r="X432" i="1"/>
  <c r="Y1036" i="1" l="1"/>
  <c r="X1036" i="1"/>
  <c r="X1839" i="1"/>
  <c r="Y1839" i="1"/>
  <c r="Y1838" i="1"/>
  <c r="X1838" i="1"/>
  <c r="X1258" i="1" l="1"/>
  <c r="Y1258" i="1"/>
  <c r="X1259" i="1"/>
  <c r="Y1259" i="1"/>
  <c r="Y1257" i="1"/>
  <c r="X1257" i="1"/>
  <c r="X1280" i="1" l="1"/>
  <c r="Y1280" i="1"/>
  <c r="X1281" i="1"/>
  <c r="Y1281" i="1"/>
  <c r="X1282" i="1"/>
  <c r="Y1282" i="1"/>
  <c r="X1283" i="1"/>
  <c r="Y1283" i="1"/>
  <c r="X1284" i="1"/>
  <c r="Y1284" i="1"/>
  <c r="X1285" i="1"/>
  <c r="Y1285" i="1"/>
  <c r="X1286" i="1"/>
  <c r="Y1286" i="1"/>
  <c r="X1270" i="1"/>
  <c r="Y1270" i="1"/>
  <c r="X1271" i="1"/>
  <c r="Y1271" i="1"/>
  <c r="X1272" i="1"/>
  <c r="Y1272" i="1"/>
  <c r="X1273" i="1"/>
  <c r="Y1273" i="1"/>
  <c r="X1274" i="1"/>
  <c r="Y1274" i="1"/>
  <c r="X1275" i="1"/>
  <c r="Y1275" i="1"/>
  <c r="X1276" i="1"/>
  <c r="Y1276" i="1"/>
  <c r="X1277" i="1"/>
  <c r="Y1277" i="1"/>
  <c r="X1278" i="1"/>
  <c r="Y1278" i="1"/>
  <c r="Y1279" i="1"/>
  <c r="X1279" i="1"/>
  <c r="Y1269" i="1"/>
  <c r="X1269" i="1"/>
  <c r="Y614" i="1" l="1"/>
  <c r="X614" i="1"/>
  <c r="Y613" i="1"/>
  <c r="X613" i="1"/>
  <c r="X966" i="1" l="1"/>
  <c r="Y966" i="1"/>
  <c r="X967" i="1"/>
  <c r="Y967" i="1"/>
  <c r="Y965" i="1"/>
  <c r="X965" i="1"/>
  <c r="X197" i="1" l="1"/>
  <c r="Y197" i="1"/>
  <c r="Y1008" i="1"/>
  <c r="X1008" i="1"/>
  <c r="Y1007" i="1"/>
  <c r="X1007" i="1"/>
  <c r="Y210" i="1" l="1"/>
  <c r="Y209" i="1"/>
  <c r="Y208" i="1"/>
  <c r="X210" i="1"/>
  <c r="X209" i="1"/>
  <c r="X208" i="1"/>
  <c r="Y405" i="1" l="1"/>
  <c r="X405" i="1"/>
  <c r="I658" i="1" l="1"/>
  <c r="I657" i="1"/>
  <c r="I656" i="1"/>
  <c r="I655" i="1"/>
  <c r="Y683" i="1" l="1"/>
  <c r="X683" i="1"/>
  <c r="X198" i="1" l="1"/>
  <c r="Y1408" i="1" l="1"/>
  <c r="X1408" i="1"/>
  <c r="Z570" i="1" l="1"/>
  <c r="I570" i="1"/>
  <c r="Z567" i="1" l="1"/>
  <c r="Z566" i="1"/>
  <c r="Z565" i="1"/>
  <c r="Z563" i="1" l="1"/>
  <c r="X1153" i="1" l="1"/>
  <c r="X1150" i="1"/>
  <c r="X1151" i="1"/>
  <c r="X1152" i="1"/>
  <c r="I1005" i="1" l="1"/>
  <c r="I1004" i="1"/>
  <c r="I1974" i="1" l="1"/>
  <c r="I1804" i="1" l="1"/>
  <c r="I1803" i="1"/>
  <c r="I1802" i="1"/>
  <c r="L1804" i="1" l="1"/>
  <c r="L1803" i="1"/>
  <c r="L1802" i="1"/>
  <c r="X1010" i="1" l="1"/>
  <c r="Y1010" i="1"/>
  <c r="Y1090" i="1" l="1"/>
  <c r="X1090" i="1"/>
  <c r="L413" i="1" l="1"/>
  <c r="L412" i="1"/>
  <c r="L411" i="1"/>
  <c r="L410" i="1"/>
  <c r="L409" i="1"/>
  <c r="L407" i="1"/>
  <c r="L408" i="1"/>
  <c r="L406" i="1"/>
  <c r="I390" i="1" l="1"/>
  <c r="Q491" i="1" l="1"/>
  <c r="Q490" i="1"/>
  <c r="Q489" i="1"/>
  <c r="I491" i="1"/>
  <c r="I490" i="1"/>
  <c r="I489" i="1"/>
  <c r="I488" i="1"/>
  <c r="I1559" i="1" l="1"/>
  <c r="I1558" i="1"/>
  <c r="I1557" i="1"/>
  <c r="I1556" i="1"/>
  <c r="I494" i="1" l="1"/>
  <c r="Y1560" i="1" l="1"/>
  <c r="X1560" i="1"/>
  <c r="Y1805" i="1" l="1"/>
  <c r="X1085" i="1" l="1"/>
  <c r="Y1085" i="1"/>
  <c r="Y1084" i="1"/>
  <c r="X1084" i="1"/>
  <c r="L861" i="1" l="1"/>
  <c r="I861" i="1"/>
  <c r="Y749" i="1" l="1"/>
  <c r="Q1000" i="1" l="1"/>
  <c r="I998" i="1"/>
  <c r="Q929" i="1" l="1"/>
  <c r="Q928" i="1"/>
  <c r="Q927" i="1"/>
  <c r="Q926" i="1"/>
  <c r="Q925" i="1"/>
  <c r="I929" i="1"/>
  <c r="I928" i="1"/>
  <c r="I927" i="1"/>
  <c r="I926" i="1"/>
  <c r="I925" i="1"/>
  <c r="Y756" i="1" l="1"/>
  <c r="X756" i="1"/>
  <c r="L674" i="1" l="1"/>
  <c r="L673" i="1"/>
  <c r="L667" i="1"/>
  <c r="L668" i="1"/>
  <c r="L669" i="1"/>
  <c r="L670" i="1"/>
  <c r="L671" i="1"/>
  <c r="L672" i="1"/>
  <c r="L664" i="1"/>
  <c r="L665" i="1"/>
  <c r="L666" i="1"/>
  <c r="L663" i="1"/>
  <c r="L662" i="1"/>
  <c r="L661" i="1"/>
  <c r="L660" i="1"/>
  <c r="L659" i="1" l="1"/>
  <c r="Y913" i="1" l="1"/>
  <c r="X913" i="1"/>
  <c r="Y484" i="1" l="1"/>
  <c r="X484" i="1"/>
  <c r="Y483" i="1"/>
  <c r="X483" i="1"/>
  <c r="Y481" i="1"/>
  <c r="X481" i="1"/>
  <c r="Y482" i="1"/>
  <c r="X482" i="1"/>
  <c r="Y14" i="1" l="1"/>
  <c r="X14" i="1"/>
  <c r="X924" i="1"/>
  <c r="Y924" i="1"/>
  <c r="Y923" i="1"/>
  <c r="X923" i="1"/>
  <c r="X445" i="1" l="1"/>
  <c r="Y445" i="1"/>
  <c r="X444" i="1"/>
  <c r="Y444" i="1"/>
  <c r="Y443" i="1"/>
  <c r="X443" i="1"/>
  <c r="Y441" i="1"/>
  <c r="X441" i="1"/>
  <c r="Y442" i="1"/>
  <c r="X442" i="1"/>
  <c r="Y446" i="1"/>
  <c r="X446" i="1"/>
  <c r="Y440" i="1"/>
  <c r="X440" i="1"/>
  <c r="X142" i="1" l="1"/>
  <c r="Y142" i="1"/>
  <c r="Y1610" i="1"/>
  <c r="X1610" i="1"/>
  <c r="Y1609" i="1"/>
  <c r="X1609" i="1"/>
  <c r="X1611" i="1"/>
  <c r="X174" i="1" l="1"/>
  <c r="Y174" i="1"/>
  <c r="X175" i="1"/>
  <c r="Y175" i="1"/>
  <c r="X176" i="1"/>
  <c r="Y176" i="1"/>
  <c r="X170" i="1"/>
  <c r="Y170" i="1"/>
  <c r="X171" i="1"/>
  <c r="Y171" i="1"/>
  <c r="X172" i="1"/>
  <c r="Y172" i="1"/>
  <c r="Y173" i="1" l="1"/>
  <c r="X173" i="1"/>
  <c r="Y169" i="1"/>
  <c r="X169" i="1"/>
  <c r="Q1598" i="1" l="1"/>
  <c r="L1598" i="1"/>
  <c r="I1598" i="1"/>
  <c r="L1597" i="1"/>
  <c r="I1597" i="1"/>
  <c r="L1596" i="1"/>
  <c r="I1596" i="1"/>
  <c r="Y1291" i="1" l="1"/>
  <c r="X1291" i="1"/>
  <c r="Y977" i="1" l="1"/>
  <c r="X977" i="1"/>
  <c r="Y976" i="1"/>
  <c r="X976" i="1"/>
  <c r="Y975" i="1"/>
  <c r="X975" i="1"/>
  <c r="Y905" i="1" l="1"/>
  <c r="Y904" i="1"/>
  <c r="Y903" i="1"/>
  <c r="X905" i="1"/>
  <c r="X904" i="1"/>
  <c r="X903" i="1"/>
  <c r="X1186" i="1" l="1"/>
  <c r="Y1186" i="1"/>
  <c r="X1187" i="1"/>
  <c r="Y1187" i="1"/>
  <c r="X1188" i="1"/>
  <c r="Y1188" i="1"/>
  <c r="X1189" i="1"/>
  <c r="Y1189" i="1"/>
  <c r="X1190" i="1"/>
  <c r="Y1190" i="1"/>
  <c r="X1183" i="1"/>
  <c r="Y1183" i="1"/>
  <c r="X1184" i="1"/>
  <c r="Y1184" i="1"/>
  <c r="X1178" i="1"/>
  <c r="Y1178" i="1"/>
  <c r="X1179" i="1"/>
  <c r="Y1179" i="1"/>
  <c r="X1180" i="1"/>
  <c r="Y1180" i="1"/>
  <c r="X1181" i="1"/>
  <c r="Y1181" i="1"/>
  <c r="X1177" i="1"/>
  <c r="Y1177" i="1"/>
  <c r="X1182" i="1"/>
  <c r="Y1182" i="1"/>
  <c r="X1185" i="1"/>
  <c r="Y1185" i="1"/>
  <c r="X1076" i="1" l="1"/>
  <c r="Y1076" i="1"/>
  <c r="X1077" i="1"/>
  <c r="Y1077" i="1"/>
  <c r="X1078" i="1"/>
  <c r="Y1078" i="1"/>
  <c r="X1079" i="1"/>
  <c r="Y1079" i="1"/>
  <c r="X1080" i="1"/>
  <c r="Y1080" i="1"/>
  <c r="X1081" i="1"/>
  <c r="Y1081" i="1"/>
  <c r="X1082" i="1"/>
  <c r="Y1082" i="1"/>
  <c r="X1083" i="1"/>
  <c r="Y1083" i="1"/>
  <c r="X1067" i="1"/>
  <c r="Y1067" i="1"/>
  <c r="X1068" i="1"/>
  <c r="Y1068" i="1"/>
  <c r="X1069" i="1"/>
  <c r="Y1069" i="1"/>
  <c r="X1070" i="1"/>
  <c r="Y1070" i="1"/>
  <c r="X1071" i="1"/>
  <c r="Y1071" i="1"/>
  <c r="X1072" i="1"/>
  <c r="Y1072" i="1"/>
  <c r="X1073" i="1"/>
  <c r="Y1073" i="1"/>
  <c r="X1074" i="1"/>
  <c r="Y1074" i="1"/>
  <c r="Y1075" i="1"/>
  <c r="X1075" i="1"/>
  <c r="Y1066" i="1"/>
  <c r="X1066" i="1"/>
  <c r="X332" i="1" l="1"/>
  <c r="Y332" i="1"/>
  <c r="X333" i="1"/>
  <c r="Y333" i="1"/>
  <c r="X334" i="1"/>
  <c r="Y334" i="1"/>
  <c r="X335" i="1"/>
  <c r="Y335" i="1"/>
  <c r="Y331" i="1"/>
  <c r="X331" i="1"/>
  <c r="Y329" i="1"/>
  <c r="X329" i="1"/>
  <c r="Y103" i="1"/>
  <c r="X103" i="1"/>
  <c r="X167" i="1" l="1"/>
  <c r="Y167" i="1"/>
  <c r="Y1064" i="1" l="1"/>
  <c r="X1063" i="1"/>
  <c r="I727" i="1" l="1"/>
  <c r="I726" i="1"/>
  <c r="I725" i="1"/>
  <c r="X728" i="1" l="1"/>
  <c r="Y728" i="1"/>
  <c r="X729" i="1"/>
  <c r="Y729" i="1"/>
  <c r="X464" i="1" l="1"/>
  <c r="Y464" i="1"/>
  <c r="X465" i="1"/>
  <c r="Y465" i="1"/>
  <c r="X466" i="1"/>
  <c r="Y466" i="1"/>
  <c r="X467" i="1"/>
  <c r="Y467" i="1"/>
  <c r="X468" i="1"/>
  <c r="Y468" i="1"/>
  <c r="Y463" i="1"/>
  <c r="X463" i="1"/>
  <c r="Y458" i="1" l="1"/>
  <c r="X458" i="1"/>
  <c r="Y578" i="1" l="1"/>
  <c r="X578" i="1"/>
  <c r="Y574" i="1"/>
  <c r="X574" i="1"/>
  <c r="Y33" i="1" l="1"/>
  <c r="X457" i="1" l="1"/>
  <c r="Y457" i="1"/>
  <c r="Y456" i="1"/>
  <c r="X456" i="1"/>
  <c r="Y378" i="1" l="1"/>
  <c r="Y381" i="1"/>
  <c r="X381" i="1"/>
  <c r="Y380" i="1"/>
  <c r="X380" i="1"/>
  <c r="Y379" i="1"/>
  <c r="X379" i="1"/>
  <c r="X378" i="1"/>
  <c r="I1968" i="1" l="1"/>
  <c r="I1967" i="1"/>
  <c r="Q1967" i="1"/>
  <c r="I1966" i="1"/>
  <c r="Q1966" i="1"/>
  <c r="Q1878" i="1"/>
  <c r="I1965" i="1" l="1"/>
  <c r="I1964" i="1"/>
  <c r="I1963" i="1"/>
  <c r="L2010" i="1"/>
  <c r="L2009" i="1"/>
  <c r="L2008" i="1"/>
  <c r="L2007" i="1"/>
  <c r="L2006" i="1"/>
  <c r="L2005" i="1"/>
  <c r="L2004" i="1"/>
  <c r="I2010" i="1"/>
  <c r="I2009" i="1"/>
  <c r="I2008" i="1"/>
  <c r="I2007" i="1"/>
  <c r="I2006" i="1"/>
  <c r="I2005" i="1"/>
  <c r="I2004" i="1"/>
  <c r="L2003" i="1"/>
  <c r="I2003" i="1"/>
  <c r="L1969"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41" i="1"/>
  <c r="I1865" i="1" l="1"/>
  <c r="I1864" i="1"/>
  <c r="I1863" i="1"/>
  <c r="I1862" i="1"/>
  <c r="I1861" i="1"/>
  <c r="I1859" i="1"/>
  <c r="I1858" i="1"/>
  <c r="I1857" i="1"/>
  <c r="I1856" i="1"/>
  <c r="I1855" i="1"/>
  <c r="I1854" i="1"/>
  <c r="I1853" i="1"/>
  <c r="I1852" i="1"/>
  <c r="I1851" i="1"/>
  <c r="I1850" i="1"/>
  <c r="I1849" i="1"/>
  <c r="I1848" i="1"/>
  <c r="I1847" i="1"/>
  <c r="I1846" i="1"/>
  <c r="I1845" i="1"/>
  <c r="I1844" i="1"/>
  <c r="I1843" i="1"/>
  <c r="I1842" i="1"/>
  <c r="I1841" i="1"/>
  <c r="Q1828" i="1" l="1"/>
  <c r="Q1821" i="1"/>
  <c r="V1820" i="1"/>
  <c r="I1828" i="1"/>
  <c r="I1827" i="1"/>
  <c r="I1826" i="1"/>
  <c r="I1825" i="1"/>
  <c r="I1824" i="1"/>
  <c r="I1823" i="1"/>
  <c r="I1822" i="1"/>
  <c r="I1821" i="1"/>
  <c r="I1820" i="1"/>
  <c r="I1819" i="1"/>
  <c r="I1818" i="1"/>
  <c r="I1817" i="1"/>
  <c r="X1816" i="1"/>
  <c r="X1815" i="1"/>
  <c r="I1340" i="1"/>
  <c r="I1339" i="1"/>
  <c r="I1338" i="1"/>
  <c r="I1337" i="1"/>
  <c r="I1336" i="1"/>
  <c r="I1335" i="1"/>
  <c r="I1334" i="1"/>
  <c r="I1333" i="1"/>
  <c r="I1332" i="1"/>
  <c r="I1331" i="1"/>
  <c r="I1330" i="1"/>
  <c r="I1329" i="1"/>
  <c r="T1326" i="1"/>
  <c r="Q1328" i="1"/>
  <c r="I1328" i="1"/>
  <c r="Q1327" i="1"/>
  <c r="I1327" i="1"/>
  <c r="I1326" i="1"/>
  <c r="I1325" i="1"/>
  <c r="I1324" i="1"/>
  <c r="I1323" i="1"/>
  <c r="I1322" i="1"/>
  <c r="I1321" i="1"/>
  <c r="I1320" i="1"/>
  <c r="I1319" i="1"/>
  <c r="I1318" i="1"/>
  <c r="I1317" i="1"/>
  <c r="I1316" i="1"/>
  <c r="I1315" i="1"/>
  <c r="I1314" i="1"/>
  <c r="I1313" i="1"/>
  <c r="I1312" i="1"/>
  <c r="I1311" i="1"/>
  <c r="Q1311" i="1"/>
  <c r="I1310" i="1"/>
  <c r="I1309" i="1"/>
  <c r="I1308" i="1"/>
  <c r="I1307" i="1"/>
  <c r="I1306" i="1"/>
  <c r="I1305" i="1"/>
  <c r="I1304" i="1"/>
  <c r="I1303" i="1"/>
  <c r="I1302" i="1"/>
  <c r="I1301" i="1"/>
  <c r="I1300" i="1"/>
  <c r="I1299" i="1"/>
  <c r="I1298" i="1"/>
  <c r="I1297" i="1"/>
  <c r="I1296" i="1"/>
  <c r="I1295" i="1"/>
  <c r="I1294" i="1"/>
  <c r="I1293" i="1"/>
  <c r="Y1347" i="1" l="1"/>
  <c r="X1347" i="1"/>
  <c r="Y1346" i="1"/>
  <c r="X1346" i="1"/>
  <c r="Y1345" i="1"/>
  <c r="X1345" i="1"/>
  <c r="Y1344" i="1"/>
  <c r="X1344" i="1"/>
  <c r="Y1343" i="1"/>
  <c r="X1343" i="1"/>
  <c r="Y1252" i="1"/>
  <c r="X1252" i="1"/>
  <c r="Y1251" i="1"/>
  <c r="X1251" i="1"/>
  <c r="Y1250" i="1"/>
  <c r="X1250" i="1"/>
  <c r="Y1249" i="1"/>
  <c r="X1249" i="1"/>
  <c r="Y1248" i="1"/>
  <c r="X1248" i="1"/>
  <c r="Y1247" i="1"/>
  <c r="X1247" i="1"/>
  <c r="Y1246" i="1"/>
  <c r="X1246" i="1"/>
  <c r="Y1245" i="1"/>
  <c r="X1245" i="1"/>
  <c r="Y1244" i="1"/>
  <c r="X1244" i="1"/>
  <c r="Z1154" i="1" l="1"/>
  <c r="I1156" i="1"/>
  <c r="I1155" i="1"/>
  <c r="I1154" i="1"/>
  <c r="I1962" i="1" l="1"/>
  <c r="I1961" i="1"/>
  <c r="I1960" i="1"/>
  <c r="I1959" i="1"/>
  <c r="I1958" i="1"/>
  <c r="I1957" i="1"/>
  <c r="I1956" i="1"/>
  <c r="I1955" i="1"/>
  <c r="I1954" i="1"/>
  <c r="I1953" i="1"/>
  <c r="I1952" i="1"/>
  <c r="I1951" i="1"/>
  <c r="I1950" i="1"/>
  <c r="I1949" i="1" l="1"/>
  <c r="I1948" i="1"/>
  <c r="I1947" i="1"/>
  <c r="I1946" i="1"/>
  <c r="I1943" i="1" l="1"/>
  <c r="I1942" i="1"/>
  <c r="I1941" i="1"/>
  <c r="I1940" i="1"/>
  <c r="I1939" i="1"/>
  <c r="I1938" i="1"/>
  <c r="I1937" i="1"/>
  <c r="I1936" i="1"/>
  <c r="I1935" i="1"/>
  <c r="I1934" i="1"/>
  <c r="I1933" i="1"/>
  <c r="I1932" i="1"/>
  <c r="I1931" i="1" l="1"/>
  <c r="I1930" i="1"/>
  <c r="I1929" i="1"/>
  <c r="I1928" i="1"/>
  <c r="I1927" i="1"/>
  <c r="I1926" i="1" l="1"/>
  <c r="I1925" i="1"/>
  <c r="I1924" i="1"/>
  <c r="I1923" i="1"/>
  <c r="I1922" i="1"/>
  <c r="I1920" i="1"/>
  <c r="I1919" i="1"/>
  <c r="I1918" i="1"/>
  <c r="I1917" i="1"/>
  <c r="I1916" i="1"/>
  <c r="I1915" i="1"/>
  <c r="I1914" i="1"/>
  <c r="I1913" i="1"/>
  <c r="I1912" i="1"/>
  <c r="I1911" i="1"/>
  <c r="L1909" i="1"/>
  <c r="I1910" i="1"/>
  <c r="I1909" i="1"/>
  <c r="I1908" i="1" l="1"/>
  <c r="I1907" i="1"/>
  <c r="I1906" i="1"/>
  <c r="I1905" i="1"/>
  <c r="I1904" i="1"/>
  <c r="I1903" i="1"/>
  <c r="I1902" i="1"/>
  <c r="I1901" i="1"/>
  <c r="I1900" i="1"/>
  <c r="I1899" i="1"/>
  <c r="I1898" i="1"/>
  <c r="Q1897" i="1"/>
  <c r="I1897" i="1"/>
  <c r="Q1896" i="1"/>
  <c r="I1896" i="1"/>
  <c r="I1895" i="1"/>
  <c r="I1894" i="1"/>
  <c r="Q1894" i="1"/>
  <c r="I1893" i="1"/>
  <c r="I1892" i="1"/>
  <c r="I1891" i="1"/>
  <c r="I1890" i="1"/>
  <c r="I1889" i="1"/>
  <c r="I1888" i="1"/>
  <c r="I1887" i="1"/>
  <c r="I1886" i="1"/>
  <c r="I1885" i="1"/>
  <c r="I1884" i="1"/>
  <c r="I1883" i="1"/>
  <c r="I1882" i="1"/>
  <c r="L1866" i="1" l="1"/>
  <c r="I1881" i="1"/>
  <c r="I1880" i="1"/>
  <c r="I1879" i="1"/>
  <c r="I1878" i="1"/>
  <c r="I1877" i="1" l="1"/>
  <c r="I1876" i="1"/>
  <c r="I1875" i="1"/>
  <c r="Q1875" i="1"/>
  <c r="I1874" i="1"/>
  <c r="I1866" i="1"/>
  <c r="I1873" i="1"/>
  <c r="I1872" i="1"/>
  <c r="I1871" i="1"/>
  <c r="I1870" i="1" l="1"/>
  <c r="I1869" i="1"/>
  <c r="I1868" i="1"/>
  <c r="V1868" i="1"/>
  <c r="I1867" i="1"/>
  <c r="Y969" i="1" l="1"/>
  <c r="X969" i="1"/>
  <c r="I868" i="1"/>
  <c r="I867" i="1"/>
  <c r="I866" i="1"/>
  <c r="I865" i="1"/>
  <c r="I864" i="1"/>
  <c r="I863" i="1"/>
  <c r="Y723" i="1"/>
  <c r="X723" i="1"/>
  <c r="Q654" i="1" l="1"/>
  <c r="Q653" i="1"/>
  <c r="Q652" i="1"/>
  <c r="Y418" i="1" l="1"/>
  <c r="X418" i="1"/>
  <c r="I584" i="1" l="1"/>
  <c r="I375" i="1" l="1"/>
  <c r="I374" i="1"/>
  <c r="I373" i="1"/>
  <c r="I372" i="1"/>
  <c r="I371" i="1"/>
  <c r="Z612" i="1" l="1"/>
  <c r="Z611" i="1"/>
  <c r="Z610" i="1"/>
  <c r="Z609" i="1"/>
  <c r="Z608" i="1"/>
  <c r="Z607" i="1"/>
  <c r="Z606" i="1"/>
  <c r="Z605" i="1"/>
  <c r="Z604" i="1"/>
  <c r="Z603" i="1"/>
  <c r="Z602" i="1"/>
  <c r="Z601" i="1"/>
  <c r="Z600" i="1"/>
  <c r="Z599" i="1"/>
  <c r="Z598" i="1"/>
  <c r="Z597" i="1"/>
  <c r="Z596" i="1"/>
  <c r="Z595" i="1"/>
  <c r="Z594" i="1"/>
  <c r="Z593" i="1"/>
  <c r="Z592" i="1"/>
  <c r="Z591" i="1"/>
  <c r="Y581" i="1"/>
  <c r="X581" i="1"/>
  <c r="Y460" i="1" l="1"/>
  <c r="X460" i="1"/>
  <c r="Y391" i="1"/>
  <c r="I140" i="1" l="1"/>
  <c r="I139" i="1"/>
  <c r="I138" i="1"/>
  <c r="I137" i="1"/>
  <c r="I136" i="1"/>
  <c r="I135" i="1"/>
  <c r="I134" i="1"/>
  <c r="I133" i="1"/>
  <c r="I132" i="1"/>
  <c r="Y102" i="1" l="1"/>
  <c r="X102" i="1"/>
  <c r="Y100" i="1" l="1"/>
  <c r="X100" i="1"/>
  <c r="Y99" i="1"/>
  <c r="X99" i="1"/>
  <c r="Y98" i="1"/>
  <c r="X98" i="1"/>
  <c r="Y97" i="1"/>
  <c r="X97" i="1"/>
  <c r="I68" i="1"/>
  <c r="I67" i="1"/>
  <c r="I65" i="1"/>
  <c r="I2023" i="1" l="1"/>
  <c r="I2025" i="1"/>
  <c r="I2024" i="1"/>
</calcChain>
</file>

<file path=xl/sharedStrings.xml><?xml version="1.0" encoding="utf-8"?>
<sst xmlns="http://schemas.openxmlformats.org/spreadsheetml/2006/main" count="27292" uniqueCount="8026">
  <si>
    <t>Common Name</t>
  </si>
  <si>
    <t>Max Rooting Depth (m)</t>
  </si>
  <si>
    <t>Elevation (m)</t>
  </si>
  <si>
    <t>Reference</t>
  </si>
  <si>
    <t>Notes</t>
  </si>
  <si>
    <t>Biome</t>
  </si>
  <si>
    <t>Topo Position</t>
  </si>
  <si>
    <t>Human Alteration</t>
  </si>
  <si>
    <t>Climate</t>
  </si>
  <si>
    <t>Drainage</t>
  </si>
  <si>
    <t>Water Table Range (m)</t>
  </si>
  <si>
    <t>Soil</t>
  </si>
  <si>
    <t>Latitude (degree)</t>
  </si>
  <si>
    <t>Longitude (degree)</t>
  </si>
  <si>
    <t>Texture / Type</t>
  </si>
  <si>
    <t>Geographic Location</t>
  </si>
  <si>
    <t>Addington et al., 2006</t>
  </si>
  <si>
    <t>Author Notes</t>
  </si>
  <si>
    <t>Longleaf pine</t>
  </si>
  <si>
    <t>Pinus palustris</t>
  </si>
  <si>
    <t>SW Georgia, US</t>
  </si>
  <si>
    <t>Subtropical moist forest</t>
  </si>
  <si>
    <t>Hardpan Nature</t>
  </si>
  <si>
    <t>argillic horrizon</t>
  </si>
  <si>
    <t>PET (mm)</t>
  </si>
  <si>
    <t>Depth (m)</t>
  </si>
  <si>
    <t>Bedrock Nature</t>
  </si>
  <si>
    <t>The two sites are located ≈5 km from one another and they experience similar climate. The sites were defined as xeric and mesic based on the drainage characteristics of their soils and on the composition of the woody plant community. Trees occupying a xeric habitat were shorter in stature and had lower sapwood-to-leaf area ratio than trees in a mesic habitat.</t>
  </si>
  <si>
    <t>deep sandy / Typic Quartzipsamments</t>
  </si>
  <si>
    <t>sandy loam, sandy clay loam / Aquic Arenic Kandiudults</t>
  </si>
  <si>
    <t>lat-lon approx.</t>
  </si>
  <si>
    <t>xeric site</t>
  </si>
  <si>
    <t>mesic site</t>
  </si>
  <si>
    <t>evergreen needle-leaf</t>
  </si>
  <si>
    <t>upland sand ridge</t>
  </si>
  <si>
    <t xml:space="preserve">upland terrace </t>
  </si>
  <si>
    <t>Arndt, et al., 2004</t>
  </si>
  <si>
    <t>Taklamakan desert, W. China</t>
  </si>
  <si>
    <t>Alhagi sparsifolia</t>
  </si>
  <si>
    <t>salt cedar</t>
  </si>
  <si>
    <t>Tamarix ramosissima</t>
  </si>
  <si>
    <t>Populus euphratica</t>
  </si>
  <si>
    <t>Calligonum caput-medusae</t>
  </si>
  <si>
    <t>lat-lon approx., max root depth extrap from Fig.3</t>
  </si>
  <si>
    <t>Mean WT Depth (m)</t>
  </si>
  <si>
    <t>&gt; 7.5</t>
  </si>
  <si>
    <t>arid desert</t>
  </si>
  <si>
    <t xml:space="preserve"> All investigated species showed high rates of water use... water potentials did not indicate drought stress and neither transpiration nor sap flow displayed the midday depression so common among plants in water-limited environments... soil water content was negligible in soil layers above groundwater while groundwater levels remained constant... the high water demands  can only be met by permanent groundwater access... the plant species primarily utilized nutrients from groundwater.. have root systems that access groundwater to satisfy demands for both water and nutrients... have adapted to the environment through development of root systems that access groundwater to satisfy demands for both water and nutrients. </t>
  </si>
  <si>
    <t>river bed</t>
  </si>
  <si>
    <t>1.0 - 2.0</t>
  </si>
  <si>
    <t>pure silt</t>
  </si>
  <si>
    <t>foreland of oasis</t>
  </si>
  <si>
    <t>Bakker et al., 2006</t>
  </si>
  <si>
    <t>wet site</t>
  </si>
  <si>
    <t>dry site</t>
  </si>
  <si>
    <t>Maritime Pine</t>
  </si>
  <si>
    <t>Pinus pinaster</t>
  </si>
  <si>
    <t>purple moor-grass</t>
  </si>
  <si>
    <t>Molinia caerulea</t>
  </si>
  <si>
    <t>Pteridium aquilinum</t>
  </si>
  <si>
    <t xml:space="preserve">evergreen shrub </t>
  </si>
  <si>
    <t>evergreen shrub</t>
  </si>
  <si>
    <t>grass</t>
  </si>
  <si>
    <t>fern</t>
  </si>
  <si>
    <t>0.8-1.0</t>
  </si>
  <si>
    <t>2.5-3.0</t>
  </si>
  <si>
    <t>extrapolated from Fig.1</t>
  </si>
  <si>
    <t>0.4 - 0.8</t>
  </si>
  <si>
    <t>2.0 - 3.0</t>
  </si>
  <si>
    <t>0.4 - 1.3</t>
  </si>
  <si>
    <t>SW France</t>
  </si>
  <si>
    <t>lat-lon moved 700m NE to match 61m elevation</t>
  </si>
  <si>
    <t>lat-lon moved 74m SW to match 66m elevation</t>
  </si>
  <si>
    <t>the Landes of Gascogne forest range in south western France; In one typical ‘humid’ and one typical ‘dry’ site, situated at 25 and 45 km southwest of Bordeaux, respectively.</t>
  </si>
  <si>
    <t>regional depression</t>
  </si>
  <si>
    <t>regional high</t>
  </si>
  <si>
    <t>spodic horizon</t>
  </si>
  <si>
    <t>Site fertility determined by organic matter content and depth of water table which is known to limit root growth... Humid site more fertile with 2-3fold higher total C and N... At humid site, total fine root biomass = 3.6t/ha and max rooting depth = ~0.9 m, so sampling effort down to 1.2 m was sufficient... Unable to conclude whether the absence of roots below 0.9 m at the humid site was due to  a hardpan (physical / chemical barrier) or high water table... At dry site, max rooting depth was estimated at 2.5–3.0 m so sampling was incomplete.</t>
  </si>
  <si>
    <t>The spodic horizon is locally cemented and forms a hardpan that can be continuous over several meters to tens of meters (occurring at 60% of sampling points). At the dry site, spodic horizon is more friable… All root tips, regardless of depth, were colonised by mycorrhizal fungi.</t>
  </si>
  <si>
    <t>This species is only found at the wet site.</t>
  </si>
  <si>
    <t>Bannan, 1940</t>
  </si>
  <si>
    <t>Ontario, CA, Lake Sup. N shore</t>
  </si>
  <si>
    <t>larch</t>
  </si>
  <si>
    <t>Larix laricina</t>
  </si>
  <si>
    <t>black spruce</t>
  </si>
  <si>
    <t>Picea mariana</t>
  </si>
  <si>
    <t>white spruce</t>
  </si>
  <si>
    <t>Picea glauca</t>
  </si>
  <si>
    <t>jack pine</t>
  </si>
  <si>
    <t>Pinus Banksiana</t>
  </si>
  <si>
    <t>Boreal forest</t>
  </si>
  <si>
    <t>Mediterran pine plantation</t>
  </si>
  <si>
    <t>eaolian sand / Entic to Densic Podzol, 12.5cm O</t>
  </si>
  <si>
    <t>eaolian sand / Entic to Densic Podzol, 5.5cm O</t>
  </si>
  <si>
    <t>plantation</t>
  </si>
  <si>
    <t>Ulex europaeus, U. minor</t>
  </si>
  <si>
    <t>common gorse, dwarf gorse</t>
  </si>
  <si>
    <t>besom heath, bell heath, common heath</t>
  </si>
  <si>
    <t>Erica scoparia, E. cinerea, Calluna vulgaris</t>
  </si>
  <si>
    <t>humus, glay, medium-coarse sand / Podzol</t>
  </si>
  <si>
    <t xml:space="preserve">The mature larch trees examined had shallow root systems. In nine of the ten trees excavated only very few roots reached depths of one foot or slightly more (fig. 8). </t>
  </si>
  <si>
    <t xml:space="preserve">The root habit of adult black spruce on the plain resembled that of the larch. Lateral roots were shallow, and tap roots were feebly developed at best. </t>
  </si>
  <si>
    <t>The root systems of the larger white spruce trees were exceedingly variable in form. Six of the ten trees studied had recognizable tap roots.</t>
  </si>
  <si>
    <t>Adult jack pine had the deepest root habit of the species studied. Tap roots were present in all ten trees excavated, though variable in size and form.</t>
  </si>
  <si>
    <t>Bhattachan et al., 2012</t>
  </si>
  <si>
    <t>Terminalia sericea, Ochna pulchra, Pterocarpus angolensis, Burkea africana</t>
  </si>
  <si>
    <t>Rhigozum trichotomum, Acacia mellifera, A. erioloba, Boscia albitrunca</t>
  </si>
  <si>
    <t>thick, homogeneous sandy soil</t>
  </si>
  <si>
    <t>Shakawe</t>
  </si>
  <si>
    <t>Kuke</t>
  </si>
  <si>
    <t>Tshane</t>
  </si>
  <si>
    <t>Bokspits</t>
  </si>
  <si>
    <t>S. bank Okavango pan handle, 5m above river level</t>
  </si>
  <si>
    <t>at the foot hill of ridge</t>
  </si>
  <si>
    <t>near playa with salt crust</t>
  </si>
  <si>
    <t>near dry river bed</t>
  </si>
  <si>
    <t>subtropical dry forest</t>
  </si>
  <si>
    <t>Kalahari Desert, NW. Botswana</t>
  </si>
  <si>
    <t>Kalahari Desert, W. Botswana</t>
  </si>
  <si>
    <t>Kalahari Desert, SW. Botswana</t>
  </si>
  <si>
    <t>Root depth has 95% roots fitted by authors except Kuke where roots do not follow exponential - so it is extrapolated from Fig.3. WT depth differ from others. In Okavango (Shakawe), WT is near surface (Bauer, 2004; McCarthy, 2006; Ramberg, 2006; Wolski, 2006) vs. 25m reported here.</t>
  </si>
  <si>
    <t>Bishop, 1962</t>
  </si>
  <si>
    <t>lodgepole pine</t>
  </si>
  <si>
    <t>Pinus contorts</t>
  </si>
  <si>
    <t>NE Oregon, US</t>
  </si>
  <si>
    <t>temperate evergreen forest</t>
  </si>
  <si>
    <t>on gentle N-facing slope</t>
  </si>
  <si>
    <t>pumicite sitl, basalt clay / Tolo series</t>
  </si>
  <si>
    <t>basalt</t>
  </si>
  <si>
    <t>Starkey Experimental Forest was readily located on Google Earth.</t>
  </si>
  <si>
    <t>Lateral roots in top 12" of pumicite soil... vertical roots extended to the rock layer at 39" depth… a dense mass of short rootlets in the lower parts of the residual clay soil... these little roots enveloped rocks in the basalt soil.</t>
  </si>
  <si>
    <t>Bleby et al., 2010</t>
  </si>
  <si>
    <t>Edwards Plateau, Cen. Texas</t>
  </si>
  <si>
    <t>Quercus fusiformis, Bumelia lanuginosa, Prosopis glandulosa</t>
  </si>
  <si>
    <t>Texas live oak, gum bumelia, honey mesquite</t>
  </si>
  <si>
    <t>calcreous soil, karst</t>
  </si>
  <si>
    <t>Cretaceous limestone</t>
  </si>
  <si>
    <t>All species had shallow lateral roots near the surface and deep tap roots to at least 18–20 m depth. Numerous deep roots (d&gt;1 cm) grew through the roof and in sediment-laden side walls of a cave directly below the trees, and some tapped directly into a perennial underground stream.</t>
  </si>
  <si>
    <t>The study shows roots penetrating calcreous rocks to great depths and dimorphic  (using both sources).</t>
  </si>
  <si>
    <t xml:space="preserve"> Inverness-shire, Scotland</t>
  </si>
  <si>
    <t>Boggie, 1977</t>
  </si>
  <si>
    <t>savannah and woodland</t>
  </si>
  <si>
    <t>Pinus contorta</t>
  </si>
  <si>
    <t>temperate broadleaf forest</t>
  </si>
  <si>
    <t>Root growth of many species is inhibited in the presence of excessive soil moisture but it is well established that the oxygen deficiency usually accompanying this condition is the main factor affecting plant growth... Earlier work on these plots showed evidence of dieback at the extremities of some of the deeper pine roots, new apices emerging a few cm further back. .. this happens during periods of optimum aeration when roots penetrate to depths where conditions are conducive to growth. Apart from ephermeral rooting, the extent of the main root structure is determined by the limiting conditions obtaining for the greater part of the year and not by the better aeration conditions that occur for limited periods.</t>
  </si>
  <si>
    <t>O concentration and root mass are measured at difference depth to well below WT, showing high correlation between the two</t>
  </si>
  <si>
    <t>the 1972 paper has a site plot… used to locate sites</t>
  </si>
  <si>
    <t>deep peat</t>
  </si>
  <si>
    <t>200m on transect-3</t>
  </si>
  <si>
    <t>100m on transect-3</t>
  </si>
  <si>
    <t>Sarcocornia pillansii</t>
  </si>
  <si>
    <t>0.6-1.1</t>
  </si>
  <si>
    <t>0.4-0.9</t>
  </si>
  <si>
    <t>Hummock</t>
  </si>
  <si>
    <t>Inter-Hummock</t>
  </si>
  <si>
    <t>loam on silt-loam, then sand</t>
  </si>
  <si>
    <t>clay-loam on loam, then silt-loam</t>
  </si>
  <si>
    <t>Where the groundwater was accessible (&lt;1.5 m) and had a low ion concentration (&lt;80 mS/cm), S. pillansii extended its roots down to the water-table, where a suitable water potential gradient existed between the soil and the roots… The large concentration of live roots in the surface soils suggested that the groundwater was not the only source of water for these plants.</t>
  </si>
  <si>
    <t>water table read from Fig 3(b) for Hummock and (c) for inter-hummock; roots observed at Tract-3, 100m and 200m points</t>
  </si>
  <si>
    <t>Olifants Estuary, W-coast of S. Africa</t>
  </si>
  <si>
    <t>Mediterranean, wetland</t>
  </si>
  <si>
    <t>sucullent halophyte</t>
  </si>
  <si>
    <t>Brachyclados caespitosus</t>
  </si>
  <si>
    <t>Euphorbia collina</t>
  </si>
  <si>
    <t>Mulinum spinosum</t>
  </si>
  <si>
    <t>Sencecio filagionoides</t>
  </si>
  <si>
    <t>Adesmia boronioides</t>
  </si>
  <si>
    <t>Colliguaya integerrima</t>
  </si>
  <si>
    <t>Lycium chilense</t>
  </si>
  <si>
    <t xml:space="preserve">Berberis heterophylla </t>
  </si>
  <si>
    <t>Schinus johnstonii</t>
  </si>
  <si>
    <t>Bucci et al., 2009</t>
  </si>
  <si>
    <t>cushion shrub</t>
  </si>
  <si>
    <t>cusion shrub</t>
  </si>
  <si>
    <t>small shrub</t>
  </si>
  <si>
    <t>tall shrub</t>
  </si>
  <si>
    <t>dwarf shrub</t>
  </si>
  <si>
    <t>&lt;1m</t>
  </si>
  <si>
    <t>&lt;2m</t>
  </si>
  <si>
    <t>&gt;2.5</t>
  </si>
  <si>
    <t>C. integerrima has a conspicuous tap root that penetrates to a depth of about 200 cm</t>
  </si>
  <si>
    <t>L. chilense has numerous roots that reach depths of 150 cm but none of them constitute a prominent tap root.</t>
  </si>
  <si>
    <t>No water table depth given, but Fig.2 shows increasing dry-season soil moisture with depth at nearly saturation at 3m depth; discussion also hints GW as source: "consistent with earlier observations (Soriano, 1987, 1990, Schulze 1996)". Schulze talks about WT 2-3m deep.</t>
  </si>
  <si>
    <t>400-420</t>
  </si>
  <si>
    <t>gravely sandy loam or gravely loamy sand</t>
  </si>
  <si>
    <t xml:space="preserve">calcareous stony layer </t>
  </si>
  <si>
    <t xml:space="preserve"> 0.8-1 to 1.2-1.5</t>
  </si>
  <si>
    <t>Patagonia, NW Santa Cruz, Argentina</t>
  </si>
  <si>
    <t>dry steppe</t>
  </si>
  <si>
    <t>The root systems of S. johnstonii and B. heterophylla have a prominent single axis (taproot) that reaches depths in excess of 250 cm.</t>
  </si>
  <si>
    <t xml:space="preserve">Percolation is frequent in Patagonia because most precipitation occurs during winter when plant growth and transpiration are low… </t>
  </si>
  <si>
    <t>Predawn  Phi-Leaf ranged from -4.0 MPa for shallow rooted shrubs to -1.0 MPa for deep rooted shrubs, suggesting that roots of the latter have access to bundant moisture, whereas shallow-rooted shrubs are adapted to use water mainly by small rainfall events... Every event generates a pulse of moisture, which, depending on the rain amount and evaporation, can last a few hours to many weeks...Single events (larger than trace) do not usually recharge the soil at depths greater than 20–30 cm... In our site, for 2007, only 23 of the 72 rain events were larger than 2 mm... Another factor that may affect root growth into deeper soils could be related to water logging. Roots of many plant species do not tolerate anoxic conditions causing their growth to decrease or stop in water-saturated soils... calcareous stony layer at 0.8-1 to 1.2-1.5m depth that some roots can penetrate... In the Patagonian steppe growth is limited in winter by low temperatures and is restricted by low soil water availability in late spring and summer.</t>
  </si>
  <si>
    <t>It shows difference across species at a single site. .. Rooting depth varied greatly across species, but woody plants in general have deeper roots; larger woody plants have deeper roots than smaller woody plants. .. It also shows roots penetrating into the stony hard layer.</t>
  </si>
  <si>
    <t>Bunger &amp; Thomson, 1938</t>
  </si>
  <si>
    <t>Asiatic elm</t>
  </si>
  <si>
    <t>Ulmus pumila</t>
  </si>
  <si>
    <t>Osage orange</t>
  </si>
  <si>
    <t>Toxylon pomiferum</t>
  </si>
  <si>
    <t>Eastern red cedar</t>
  </si>
  <si>
    <t>Juniperus virginlana</t>
  </si>
  <si>
    <t>Black locus</t>
  </si>
  <si>
    <t>Robinia pseudoacacia</t>
  </si>
  <si>
    <t>Russian mulberry</t>
  </si>
  <si>
    <t>Morus alba</t>
  </si>
  <si>
    <t>Thornless honey locust</t>
  </si>
  <si>
    <t>Gleditsia triacanthos inermis</t>
  </si>
  <si>
    <t>Seedling apricot</t>
  </si>
  <si>
    <t>Prunus armerdaca</t>
  </si>
  <si>
    <t>Ash</t>
  </si>
  <si>
    <t>Western black walnut</t>
  </si>
  <si>
    <t>Juglans ruvestris</t>
  </si>
  <si>
    <t>Vegetation</t>
  </si>
  <si>
    <t>tree</t>
  </si>
  <si>
    <t>shrub or small tree</t>
  </si>
  <si>
    <t>shrub</t>
  </si>
  <si>
    <t>perrenial grass</t>
  </si>
  <si>
    <t>bracken fern, eagle fern</t>
  </si>
  <si>
    <t>herb</t>
  </si>
  <si>
    <t xml:space="preserve">silver cluster-leaf, Lekkerbreek, wild teak, wild syringa </t>
  </si>
  <si>
    <t>tree, small tree, tree, tree</t>
  </si>
  <si>
    <t>tree, tree, tree, tree</t>
  </si>
  <si>
    <t>Terminalia serecia, Lonchocapus nelsii, Acacia erubescens, A. fleckeri</t>
  </si>
  <si>
    <t>silver cluster-leaf, lace pod, blue thorn, wattle</t>
  </si>
  <si>
    <t>Lycium species, Acacia mellifera, A. luederitzii</t>
  </si>
  <si>
    <t>box thorn, black thorn, Kalahari Acacia</t>
  </si>
  <si>
    <t>shrub, small tree, shrub</t>
  </si>
  <si>
    <t>shrub, small tree, tree, tree</t>
  </si>
  <si>
    <t>three thorns, black thorn, camel thorn, shepherd's tree</t>
  </si>
  <si>
    <t>evergreen or nearly evergreen Broadleaf</t>
  </si>
  <si>
    <t>Euphrates Poplar or Desert Poplar</t>
  </si>
  <si>
    <t>camelthorn or manna tree</t>
  </si>
  <si>
    <t>samphires, or glassworts, or saltworts</t>
  </si>
  <si>
    <t xml:space="preserve">evergreen </t>
  </si>
  <si>
    <t>evergreen</t>
  </si>
  <si>
    <t xml:space="preserve"> Richfield silt loam</t>
  </si>
  <si>
    <t>Oklahoma Pan Handle, US</t>
  </si>
  <si>
    <t>1.5-2.1</t>
  </si>
  <si>
    <t>Usually from 2 to 6 vertical roots of each elm grew straight down through the calcareous layer to a depth of more than 26.5 feet, the maximum depth of the pits.</t>
  </si>
  <si>
    <t>Depth of penetration of vertical roots of the living tree was slightly over 11 feet and the deepest root found under a drouth-killed tree was slightly less than 7 feet.</t>
  </si>
  <si>
    <t>The deepest root penetrated to 7.7 feet, but  the majority were in the first 6 feet of soil.</t>
  </si>
  <si>
    <t>These roots did not penetrate the calcareous layer at any place for more than 17 inches and the deepest penetrating root was 6 feet from the surface.</t>
  </si>
  <si>
    <t>The vertical roots were followed to a depth of 27' through a calcareous layer. In an area of 9 square feet at the bottom of the 27-foot pit there were still 6 separate roots that grew below the bottom.</t>
  </si>
  <si>
    <t>Fraxinus species</t>
  </si>
  <si>
    <t>Under one tree, 11 roots extended through the calcareous layer and continued downward to a depth of 15', the depth excavated.  Fragments of roots 1/16 to 1/32 of an inch in diameter were found at a depth of 24.5 feet in soil auger borings taken 5 feet from the tree, indicating that the vertical roots penetrated much deeper.</t>
  </si>
  <si>
    <t>From 4-7 of these deep-penetrating roots extended vertically throught he calcareous layer. All the deep roots were uncovered to a depth of 26 feet, but many went deeper.</t>
  </si>
  <si>
    <t xml:space="preserve"> The deepest root excavated was 12.5 feet, with only a few completely penetrating the calcareous layer. Many grew directly downward to the top of this layer and there turned abruptly and followed along the top of the layer from 5-15'.</t>
  </si>
  <si>
    <t>The deepest root penetrated 5.6 feet, but none penetrated the calcareous layer more than 20". However, the living tree roots seemed to utilize most of the upper part of this layer.</t>
  </si>
  <si>
    <t>rooting depth extended to 26' from 25' in Table-1</t>
  </si>
  <si>
    <t>rooting depth extended to 28' from 26' in Table-1</t>
  </si>
  <si>
    <t>root extended to 30' as suggested in Fig.1 as they are still strong</t>
  </si>
  <si>
    <t xml:space="preserve">root extended to 32' - there are still 6 large roots at bottom of pit </t>
  </si>
  <si>
    <t>calcareous layer</t>
  </si>
  <si>
    <t>planted as wind break</t>
  </si>
  <si>
    <t>temperate steppe</t>
  </si>
  <si>
    <t>Canham et al., 2012</t>
  </si>
  <si>
    <t>Mediterra woodland</t>
  </si>
  <si>
    <t>Banksia attenuata</t>
  </si>
  <si>
    <t>holly-leaved banksia</t>
  </si>
  <si>
    <t>Banksia ilicifolia</t>
  </si>
  <si>
    <t>candlestick banksia</t>
  </si>
  <si>
    <t>3-3.75</t>
  </si>
  <si>
    <t>deep medium-coarse sand</t>
  </si>
  <si>
    <t>Whiteman Park, SW Australia</t>
  </si>
  <si>
    <t>evergreen broad-leaf</t>
  </si>
  <si>
    <t>The Gnangara groundwater mound underlies the park, supporting groundwater dependent ecosystems including large areas of phreatophytic Banksia woodland… The root zone at 2.7 m was not inundated by the water table at any time during the study but was within or just above the capillary zone from July to January (mid-winter to mid-summer)... In contrast, root ingrowth bags at 3.7 m were saturated from late autumn until early in the following summer and no root in-growth occurred during this period.</t>
  </si>
  <si>
    <t>In-growth bags at multiple depths to monitor root response to water table rise-fall. Growth seen at deepest bag (3.6m) following the drop of water table to that depth in dry season.</t>
  </si>
  <si>
    <t>Cannon, 1911</t>
  </si>
  <si>
    <t>Sonoran Desert, Tuscon, AZ, US</t>
  </si>
  <si>
    <t>Tumamoc Hill</t>
  </si>
  <si>
    <t>Floodplain, Santa Cruz river, West Wash</t>
  </si>
  <si>
    <t xml:space="preserve">Encelia Farinosa </t>
  </si>
  <si>
    <t>Prosopis velutina, Prosopis sp.</t>
  </si>
  <si>
    <t>5.0-8.0</t>
  </si>
  <si>
    <t>Condalia spathulata, Ephedra tirifurca, Koerberlinia spinosa, Ziziphus arryi</t>
  </si>
  <si>
    <t>Covillea tridentata, Fouquieria splendens, Franseria deltoidea, Krameria canescens, K. glandulosa, Riddellia cooperi, Mortonia scabrella</t>
  </si>
  <si>
    <t>annual</t>
  </si>
  <si>
    <t>Echinocactus wislizenii, Opnntia discata, O. Icptocaulis, O. versicolor, Jatropha cardiophylla</t>
  </si>
  <si>
    <t>brittlebush</t>
  </si>
  <si>
    <t>semi-evergreen</t>
  </si>
  <si>
    <t>velvet mesquite</t>
  </si>
  <si>
    <t>deciduous broad-leaf</t>
  </si>
  <si>
    <t>Snakewood, etc.</t>
  </si>
  <si>
    <t>perennial, some succulent</t>
  </si>
  <si>
    <t>Sanford, 1989</t>
  </si>
  <si>
    <t>tropical rainforest</t>
  </si>
  <si>
    <t>tierra-firme</t>
  </si>
  <si>
    <t>tierra-firme / caatinga</t>
  </si>
  <si>
    <t>caatinga / bana</t>
  </si>
  <si>
    <t>bana</t>
  </si>
  <si>
    <t>Oxisols</t>
  </si>
  <si>
    <t>top of hills</t>
  </si>
  <si>
    <t>swales between ridges</t>
  </si>
  <si>
    <t>caatinga (white sand)</t>
  </si>
  <si>
    <t>sandy domes within caatinga</t>
  </si>
  <si>
    <t>Productivity, species diversity, and canopy height are lowest for bana compared to the other forest types. Sclerophylly is characteristic in bana forest and the canopy is open.</t>
  </si>
  <si>
    <t>deep Spodosols</t>
  </si>
  <si>
    <t>excessively well-drained Spodosols</t>
  </si>
  <si>
    <t>This topographic and pedologic diversity supports three distinct forest types and several transition zones that occur between the distinct forest type</t>
  </si>
  <si>
    <t>Tierra firme, caatinga, and bana forest types have 95, 95 and 85%, respectively, of total root biomass in the upper 20 cm of mineral soil and above the mineral soil in a root mat.</t>
  </si>
  <si>
    <t>Drainage may be important in developing superficial root systems.</t>
  </si>
  <si>
    <t>plinthite concretion</t>
  </si>
  <si>
    <t>15-30cm to saprolite</t>
  </si>
  <si>
    <t>transition</t>
  </si>
  <si>
    <t>The distribution of fine roots throughout the soil profile in bana forest is probably a response to the widely fluctuating water table..Of the three forest types, bana forest root biomass is most deeply distributed in the soil profile. This may be in response to water stress that occurs during the dry season in these excessively well drained Spodosols.</t>
  </si>
  <si>
    <t>Carnegiea gigantea, Opuntia arbuscula, O. fulgida, Dasylirion texanum, Yucca sp., Y. radiosa</t>
  </si>
  <si>
    <t>saguaro, Pencil Cholla, Yacca</t>
  </si>
  <si>
    <t>NAM and winter rain</t>
  </si>
  <si>
    <t>top of flat hills</t>
  </si>
  <si>
    <t>adobe clay, amlpais (from lava)</t>
  </si>
  <si>
    <t>caliche</t>
  </si>
  <si>
    <t>mean across individuals and species: 20, 25, 15, 15, 15, 14, 20, 30, 25cm</t>
  </si>
  <si>
    <t>only one specimen</t>
  </si>
  <si>
    <t>mean across individuals and species: 30, 30, 77, 50, 35, 36, 123, 56cm</t>
  </si>
  <si>
    <t>mean across individuals and species: 53, 18, 37.5, 38, 100, 180, 18, 50, 40, 144cm</t>
  </si>
  <si>
    <t xml:space="preserve">170 (Covillea), 75 (Koberliniea), 180 (Condalia), 136 (Ziziphus), 120 (Ephedra), </t>
  </si>
  <si>
    <t>rooting depth is  mean of 22 obs across specimen and species - individual observations are:  18, 15, 23, 22, 15, 15, 20, 13, 13, 10, 15, 9, 11, 15, 16, 10, 16, 12, 12, 19, 13, 17cm</t>
  </si>
  <si>
    <t>Amaranthus palmeri, Anoda thurberi, Aster tanacetifolius, Boerhaavia sp., Cladothrix lanuginosa, Datura sp., Ditaxis humilis, Dysoda papposa, Euphorbia glyptosperma, Kallstroemia grandiflora, Pectis prostrata, Solanum elaeagnifolium, Trianthema portulacastrum, Vicia sp., Amsinckia pectabilis, Astragalus nuttallianus, Bowlesia lobata, Brodiaea capitata, Daucus pusillus, Eritrichium pterocaryum, Erodium cicutarium, Festuca octoflora, Gilia bigelowii, Harpagonella palmeri, Hordeum murinum, Malva borealis, Malacothrix clevelandi, Medicago denticulata, Mentzelia albicaulis, Microseris linearifolia, Monolepis chenopodioides, Orthocarpus purpurascens, Parietaria debilis</t>
  </si>
  <si>
    <t>The penetration of the roots of the cactus type lie within 2 to 5 cm. of the surface</t>
  </si>
  <si>
    <t>adobe clay</t>
  </si>
  <si>
    <t>lava rock</t>
  </si>
  <si>
    <t>&lt;0.5</t>
  </si>
  <si>
    <t>from 0.3-0.5 down</t>
  </si>
  <si>
    <t>Bajada</t>
  </si>
  <si>
    <t>long side slopes</t>
  </si>
  <si>
    <t>Where there is considerable depth of soil and the water table is close to the surface, as in places near the Santa Cruz river, the conditions are most favorable for the deep penetration of roots. Under such conditions the water chain during the rainy season may be continuous from the water table to the surface and so favor deep penetration. It is here that Prosopis velutina and Populus sp. may be in position to obtain perennial water and attain a large growth. The roots of Prosopis have here been seen to reach 5 to 8 meters below the surface, which is apparently the greatest depth reached bv any plant in this vicinity.</t>
  </si>
  <si>
    <t>The most deeply placed roots of Prosopis known to the writer are those of plants growing by the Santa Cruz, which penetrate at least 5 meters, but I have been informed by a reliable observer that the roots of mesquite growing by a tributary of the Santa Cruz have been seen to reach to a depth of 8 meters. As one leaves the river and goes toward the sides of the floodplain, Prosopis becomes smaller until, at the edges of the plain, it is little more than a large bush.</t>
  </si>
  <si>
    <t>sand, adobe</t>
  </si>
  <si>
    <t>Cannon, 1913</t>
  </si>
  <si>
    <t>Northern Sahara, Algeria</t>
  </si>
  <si>
    <t>On the plain south of the Sararian Atlas</t>
  </si>
  <si>
    <t>near Ghardaia</t>
  </si>
  <si>
    <t>on the hills NW of Biskra</t>
  </si>
  <si>
    <t>Acanthyllis tragacanthoides</t>
  </si>
  <si>
    <t>Deverra scoparia</t>
  </si>
  <si>
    <t>Peganum harmala</t>
  </si>
  <si>
    <t>Haloxylon articulatum</t>
  </si>
  <si>
    <t>Henophyton deserti</t>
  </si>
  <si>
    <t>Haloxylon scoparium</t>
  </si>
  <si>
    <t>Plantago albicans</t>
  </si>
  <si>
    <t>Esfand, wild rue, Syrian rue, African rue, harmal</t>
  </si>
  <si>
    <t xml:space="preserve">downy plantain </t>
  </si>
  <si>
    <t xml:space="preserve">perennial </t>
  </si>
  <si>
    <t>The largest specimen studied possessed a tap-root 3 cm. in diameter at the crown. Growing rapidly smaller as it ran downward, the root gave off four laterals, of which a portion dipped at an acute angle to a depth of 20 to 30 cm., sending off branches by the way.  One of the largest of the laterals was traced 75 cm. and where left was 2 cm. beneath the surface.</t>
  </si>
  <si>
    <t>Deverra scoparia was found to have a main root running directly downward 20 cm. without giving off large laterals; at that depth it forked, the resultant branches running thereafter in a horizontal direction. (See fig. 33.)</t>
  </si>
  <si>
    <t>The first specimen of Peganum studied in this habitat was about 30 cm. high and in full leaf. Its roots were fibrous, that is, they  ere not fleshy. The root-system consisted of a main root, which ran directly downward 17 cm., and several laterals. Probably owing to the influence of the hard stratum, the main root at length turned abruptly and maintained a horizontal course for 1.5 meters. It was 1.35 cm. in diameter at the crown and 2 mm. in diameter where left, at a depth approximating 27 cm. The main root gave off a  ateral 5.5 cm. from the surface of the ground, which also branched; the ultimate branches followed a fairly level course for 45 cm. At the sharp bend of the main root another branch arose and this branched in turn, the daughter branches going somewhat downward for over 43 cm. Branches from the latter roots descended to within 8 cm. of the surface. (See fig. 35.)</t>
  </si>
  <si>
    <t>The shoot of the specimen of Haloxylon examined was about 50 cm. high; its gnarled base showed that it had been subject to intermittent attacks by animals. It was found to have a main root which ran -directly downward more than 30 cm.; at a depth of 10 to 15 cm. a few small laterals took their origin. (Fig. 36.) The other specimens studied showed the same type of rootsystem, so that Haloxylon has here a well-developed main root.</t>
  </si>
  <si>
    <t xml:space="preserve">The shoot of the plant was about 30 cm. high, and, in spite of the long dry season, was in full leaf. It possessed a long tap-root, of which 75 cm. was recovered. No laterals were given off along the portion of the root seen. Other specimens of the same species were also examined, and in every instance a similar type of root was found. </t>
  </si>
  <si>
    <t>A gnarled main root was foimd to take a zigzag course through 27 cm. of hardpan to the softer stratum beneath. The root did not follow a crack, but struck boldly downward through soil so hard that it was removed by the use of a sharp iron instrument and only with great difficulty.</t>
  </si>
  <si>
    <t>The root-system of Haloxylon scoparium, as has already been seen to be the case with an alHed species in the country of the M'Zab, may be said to be a modification of the generalized type. One specimen, partly exposed by erosion in a wash, had a tap-root over 1 13 cm. in length (fig. 76) . As this root was 4 mm. in diameter where left, and was 8 mm. in diameter at the crown, it may have penetrated much beyond the point where it was left, provided the soil conditions continued favorable.</t>
  </si>
  <si>
    <t>One of these was Peganum harmala, whose roots v/ere examined at Ghardaia. The root-systems of the plant in the  two regions were similar in being generalized. A main root was found extending downward over 61 cm. and it gave off three good-sized laterals, arising from 15 to 27 cm. beneath the surface. The uppermost lateral took a  orizontal course.</t>
  </si>
  <si>
    <t>Its root-system was also studied with the following results : The tap-root is strongly developed. In one instance the slender main root was found to go straight down over 71 cm. Numerous laterals v/ere borne between 8 and 20 cm. beneath the surface of the ground.</t>
  </si>
  <si>
    <t>floodplain, bottom land</t>
  </si>
  <si>
    <t>on the hamada near the valley</t>
  </si>
  <si>
    <t>east of Ghardaia, mid valley</t>
  </si>
  <si>
    <t>stony desert with little soil</t>
  </si>
  <si>
    <t>mid valley</t>
  </si>
  <si>
    <t>fine sand, then hard layer, then gravel and coarse sand</t>
  </si>
  <si>
    <t>hard stratum</t>
  </si>
  <si>
    <t>on the hill</t>
  </si>
  <si>
    <t>on the flat plain</t>
  </si>
  <si>
    <t>Cannon and Starrett, 1956</t>
  </si>
  <si>
    <t>Mesa land, N. New Mexico</t>
  </si>
  <si>
    <t>top of Mesa La Ventana, North Butte</t>
  </si>
  <si>
    <t>pinon pine, juniper</t>
  </si>
  <si>
    <t>Pinus edulis,  Juniperus monosperma</t>
  </si>
  <si>
    <t>~20</t>
  </si>
  <si>
    <t>top of flat mountain butte</t>
  </si>
  <si>
    <t>On the buttes of La Ventana Mesa the coal is capped by a well-fractured 65-foot sandstone bed through which roots of a pinyon and juniper forest penetrate... These trees are phreatophytes... The uraniumbearing coal at the base of the sandstone acts as a perched zone of saturation and contains the water supply on which the trees depend. Live juniper roots have been observed in mines at depths of several hundred feet. Whether the tree roots on La Ventana Mesa actually penetrate to the coal or whether there is sufficient upward migration of water and soluble salts in the capillary fringe to support root growth is not known. At least the roots have worked down through joints and fractures of the La Ventana sandstone member and sufficient uranium has been absorbed by the trees to be detectable in the trunk, limbs, and branch tips.</t>
  </si>
  <si>
    <t>fractured sandstone</t>
  </si>
  <si>
    <t>thin soil on a well-fractured 65-foot sandstone bed</t>
  </si>
  <si>
    <t>Ceballos et al., 2012</t>
  </si>
  <si>
    <t>Parana River Delta, Argentina</t>
  </si>
  <si>
    <t>natural, undrained wetlands</t>
  </si>
  <si>
    <t xml:space="preserve">drained, poplar plantation </t>
  </si>
  <si>
    <t>wetland</t>
  </si>
  <si>
    <t>Scirpus giganteus</t>
  </si>
  <si>
    <t>eastern cottonwood</t>
  </si>
  <si>
    <t>Populus deltoides</t>
  </si>
  <si>
    <t>tall grass</t>
  </si>
  <si>
    <t>club rush</t>
  </si>
  <si>
    <t>&lt;0.3</t>
  </si>
  <si>
    <t>1-2.5m</t>
  </si>
  <si>
    <t>Vertical root distributions were very contrasting between wetlands and tree plantations mirroring soil organic carbon distribution patterns. While marshes roots in the wetland were located over the mineral soil, within an organic layer of 29 ± 2 cm of thickness; tree roots in the drained plantations were located in the mineral soil, with 75 % of the their total biomass found between 10 and 50 cm.</t>
  </si>
  <si>
    <t>river delta</t>
  </si>
  <si>
    <t>drained high grounds</t>
  </si>
  <si>
    <t>0.3m organic over mineral Entisols</t>
  </si>
  <si>
    <t>Lat-lon given for the 3 forest stands but not wetland sites. Rooting data given for the mean of 3 sites, so the center of each landcover type is chosen based on Fig.1b on Google Earth</t>
  </si>
  <si>
    <t>Cheyney, 1929, 1932</t>
  </si>
  <si>
    <t>Northern Minnesota</t>
  </si>
  <si>
    <t>rose bush</t>
  </si>
  <si>
    <t>Rosa blanda</t>
  </si>
  <si>
    <t>Jack pine</t>
  </si>
  <si>
    <t>Pinus banksiana</t>
  </si>
  <si>
    <t>lousewort, grasses, strawberries, aster, twin flower, false lily-of-the-valley, ladies tobacco, dwarf dogwood, and bearberry</t>
  </si>
  <si>
    <t>June berry, choke cherry</t>
  </si>
  <si>
    <t>Amelanchier sanguinea, Prunus virginiana</t>
  </si>
  <si>
    <t>Pedicularis aquilina, Fragaria virginiana etc.</t>
  </si>
  <si>
    <t>grass, herbs</t>
  </si>
  <si>
    <t>perennial</t>
  </si>
  <si>
    <t>coarse sand</t>
  </si>
  <si>
    <t>hilltop, 5-7m above swamp</t>
  </si>
  <si>
    <t>By far the greater part of the roots are in the upper 6 inches of soil. The roots of lousewort, grasses, strawberries, aster, twin flower, false lily-of-the-valley, ladies tobaccod, warf dogwood,and bearberry are almost entirely within the first 6 inches. The roots of the others are very largely in the next foot of soil. The Juneberry, the choke cherry, and the rose bush are the only ones which go much beyond a depth of 18 inches. The root of the rose bush penetrated deeper than 3 feet... The tendency of plant roots to follow old root channels has been noted by many European investigators. It  was noted here in several instances, especially in the case of the vertical spruce and jack pine roots. In several cases the new root had grown through the old root, lengthwise, and still retained the bark of the old root like a loose outer casing or sheath. A new root is probably led to follow such a course wherever possible by the greater opportunity for an abundant food supply, a greater supply of water, and an easier passage through the soil.</t>
  </si>
  <si>
    <t>Site chosen near road, on ridge between road and a swamp, in a forest patch 150ft from the swamp, and 5-7m above the swamp surface, to represent the site condition.</t>
  </si>
  <si>
    <t>top of North Butte, near western part where tree samples taken. Perched water table exist below the sandstone unit above coal, so water table is assumed to be at the contact (65ft).</t>
  </si>
  <si>
    <t>on the plain south of Laghouat, near the road</t>
  </si>
  <si>
    <t>east of the city, along the road</t>
  </si>
  <si>
    <t>Dawson, 1993</t>
  </si>
  <si>
    <t>Ithaca, NY</t>
  </si>
  <si>
    <t>temporate hardwood forest</t>
  </si>
  <si>
    <t>sugar maple</t>
  </si>
  <si>
    <t>Acer saccharum</t>
  </si>
  <si>
    <t>near creek</t>
  </si>
  <si>
    <t xml:space="preserve">glacial till, silty loam, </t>
  </si>
  <si>
    <t>fragipan</t>
  </si>
  <si>
    <t>Examination of root distributions obtained from soil cores and pits revealed that some larger diameter roots (1.9-3.7 mm) did penetrate the fragipan and were established in the ground water table... The latter can be as close as 1.25 m beneath the surface but are generally 3.5-8 m deep.</t>
  </si>
  <si>
    <t>1.25-8</t>
  </si>
  <si>
    <t>0.25-1.3</t>
  </si>
  <si>
    <t>rooting depth inferred from author notes (below hardpan of 1.3m, reaching water table of 1.25-8m)</t>
  </si>
  <si>
    <t>in a natural open Banksia woodland on deep Bassendean sand near Yanchep, 50 km north of Perth (31 ~ 33' S, 115 ~ 41')</t>
  </si>
  <si>
    <t>deep Bassendean sand</t>
  </si>
  <si>
    <t>SW Australia, near Perth</t>
  </si>
  <si>
    <t>Banksia</t>
  </si>
  <si>
    <t>Banksia prionotes</t>
  </si>
  <si>
    <t>Eucalyptus</t>
  </si>
  <si>
    <t>Eucalyptus globulus, E. camaldulensis</t>
  </si>
  <si>
    <t>site-1</t>
  </si>
  <si>
    <t>site-2</t>
  </si>
  <si>
    <t>1.8-2.6</t>
  </si>
  <si>
    <t>deep sand on gravel</t>
  </si>
  <si>
    <t>given lat-lon off - not pointing to 310km south of Perth (177km east-north of Perth instead). 310km used.</t>
  </si>
  <si>
    <t>The shallow lateral roots and deeply penetrating tap (sinker) roots obtained water of different origins over the course of a winter-wet/summer-dry annual cycle. During the wet season lateral roots acquired water mostly by uptake of recent precipitation (rain water) contained within the upper soil layers, and tap roots derived water from the underlying water table. The shoot obtained a mixture of these two water sources. As the dry season approached dependence on recent rain water decreased while that on ground water increased. In high summer, shallow lateral roots remained well-hydrated and shoots well supplied with ground water taken up by the tap root. This enabled plants to continue transpiration and carbon assimilation and thus complete their seasonal extension growth during the long (4-6 month) dry season. Parallel studies of other native species and two plantation-grown species of Eucalyptus all demonstrated behavior similar to that of B. prionotes.</t>
  </si>
  <si>
    <t>Do et al., 2008</t>
  </si>
  <si>
    <t>Sahel, northern Senegal</t>
  </si>
  <si>
    <t>semi-evergreen or drought deciduous</t>
  </si>
  <si>
    <t>Umbrella thorn acacia</t>
  </si>
  <si>
    <t>Acacia tortilis</t>
  </si>
  <si>
    <t>deep and sandy</t>
  </si>
  <si>
    <t>&gt;2000</t>
  </si>
  <si>
    <t>4-6</t>
  </si>
  <si>
    <t xml:space="preserve">39 mature individuals located in a 1-ha area protected since 1989… Acacia tortilis transpired readily throughout the year, except for 1 month during the dry season when defoliation was at max. Rapid depletion of water in the uppermost soil after wet season implies extensive use of water from deep soil. The deep soil profile revealed (1) existence of living roots at 25 m and (2) availability of soil water was low (–1.6 MPa) down to the water table at a depth of 31 m. </t>
  </si>
  <si>
    <t>northern Senegal, near village Souilene (16°20′ N, 15°25′W, 5–10 m a.s.l.) located 20 km south of Dagana in the grazing land ecosystem of the sandy Ferlo... land elevation given may be wrong - Google shows at least 26m in the area</t>
  </si>
  <si>
    <t>Dumortier, 1991</t>
  </si>
  <si>
    <t>Belgium</t>
  </si>
  <si>
    <t>Carex acuta, Glyceria maxima, Ranunculus repens, Phalaris arundinacea, Poa trivialis, Cardamine pratensis, Lynchnis flos-cuculi, Carex disticha</t>
  </si>
  <si>
    <t>Holus lanatus, Anthroxantum odoratum</t>
  </si>
  <si>
    <t>Yorkshire fog, sweet vernal grass</t>
  </si>
  <si>
    <t>Acute Sedge, …, creeping buttercup, reed canarygrass,…</t>
  </si>
  <si>
    <t>0 - 0.6</t>
  </si>
  <si>
    <t>0 - 0.9</t>
  </si>
  <si>
    <t>no profile, humus (0.1m) over rich clay</t>
  </si>
  <si>
    <t>alluvial plain</t>
  </si>
  <si>
    <t>The investigation was carried out in two hayfields in the nature reserve 'Bourgoyen-Ossemeersen' in the alluvial plains of the river Leie.</t>
  </si>
  <si>
    <t>Estrada-Medina et al., 2013</t>
  </si>
  <si>
    <t>Merida city, Yucatán, México</t>
  </si>
  <si>
    <t>limestone quarry</t>
  </si>
  <si>
    <t>drought-deciduous</t>
  </si>
  <si>
    <t>…, Gumbo-limbo</t>
  </si>
  <si>
    <t>Neomilspaugia emarginata, 
Bursera simaruba</t>
  </si>
  <si>
    <t>laja layer</t>
  </si>
  <si>
    <t>0.3-2.5</t>
  </si>
  <si>
    <t xml:space="preserve"> rocky, shallow (0.3m), red, loam, over laja, sascab, coquina</t>
  </si>
  <si>
    <t xml:space="preserve"> The laja layer is very hard but dissolution karst features and fractures allow roots to grow downward… Dissolution karts features allow roots to grow deep into the bedrock, tapping water stored there. Although the limestone upper layer in northern Yucatan is highly restrictive to root growth, subsurface limestone layers and soil pockets are not restrictive and can hold important amounts of water.</t>
  </si>
  <si>
    <t>roots penetrates into karst limestone to tap GW</t>
  </si>
  <si>
    <t>exposed quarry walls</t>
  </si>
  <si>
    <t>Fan et al., 2012</t>
  </si>
  <si>
    <t>Xinjiang Uygur, NW China</t>
  </si>
  <si>
    <t>xeric shrubland</t>
  </si>
  <si>
    <t>Karelinia caspica</t>
  </si>
  <si>
    <t>Atriplex tatarica</t>
  </si>
  <si>
    <t>C3 grass</t>
  </si>
  <si>
    <t>C4 grass</t>
  </si>
  <si>
    <t>chloride-sulfate saline soi</t>
  </si>
  <si>
    <t>north slope Tianshan mountains (north of Tarim)</t>
  </si>
  <si>
    <t>As a shallow-rooted C4 species, A. tatarica displayed lower stomatal conductance, which could to some extent reduce transpiration water loss and maintain leaf water potential steadily.</t>
  </si>
  <si>
    <t>root mass distribution peaks at 1.0m depth</t>
  </si>
  <si>
    <t>root massdistribution peaks at 0.15m depth</t>
  </si>
  <si>
    <t>In contrast, the deep-rooted C3 species K. caspica had a larger root/shoot ratio that was in favor of exploiting groundwater.</t>
  </si>
  <si>
    <t>Fisher et al., 2007</t>
  </si>
  <si>
    <t>Caxiuana National Forest, Para, Brazil</t>
  </si>
  <si>
    <t>nautral site</t>
  </si>
  <si>
    <t>&gt; 10</t>
  </si>
  <si>
    <t>10 (in wet season)</t>
  </si>
  <si>
    <t>stony/laterite layer (0.3-0.4m thick)</t>
  </si>
  <si>
    <t>3.0 - 4.0</t>
  </si>
  <si>
    <t>yellow Oxisol, 75–83% sand, 12–19% clay</t>
  </si>
  <si>
    <t>The site elevation is 15m above river level in the dry season, and the water table has occasionally been observed at a soil depth of 10m during the wet season… Measurements over 2 years in an eastern Amazonian rain forest indicate that transpiration is higher in the dry season than the wet season under normal circumstances, and there is little evidence for limitation of water use during the dry season.</t>
  </si>
  <si>
    <t>Cutfoot Experimental Forest</t>
  </si>
  <si>
    <t>...root washing studies on the Cutfoot Experimental Forest near Deer River, Minnesota suggests that crown density could be used safely as an index of root development. Jack pines with good crown density almost invariably had deep, sturdy root systems, while those of poor crown density had shallow, weak root systems.</t>
  </si>
  <si>
    <t>The author did not conduct the study but report "Conducted by H. J. MacAloney of the Bureau of Entomology and Plant Quarantine and P. J. Zehngraff".</t>
  </si>
  <si>
    <t>Gibbens and Lenz, 2001; Gile, Gibbens and Lenz, 1998</t>
  </si>
  <si>
    <t>Chihuahuan Desert, New Mexico</t>
  </si>
  <si>
    <t>Site-1, or Site-C in Gile et al. 1998</t>
  </si>
  <si>
    <t>Site-2, or Site-A in Gile et al., 1998</t>
  </si>
  <si>
    <t>Site-3, or Site-B in Gile et al., 1998</t>
  </si>
  <si>
    <t>Site-4</t>
  </si>
  <si>
    <t>Site-5</t>
  </si>
  <si>
    <t>Site-6</t>
  </si>
  <si>
    <t>Site-8</t>
  </si>
  <si>
    <t>Site-9</t>
  </si>
  <si>
    <t>Site-17</t>
  </si>
  <si>
    <t>Site-12</t>
  </si>
  <si>
    <t>Site-14</t>
  </si>
  <si>
    <t>Site-13</t>
  </si>
  <si>
    <t>Site-15</t>
  </si>
  <si>
    <t>Site-16</t>
  </si>
  <si>
    <t>Site-11</t>
  </si>
  <si>
    <t>Site-7</t>
  </si>
  <si>
    <t>Site-10</t>
  </si>
  <si>
    <t>Site-18</t>
  </si>
  <si>
    <t xml:space="preserve">creosotebush </t>
  </si>
  <si>
    <t>Larrea tridentata</t>
  </si>
  <si>
    <t>tarbush</t>
  </si>
  <si>
    <t>Flourensia cernua</t>
  </si>
  <si>
    <t xml:space="preserve">black grama </t>
  </si>
  <si>
    <t>Bouteloua eriopoda</t>
  </si>
  <si>
    <t>fluffgrass</t>
  </si>
  <si>
    <t>Dasyochloa pulchella</t>
  </si>
  <si>
    <t>bush muthly</t>
  </si>
  <si>
    <t>Muhlenbergia porteri</t>
  </si>
  <si>
    <t xml:space="preserve"> red threeawn</t>
  </si>
  <si>
    <t xml:space="preserve"> Aristida purpurea</t>
  </si>
  <si>
    <t>flameflower</t>
  </si>
  <si>
    <t>Talinurn angustissimun</t>
  </si>
  <si>
    <t>tobosa</t>
  </si>
  <si>
    <t>Pleuraphis mutica</t>
  </si>
  <si>
    <t>burrograss</t>
  </si>
  <si>
    <t>Scleropogon brevifolius</t>
  </si>
  <si>
    <t>crucifixion thorn</t>
  </si>
  <si>
    <t>Koberlinia spinosa</t>
  </si>
  <si>
    <t>wrinkled globemallow</t>
  </si>
  <si>
    <t>Sphaeralcea hastulata</t>
  </si>
  <si>
    <t>ear muhly</t>
  </si>
  <si>
    <t>Muhlenbergia arenacea</t>
  </si>
  <si>
    <t>four-wing saltbush</t>
  </si>
  <si>
    <t>Atriplex canescens</t>
  </si>
  <si>
    <t>honey mesquite</t>
  </si>
  <si>
    <t>Prosopis glandulosa</t>
  </si>
  <si>
    <t>broom
snakeweed</t>
  </si>
  <si>
    <t>Gutirrezia sarothrae</t>
  </si>
  <si>
    <t>soap tree yaca</t>
  </si>
  <si>
    <t>Yucca elata</t>
  </si>
  <si>
    <t>rattlesnake weed</t>
  </si>
  <si>
    <t>Euphorbia albomatginata</t>
  </si>
  <si>
    <t>wooly-white</t>
  </si>
  <si>
    <t>Hymenopappus flavescens</t>
  </si>
  <si>
    <t>purple curlleaf</t>
  </si>
  <si>
    <t>Nama hispidum</t>
  </si>
  <si>
    <t>flax</t>
  </si>
  <si>
    <t>Linum australe</t>
  </si>
  <si>
    <t>three fans</t>
  </si>
  <si>
    <t>Krameria lanceoLata</t>
  </si>
  <si>
    <t>Cooley's bundleflower</t>
  </si>
  <si>
    <t>Desmanthus cooleyi</t>
  </si>
  <si>
    <t>caesalpinia</t>
  </si>
  <si>
    <t>Caesalpinia jamesii</t>
  </si>
  <si>
    <t>dwarf dalea</t>
  </si>
  <si>
    <t>Dalea nana</t>
  </si>
  <si>
    <t>faintcrown</t>
  </si>
  <si>
    <t>Aphanostephus ramosissimus</t>
  </si>
  <si>
    <t>spectacle-pod</t>
  </si>
  <si>
    <t>Dimorphocarpa wislizenii</t>
  </si>
  <si>
    <t>twin-leaf senna</t>
  </si>
  <si>
    <t>Cassia bauhinioides</t>
  </si>
  <si>
    <t>silverleaf nightshade</t>
  </si>
  <si>
    <t>Solanum elaeagnifolium</t>
  </si>
  <si>
    <t>leatherweed</t>
  </si>
  <si>
    <t>Croton pousii</t>
  </si>
  <si>
    <t>wooly sumpweed</t>
  </si>
  <si>
    <t>Iva dealbata</t>
  </si>
  <si>
    <t>longleaf ephedra</t>
  </si>
  <si>
    <t>Ephedra trifurca</t>
  </si>
  <si>
    <t>purple threeawn</t>
  </si>
  <si>
    <t>Aristida purpurea</t>
  </si>
  <si>
    <t>Sphaeralcea hastulaw</t>
  </si>
  <si>
    <t>desert zinnia</t>
  </si>
  <si>
    <t>Zinnia grandiflora</t>
  </si>
  <si>
    <t>Croton pottsii</t>
  </si>
  <si>
    <t>black grama</t>
  </si>
  <si>
    <t>spike dropseed</t>
  </si>
  <si>
    <t>Sporobolus contractus</t>
  </si>
  <si>
    <t>Lehmann lovegrass</t>
  </si>
  <si>
    <t>Eragrostis lehmanniana</t>
  </si>
  <si>
    <t>leatherwee</t>
  </si>
  <si>
    <t>paperflower</t>
  </si>
  <si>
    <t>Psilostrophe tagetina</t>
  </si>
  <si>
    <t>Torrey's ephedra</t>
  </si>
  <si>
    <t>Ephedra torreyana</t>
  </si>
  <si>
    <t>gypgrass</t>
  </si>
  <si>
    <t>Sporobolus nealleyi</t>
  </si>
  <si>
    <t>White Sands mustard</t>
  </si>
  <si>
    <t>Nerisyrenia linearifolia</t>
  </si>
  <si>
    <t>scarlet gaura</t>
  </si>
  <si>
    <t>Gaura coccinea</t>
  </si>
  <si>
    <t>silver-leaf nightshade, wrinkled globemallow, desert zinnia</t>
  </si>
  <si>
    <t>Solanum elaeagnifolium, Sphaeralcea hastulata, Z. acerosa</t>
  </si>
  <si>
    <t xml:space="preserve"> Zenia acerosa, Gutierrezia sarothrae</t>
  </si>
  <si>
    <t xml:space="preserve"> desert zinnia, broom snakeweed</t>
  </si>
  <si>
    <t xml:space="preserve">tarbush, Berlandier's wolfberry shrub, winterfat, longleaf ephedra shrub </t>
  </si>
  <si>
    <t>Flourensia cernua, Bouteloua eriopoda, Cerawides lanata, Ephedra trifurca</t>
  </si>
  <si>
    <t>desert holly, sicklepod</t>
  </si>
  <si>
    <t>Perezia nana, Hoffmanseggia drepanocarpa</t>
  </si>
  <si>
    <t>mesa dropseed, black grama, red threeawn</t>
  </si>
  <si>
    <t>semi-deciduous</t>
  </si>
  <si>
    <t>Koeberlinia spinosa</t>
  </si>
  <si>
    <t>evergreen photo stem</t>
  </si>
  <si>
    <t xml:space="preserve">perennial rhizomatous </t>
  </si>
  <si>
    <t xml:space="preserve">perennial sod-forming </t>
  </si>
  <si>
    <t xml:space="preserve">perennial bunch, sod-forming, bunch </t>
  </si>
  <si>
    <t>perennial, bunch</t>
  </si>
  <si>
    <t>petrocalcic horizon</t>
  </si>
  <si>
    <t>petrocalcic horizon (0.4m)</t>
  </si>
  <si>
    <t>loamy, with gravel-stone</t>
  </si>
  <si>
    <t>upper bajada, 4% slope</t>
  </si>
  <si>
    <t>Bush muhly roots extended laterally 40 em and to 65 em depth (Fig. 7)</t>
  </si>
  <si>
    <t>Red threeawn roots extended laterally 94 em and to the top of the calcic horizon (Fig. 7)</t>
  </si>
  <si>
    <t>Three flameflower tubers, one of which is shown in Fig. 8, were excavated and the upper end of the tubers occurred at 4- 8 cm depth.</t>
  </si>
  <si>
    <t>Although not illustrated, roots of burrograss were traced to a depth of 1 m at this site and live tarbush roots were found at 3 m depth.</t>
  </si>
  <si>
    <t>Tobosa roots had well developed first-order branches and spread laterally about 60 em, penetrating into the calcic horizon to just over 1 m depth (Fig. 9).</t>
  </si>
  <si>
    <t>Roots of burrograss had a lateral spread of about 20 em and penetrated into the calcic horizon to 1·1 m depth (Fig. 9).</t>
  </si>
  <si>
    <t>At Site 8 roots of a large crucifixion thorn plant 1·5 m tall and 2·5 min diameter were excavated (Fig. 10) . The prominent, very straight taproot was about 10 em in diameter at the top but tapered rapidly and was only 3·1 cm in diameter at 1·73 m depth... . One root was traced into a layer of fine, fluvial sand at 5·2-m depth where its diameter was 1·85 cm... Another remarkable feature of the root system was the large number of major roots which grew vertically upwards... These upward growing roots had a striking absence of branches until they reached about 1 m depth.</t>
  </si>
  <si>
    <t xml:space="preserve">Roots of a tarbush plant 78 em tall and 65 em in diameter were excavated at site 8 </t>
  </si>
  <si>
    <t>Roots of a four-wing saltbush plant 1·5 m tall and 1 m in diameter with a 5 em tall, 50 em diameter soil pedestal under the plant were excavated at Site 9… Roots were traced to 3·3 m depth where they terminated in numerous branches on top of the very hard soil layer. One root about 3 mm in diameter was traced laterally for 3·5 m (Fig. 12).</t>
  </si>
  <si>
    <t>Roots of burrograss at Site 9 penetrated to 96 em depth but were abundant only to 60 em depth (Fig. 12).</t>
  </si>
  <si>
    <t>The well-developed tap roots of the three old mesquite plants penetrated to the level of the petrocalcic horizon (1·5 m from top of dune) but, in every case, the lower portions of the tap roots were dead and decayed… The roots extended from 4· 5 to 16 m from point of origin. Measured along its path, the longest excavated root was 22 m in length... In the access trench at the edge of the dune, roots of both mesquite and four-wing saltbush penetrated cracks in the petrocalcic horizon. These roots were traced through the petrocalcic horizon to a depth of 3 m.</t>
  </si>
  <si>
    <t>The broom snakeweed plant portrayed in Fig. 14 was 36 cm tall and 60 cm in diameter… The petrocalcic horizon deflected the major roots laterally but all tl1at were traced eventually penetrated the petrocalcic layer and extended to 2.4 m depth.</t>
  </si>
  <si>
    <t xml:space="preserve">The access trench at Site 12 provided an opportunity to excavate roots of a soap tree yucca ( Y. elata) plant… The roots extended laterally, usually at 60-90 em depths, above the petrocalcic horizon (Fig. 16). Maximum lateral extension of a traced root was 6·2 m and diameter at the end was 1·2 mm... </t>
  </si>
  <si>
    <t>At Site 12 the root systems of black grama, mesa dropseed [Spombolus flexusosus (Thurb.) Rydb.], and red threeawn (A. pwpurea) were excavated (Fig.20)...Roots of all three species penetrated to slightly over 1 m depth but none penetrated very far into the indurated petrocalcic horizon. Careful examination of soil below tl1e indurated layer failed to reveal any grass roots.</t>
  </si>
  <si>
    <t>One of the common perennial forbs at Site 12 was rattlesnake weed (EuphoTbia albomarginata). A few roots of this prostrate, rhizomatous plant are shown in Fig. 21. Rhizomes with diameters ranging from 0·7 to 2·5 mm occurred at 5-15 em depths...Roots were traced to a depth of 83 em which vvas the top of the indurated caliche.</t>
  </si>
  <si>
    <t>The f1ax plant was 23 em tall and had a very sparse root system. The root was 2·3 mm in diameter at d1e top and 0·1 mm in diameter when it terminated at 64 em depth.</t>
  </si>
  <si>
    <t>The 21 em tall faintcrown plant had a prominent tap root 0·7 mm in diameter at the top. There was a mass of first-order branches 10-12cm long on the upper part of the tap root starting a 1cm depth but below 20cm depth branches were less numerous. The root was traced into the petrocalcic horizon to a depth of 1·3 m.</t>
  </si>
  <si>
    <t>The 24cm tall spectacle-pod plant had a number of relatively short horizontal branches in the top 20cm of soil and the 3 mm diameter, branched tap root was traced to the top of the petrocalcic horizon at a depth of 75cm.</t>
  </si>
  <si>
    <t>Roots were traced outward 7·1 m from the root crowns and one second-order branch was traced downward through the calcic horizon into fine alluvial sands at 5 m depth. From 3·7 to 4·5 m depth there were hard calcium coated plates imbedded in dense sand and fine roots proliferated on the surface of the plates.</t>
  </si>
  <si>
    <t>The tap root, with an upper diameter of 3·3 mm, was traced to 1·5 mm depth (Fig. 29).</t>
  </si>
  <si>
    <t>Root systems of the above species are illustrated in Fig. 30. Roots of Lehmann lovegrass and spike dropseed were traced to depths of 1·2 and 1·3 m, respectively. Black grama roots were traced to 1·6 m depth. Roots of all three species had large radial extensions in the top 40 em of soil.</t>
  </si>
  <si>
    <t>Leatherweed was common at Site 10 and roots of one plant are shown in Fig. 31. At 19 em depth the tap root divided into two major branches, both of which were traced into the calcic horizon and one to a depth of 1·78 m.</t>
  </si>
  <si>
    <t>A drawing of this root system appears in Gile et at. (1998).</t>
  </si>
  <si>
    <t>root depth from Fig.8</t>
  </si>
  <si>
    <t>Fig. 20</t>
  </si>
  <si>
    <t>Fig.21</t>
  </si>
  <si>
    <t>Fig.24</t>
  </si>
  <si>
    <t>Fig. 19</t>
  </si>
  <si>
    <t>Fig.22</t>
  </si>
  <si>
    <t>Fig.24. Author notes "The depths attained by faintcrown and purple rolleaf roots indicate that annuals have the ability to exploit soil water in fissures of the petrocalcic horizon as well as at shallower depths.</t>
  </si>
  <si>
    <t>Fig. 23</t>
  </si>
  <si>
    <t>Fig.23</t>
  </si>
  <si>
    <t>Fig.26</t>
  </si>
  <si>
    <t>Fig.25</t>
  </si>
  <si>
    <t>on the road, north of site-10</t>
  </si>
  <si>
    <t>Fig.28</t>
  </si>
  <si>
    <t>half way from junction to head quarter</t>
  </si>
  <si>
    <t>root sketch shown in Fig.2; root not followed below 5m but appears strong and assumed to be 5.5m, site near a T in the road - easy to locate</t>
  </si>
  <si>
    <t>toe of bajada, 1% slope</t>
  </si>
  <si>
    <t>fine loamy</t>
  </si>
  <si>
    <t>2 calcic horizons</t>
  </si>
  <si>
    <t>0.8 and 2.3</t>
  </si>
  <si>
    <t>on bajada, 2% slope</t>
  </si>
  <si>
    <t>argillic horizon</t>
  </si>
  <si>
    <t>0.5% slope</t>
  </si>
  <si>
    <t>root depth read from Fig.13 in Gile et al., 19988 (Site-C)</t>
  </si>
  <si>
    <t>root depth read from Fig.14 in Gile et al., 19988 (Site-C)</t>
  </si>
  <si>
    <t>root depth from Fig.5, Fig.6 and Fig.7, site on road - easy to locate</t>
  </si>
  <si>
    <t>site just off road</t>
  </si>
  <si>
    <t>0.7-2.5</t>
  </si>
  <si>
    <t>toe of bajada, 0.5% slope</t>
  </si>
  <si>
    <t>0.8-1.2</t>
  </si>
  <si>
    <t>fan-toe slope, 0.5%</t>
  </si>
  <si>
    <t>fine silt</t>
  </si>
  <si>
    <t>Mesa surface, 2% slope</t>
  </si>
  <si>
    <t>mosaic of sandy or coarse-loamy</t>
  </si>
  <si>
    <t>coarse-loamy</t>
  </si>
  <si>
    <t>0.78-2</t>
  </si>
  <si>
    <t>1.9-2.1</t>
  </si>
  <si>
    <t>0.25% slope</t>
  </si>
  <si>
    <t>fine silty, a paleosol at 3.2m depth</t>
  </si>
  <si>
    <t>lake basin, nearly level</t>
  </si>
  <si>
    <t>calcic horizon</t>
  </si>
  <si>
    <t>0.6-2</t>
  </si>
  <si>
    <t>ridge top, 1% slope</t>
  </si>
  <si>
    <t>gypsum soil</t>
  </si>
  <si>
    <t>Groeneveld &amp; Crowley, 1988</t>
  </si>
  <si>
    <t>Owen Valley, CA</t>
  </si>
  <si>
    <t>Radial spread of both roots &gt; 2 m…some angled upward to &lt;7 cm of surface. Several traced into petrocalcic horizon for 5-10 cm but it was extremely time-consuming to follow roots in this medium so none were traced through the ~40 cm thick material... large number of roots 0·2-1-4 mm in diameter were found at 1·5m depth...</t>
  </si>
  <si>
    <t>most tarbush roots were above petrocalcic horizon but were traced into the petrocalcic layer at several points. Some angled upward to &lt;8cm of surface… Roots 0·2 to 2·4 mm diameter found below the petrocalcic horizon.</t>
  </si>
  <si>
    <t xml:space="preserve">A few roots of a tarbush 0·9 m tall and 1·2 min diameter were excavated at Site-2… Roots traced to a depth of 3·4 m and horizontally 4·3 m from the plant base </t>
  </si>
  <si>
    <t>Root systems of tobosa and three perennial forbs were excavated at Site 2.</t>
  </si>
  <si>
    <t>fine sandy loamy</t>
  </si>
  <si>
    <t xml:space="preserve">Most roots occurred in upper 1m. Roots of separate plants were highly intermingled, no inter- or intraspecific root avoidance... traced horizontally out to 3·6 m. A few grew vertically or obliquely upward, some to &lt;5 cm of surface...one root traced to a depth of 2m. </t>
  </si>
  <si>
    <t>Roots of a plant 1·2 m tall and 0·9 m in diameter excavated… Tarbush roots were not traced below 1 m depth, although some were visible on the trench face between 1-2 m depth.</t>
  </si>
  <si>
    <t>Roots of perennial forb desert zinnia and shrub-like broom snakeweed... had short tap root with a top diameter of about 20 mm...widespreading lateral roots at 10-20 em depth... Roots traced to 1·1 m depth.</t>
  </si>
  <si>
    <t>Tarbush roots spread laterally ~2·2 m and some grew at upward angles to &lt;2 cm of surface .. . Several major root branches which were 6-7 mm in diameter at 50 em depth were traced into and through the calcic horizon. At about 2·4 m depth there was a layer of fine fluvial sand which 'belled out' and prevented following roots further.</t>
  </si>
  <si>
    <t>Radial extension was about 40 em and a few roots reached the top of the calcic horizon at 45 cm depth.</t>
  </si>
  <si>
    <t>Roots  had a lateral spread of 29 cm and reached 30 cm depth.</t>
  </si>
  <si>
    <t>Site 5 is dominated by tarbush and the stoloniferous, sod-forming burrograss… Most of desert holly roots did not extend through calcic horizon but at point A a desert holly root 0·45mm in diameter entered a dead, partially decayed tarbush root and was still inside the old root at 2·8 m depth</t>
  </si>
  <si>
    <t>Roots of ear muhly at Site 8 originated in clusters from nodes on a stolon at 7 cm depth. Most roots ended between 0·8 and 1·1 m depths. The deepest penetrating root followed a dead tarbush root to a depth of 1·25 m.</t>
  </si>
  <si>
    <t>Root systems of two wrinkled globemallow plants about 15 em tall… Nine major branches arose in the first 10 cm; deepest penetration was 1·6 m.</t>
  </si>
  <si>
    <t>roots of 2 small crucifixion thorn… Tap roots of both well-developed. tap root of smaller plant was 1·6 em in diameter tapering to 0-46 cm at a 1 m depth. Two of the three primary tap root followed to 3·3 m depth where horizontal branches extended along the top of an extremely compact soil layer</t>
  </si>
  <si>
    <t>Roots traced to 19 cm depth but most spread horizontally up to 53 em between 4 and 10 em depths.</t>
  </si>
  <si>
    <t>At 77 cm depth the tap root divided into several branches about 1 mm in diameter, one traced to 1·6 m depth.</t>
  </si>
  <si>
    <t>a 35 cm tall broom snakeweed. ..  a number of 2 to 3 mm diameter first-order branches originating in the upper 20 cm of soil… one traced to 2·4 m depth and second-order branches were abundant below 1·5 m depth.</t>
  </si>
  <si>
    <t>The rather massive root crown had a diameter of 11·4 mm and the tap root was still 11 mm in diameter at 14 em depth...Most of the profusely branched root system was above the calcic horizon but roots did penetrate into the calcic horizon to 1·76 m depth.</t>
  </si>
  <si>
    <t xml:space="preserve"> Overall, the gypsum was dense but some areas were so dense that roots did not penetrate. No roots were traced below 70 cm...</t>
  </si>
  <si>
    <t>Major roots had beginning diameters of about 1· 3 mm but terminal portions were only 0·3 mm in diameter. Roots were traced horizontally 28 cm and to 62 cm depth.</t>
  </si>
  <si>
    <t>The White Sands mustard plant was 13 cm tall. The tap root had a diameter of 1·65 mm and the major branches diameters of about 1· 2 mm 30 em from their origin. Roots extended outward 42 em from the base of the plant and were traced to 4 7 em depth.</t>
  </si>
  <si>
    <t xml:space="preserve">Roots traced to 1·3 m depth… One tap root was traced to 1·7 m depth where it terminated with a diameter of 0·3 mm. </t>
  </si>
  <si>
    <t>Roots  arose from a 2·6 mm diameter rhizome at 6 cm depth… Another tap root was traced to 3·3 m depth. From 2·5-3·3 m depth this root followed an old root channel. ..</t>
  </si>
  <si>
    <t>A few first-order branches originated above 1 m depth but there was a notable lack of branches at greater depths. The two roots traced downward had diameters of 1·0 and 1·4 mm at 2·6 m depth. Roots were traced to 3m depth but some probably extended further.</t>
  </si>
  <si>
    <t>mesquite is invading a tobosa and burrograss dominated ephemeral lake basin.  ..Roots of a small mesquite 60 cm tall and 90 in diameter growing in a dense tobosa sod...The very prominent tap root of the mesquite plant (a drawing of this root system is in Gile et al., 1997) had a beginning diameter of 29 mm and was traced to a depth of 5·5 m.</t>
  </si>
  <si>
    <t xml:space="preserve">A few roots from a mesquite plant 68 em tall and 1.5 min diameter were excavated and mapped. The root crown was 42 mm in diameter and the taproot was 15 mm in diameter at 1· 2 m depth where it divided into tvvo branches 10 and 9 mm in diameter...tap root branches were traced to 2·3 m depth but they undoubtedly penetrated much deeper. </t>
  </si>
  <si>
    <t>in Fig. 26 even first-order branches sometimes grew upward for an appreciable distance. Leatherweed roots were traced into the very fractured petrocalcic horizon to 1·4 m depth.</t>
  </si>
  <si>
    <t>tap root traced into a fissure in the petrocalcic horizon to a depth of 85 cm. Roots of one of the other dwarf dalea plants were traced to a depth of 1·7 m.</t>
  </si>
  <si>
    <t>The deeper rooted plant shown in Fig. 23 ended at 2·14 m depth with a terminal diameter of 0· 2 mm. The root of the other plant was lost at a depth of 2.3 m with a diameter of 0. 8 mm and could have reached greater depths.</t>
  </si>
  <si>
    <t xml:space="preserve"> From 60 to 90cm depth the numerous first- and second order branches grew in all directions among the caliche nodules and were traced through fractures in the petrocalcic horizon to 1·3 m depth.</t>
  </si>
  <si>
    <t xml:space="preserve"> The tap root, which branched at 1· 5 m, was traced through a fracture in the petrocalcic horizon tO a depth of 1·95 m.</t>
  </si>
  <si>
    <t>Two of these branches penetrated through the petrocalcic horizon to depths of 1·9 and 2·1 m where root diameters were about 0·3 mm.</t>
  </si>
  <si>
    <t>Roots of both plants extended through calcic horizon… root of one traced to a depth of 5 m but a 1-mm diameter at this depth indicated it probably did not extend much further.</t>
  </si>
  <si>
    <t>Several major branches traced through the calcic horizon, which extended from about 0·8 to 1·2 m, and one was followed to 5 m depth where the diameter was 1·4 mm… This excavation was at the edge of a slight depression which accumulated runon water and the additional water may account for the deeply penetrating roots.</t>
  </si>
  <si>
    <t>Calcic pebbles and blocks were found at 78 cm depth but the extremely dense and hard petrocalcic layer, capped with a laminar layer, occurred at about 1 m depth. The tap root entered a crack in the petrocalcic layer and became distorted and flattened to 3· 2 x 2-4 mm at 1·03 m depth. The tap root regained a cylindrical shape and a diameter of 8·1 mm at 1·07 m depth... The petrocalcic horizon, which extended to about 2m depth, became less dense and hard below 1·3 m depth where the taproot branched. At 2·7 m depth there were branches with diameters ranging from 0·3 to 0·8 mm and these were traced to a depth of 2·9 m in a compacted sandy layer with carbonate coated nodules. This access trench was later deepened for soil geomorphology studies and mesquite roots about 1·0 mm in diameter, apparently originating from large mesquite plants in the vicinity, were found at 5·2 m depth.</t>
  </si>
  <si>
    <t>Both first-order branches and the two branches of the tap root were traced to about 86 em depth where the indurated caliche was encountered. No roots penetrated through the petrocalcic horizon.</t>
  </si>
  <si>
    <t xml:space="preserve"> Another second-order branch with a beginning diameter of 2·3 mm was traced to a depth of 3·5 m where its diameter was 1·3 mm.</t>
  </si>
  <si>
    <t>Although the top of the tap root was 4 mm in diameter it was only 0·6 mm in diameter at 50 em depth. The larger roots had a dark-colored, rough, bark-like outer  ayer which sloughed off easily. A 20 em long first-order branch arose at 13 em depth but most of the upper first-order branches were &lt; 10 em long. The tap root was traced to the top of the  etrocalcic horizon at 74 em depth.</t>
  </si>
  <si>
    <t>The plants were parasitic and large numbers of haustoria were attached to mesquite roots 20-30 mm in diameter… Three fan roots were traced horizontally about 2·5 m at 20 to 60 em depths but none were traced into or below the petrocalcic horizon.</t>
  </si>
  <si>
    <t>Aaltonen, 1920</t>
  </si>
  <si>
    <t>boreal forest</t>
  </si>
  <si>
    <t>Kaunisvaaran kangas</t>
  </si>
  <si>
    <t>pine</t>
  </si>
  <si>
    <t>Lapland, Sodankyla, N. Finland</t>
  </si>
  <si>
    <t>mean of 3 pines (1.2, 0.8, 1)</t>
  </si>
  <si>
    <t>Rakkiluoston kangas</t>
  </si>
  <si>
    <t>mean of 7 pines (1.8, 0.5, 0.15, 0.3, 0.2, 0.8, 0.2)</t>
  </si>
  <si>
    <t>Ojalahden Lehto</t>
  </si>
  <si>
    <t>spruce</t>
  </si>
  <si>
    <t>mean of 4 spruce (0.9, 0.9, 0.8, 1)</t>
  </si>
  <si>
    <t>Pitkan palot</t>
  </si>
  <si>
    <t>birch</t>
  </si>
  <si>
    <t>deciduous broard-leaf</t>
  </si>
  <si>
    <t>deciduous</t>
  </si>
  <si>
    <t>deciduous needle-leaf</t>
  </si>
  <si>
    <t>deciduous broad-leaf legume</t>
  </si>
  <si>
    <t>deciduous broad-leaf legume, B. albitrunca evergreen</t>
  </si>
  <si>
    <t xml:space="preserve">deciduous </t>
  </si>
  <si>
    <t>deciduous broadleaf</t>
  </si>
  <si>
    <t>mean of 2 birch (0.9, 0.8)</t>
  </si>
  <si>
    <t>sandy, stone</t>
  </si>
  <si>
    <t>stone-free heath sand</t>
  </si>
  <si>
    <t>much stone</t>
  </si>
  <si>
    <t>natural site</t>
  </si>
  <si>
    <t>Torrey's saltbush</t>
  </si>
  <si>
    <t>Atriplex torreyi</t>
  </si>
  <si>
    <t>Chrysothamnus nauseosus ssp. Viridulus</t>
  </si>
  <si>
    <t>halophytic</t>
  </si>
  <si>
    <t>grey rabbitbrush</t>
  </si>
  <si>
    <t>2.2 (top of cap rise at 0.8)</t>
  </si>
  <si>
    <t>2.5 (top of cap rise at 0.8)</t>
  </si>
  <si>
    <t>sandy</t>
  </si>
  <si>
    <t>arid valley floor</t>
  </si>
  <si>
    <t>Typically, this species differs from Atriplex torreyi by having less strongly expressed lateral branching near the surface and tap-roots.</t>
  </si>
  <si>
    <t>two sites: artificially flooded or natural; only natural site used; lat and lon read from Google Earth with WTD in 2.5m range nearest to Independence</t>
  </si>
  <si>
    <t>Hao et al., 2006</t>
  </si>
  <si>
    <t>Guangdong Province, China, near Hongkong</t>
  </si>
  <si>
    <t>7 species excavated but maximum depth reported only for 1 of them</t>
  </si>
  <si>
    <t>subtropical moist forest</t>
  </si>
  <si>
    <t>Castanopsis chinensis</t>
  </si>
  <si>
    <t>lateritic red earth rich in humus</t>
  </si>
  <si>
    <t>Pioneer tree roots in the first stage of natural succession were of two types, one characterized by taproot system with bulky plagiotropic branches; the other characterized by flat root system with several tabular roots</t>
  </si>
  <si>
    <t>SE Spain</t>
  </si>
  <si>
    <t>Mediterra shrubland</t>
  </si>
  <si>
    <t>near well-4</t>
  </si>
  <si>
    <t>Retama sphaerocarpa</t>
  </si>
  <si>
    <t>yellow broom</t>
  </si>
  <si>
    <t>mostly leaf-less</t>
  </si>
  <si>
    <t>valley floor</t>
  </si>
  <si>
    <t>sand, gravel</t>
  </si>
  <si>
    <t>Water containing lithium chloride as a chemical tracer was applied to the bottom of two survey wells 16 and 28 m deep and the concentration of Li + in young shrubs growing around the wells was monitored for 9 days after. The mean concentration of Li + in the young shrubs increased from a natural background of 1.8 ± 0.8 ug / g dry mass to 91 ± 18 ug /g within 24 h of application... Our results confirmed that R. sphaerocarpa obtains water from deep-seated sources. The applied labelled water was readily taken up by the root systems at depths of 16-28 m, suggesting the presence of active roots near the surface of the bedrock.</t>
  </si>
  <si>
    <t>The field site is in the Rambla Honda, a valley with ephemeral surface drainage on the southern slope of the Sierra de los Filabres, c. 40 km north of Almeria, Andalucia, Spain</t>
  </si>
  <si>
    <t>Hellmers et al., 1955</t>
  </si>
  <si>
    <t>hydraulic - Tie Summit site</t>
  </si>
  <si>
    <t>road cut - City Creek Highway</t>
  </si>
  <si>
    <t>hydraulic - Mount Lowe site</t>
  </si>
  <si>
    <t>road cut - Tujunga Highway</t>
  </si>
  <si>
    <t>hydraulic - Brown Mountain site</t>
  </si>
  <si>
    <t>hydraulic - the Colby site</t>
  </si>
  <si>
    <t>hydraulic - George's Gap site</t>
  </si>
  <si>
    <t>hydraulic - San Dimas site</t>
  </si>
  <si>
    <t>San Gabrial / Bernardino Mts, S. CA</t>
  </si>
  <si>
    <t>Chaparral</t>
  </si>
  <si>
    <t>Chamise</t>
  </si>
  <si>
    <t>Adenostorna fasciculaturn</t>
  </si>
  <si>
    <t>Eastwood marizainita</t>
  </si>
  <si>
    <t>Arctostaphylos glandalosa</t>
  </si>
  <si>
    <t>Chaparral whitethorn</t>
  </si>
  <si>
    <t xml:space="preserve">Ceanothus leucoderuis </t>
  </si>
  <si>
    <t>Christmasberry</t>
  </si>
  <si>
    <t>Photinia arbutifolia</t>
  </si>
  <si>
    <t>Canyon live oak</t>
  </si>
  <si>
    <t>Califorinia scrub oak</t>
  </si>
  <si>
    <t>Quercus dumosa</t>
  </si>
  <si>
    <t>Bigberry manzanita</t>
  </si>
  <si>
    <t>Arctostapliylos glallca</t>
  </si>
  <si>
    <t>Hoaryleaf ceanothus</t>
  </si>
  <si>
    <t>Ceanothus crassifolius</t>
  </si>
  <si>
    <t>Mojave Desert ceanothus</t>
  </si>
  <si>
    <t>Ceanothus greggii var. vestitus</t>
  </si>
  <si>
    <t>Hairy ceanothus</t>
  </si>
  <si>
    <t>Ceanothus olihgaitlis</t>
  </si>
  <si>
    <t>Birchleaf mountain- mahogany</t>
  </si>
  <si>
    <t>Cercocarpus betuloides</t>
  </si>
  <si>
    <t>subshrub</t>
  </si>
  <si>
    <t>Bush monkeyflower</t>
  </si>
  <si>
    <t>Diplacus longiflorus</t>
  </si>
  <si>
    <t>Thickleaf yerbasanta</t>
  </si>
  <si>
    <t>Eriodictyon crassifolium var. nigrescens</t>
  </si>
  <si>
    <t>California buckwheat</t>
  </si>
  <si>
    <t>Eriogonum fasciculatum var. foliolosum</t>
  </si>
  <si>
    <t>Deerweed</t>
  </si>
  <si>
    <t>Lotus scoparious</t>
  </si>
  <si>
    <t>White sage</t>
  </si>
  <si>
    <t>Salvia apiana</t>
  </si>
  <si>
    <t>Black sage</t>
  </si>
  <si>
    <t>Salvia mellifera</t>
  </si>
  <si>
    <t>Chaparral yucca</t>
  </si>
  <si>
    <t>Yucca whipplei</t>
  </si>
  <si>
    <t>large shrub</t>
  </si>
  <si>
    <t>Summer deciduous</t>
  </si>
  <si>
    <t>&gt; 2.45</t>
  </si>
  <si>
    <t>&gt; 2.74</t>
  </si>
  <si>
    <t>&gt; 3.66</t>
  </si>
  <si>
    <t>&gt; 1.98</t>
  </si>
  <si>
    <t>&gt; 2.44</t>
  </si>
  <si>
    <t>&gt; 2.59</t>
  </si>
  <si>
    <t>&gt; 1.37</t>
  </si>
  <si>
    <t>&gt; 1.83</t>
  </si>
  <si>
    <t>&gt; 1.52</t>
  </si>
  <si>
    <t>&gt; 0.76</t>
  </si>
  <si>
    <t>&gt; 1.22</t>
  </si>
  <si>
    <t>&gt; 1.13</t>
  </si>
  <si>
    <t>&gt; 0.61</t>
  </si>
  <si>
    <t>Its root system was generally found to be deeply penetrating… Fine roots were observed in tiny cracks in unweathered rock 25 feet below the surface… Some individuals had a single, deeply penetrating root growing downward from the root crown, but usually several large roots penetrated deeply. Latterals developed from the enlarged root crown, and horizontal branches grew from the main roots. Usually these branch roots grew horizontally for only a short distance and then began to turn down- ward. The roots were much twisted and changed direction frequently as they grew.</t>
  </si>
  <si>
    <t>In road cuts, roots were observed to a depth of 17 feet. Roots of this species seemed able to penetrate into rock cracks too fine for roots of chamise. Adventitious roots occasionally developed from branches in contact with the ground.</t>
  </si>
  <si>
    <t>The specimens excavated had sparsely branched, deeply penetrating root systems. This plant differed from most of the other chaparral species in having a prominent tap root which extended 12 feet or more into gravel deposits or into rock crevices.</t>
  </si>
  <si>
    <t>One shrub of this species only 2.5 feet high was excavated at the Brown Mountain site. Many roots extended deeper into cracks in unweathered rock than it was possible to excavate. Feeder roots were abundant in the surface humus layer around the base of the shrub and elsewhere throughout the root system. Though this species did not occur on the road cuts that were observed, the one specimen indicated that the shrub would produce deeply penetrating roots at maturity.</t>
  </si>
  <si>
    <t>This tree species was observed only on road cuts, where roots were found at a maxi- mum depth of 24 feet belowv the ground surface in fractured rock.</t>
  </si>
  <si>
    <t>The root system was extensive and contained many branches up to 3 inches in diameter. These large roots were somewhat contorted and usually angled downward. It had the deepest root penetration of all species observed; roots of one shrub grew through fractured rock to a depth of 28 feet below the ground surface. Many fine branch roots grew in all directions from the main roots, but few feeder roots were found in the top 6 inches of soil.</t>
  </si>
  <si>
    <t>The major roots of this nonsprouting species were large laterals radiating in all directions in the top 2 feet of soil. Even in deep gravel, the roots were largely confined to the top 2 feet of soil, though a feew roots penetrated 8.5 feet deep. In shallowv soils. there was little penetration of roots into fractured or weathered rock. This species seems to have little ability to send roots into rock crevices which chamise and Eastwood manzanita penetrate readily.</t>
  </si>
  <si>
    <t>The root system of this nonsprouting species was shallow and composed of many lat- erally spreading roots. ..Other shrubs of this spe- cies growing in soils 2 feet deep or less and under- lain by unfractured rock often had a horizontal spread as great as 10 feet.</t>
  </si>
  <si>
    <t>had roots similar to hoary- leaf ceanothus except that the spread of the root systems was somewhat greater</t>
  </si>
  <si>
    <t>had prominent tap roots and many well-branched but relatively short laterals… The roots were not observed growing into rock cracks. The utpper- most lateral roots grew in the top inch of soil</t>
  </si>
  <si>
    <t>The root systems were sparsely branched, widely spreading, and confined mainly to the shallow soil layer and the few rock crevices.</t>
  </si>
  <si>
    <t>The much-branched, shallow fibrous root system of this subshrub extended downward a maximum of only 3 feet even where the soil was considerably deeper. Most feeder roots were concentrated in the surface 3 inches of soil.</t>
  </si>
  <si>
    <t>The only specimen of this subshrub excavated was growing in deep gravel at the George's Gap site. The main roots followed the slope in all directions about 1 foot below the surface. Only occasionally did a branch root grow deeper even though the soil presented no barrier to root development. These roots were excavated for a maximum distance of 7 feet from the center of the plant, though they apparently went much farther. Numerous stems sprouted from the shallow roots and spread the plant laterally for considerable distances.</t>
  </si>
  <si>
    <t>In the deep soil at the George's Gap site, the roots penetrated 4 feet and extended laterally only 2.5 feet. Other specimens growing in very shallow soils at the Mt. Lowe site had the bulk of their roots just above the soil-rock interface and extending laterally a maximum of 5 feet. One plant had its entire root system in a 6-inch layer of soil and broken rock fragments which were underlain by unfractured rock. Adventitious roots developed from branches lying on the ground.</t>
  </si>
  <si>
    <t>The 2 plants of deerweed excavated at the Brown Mountain site differed from the other subshrubs in having clearly defined taproots… No nodulation was observed on the roots of this legume</t>
  </si>
  <si>
    <t>The single specimen of this sub-shrub studied had developed a shallow root system in the deep gravel at the George's Gap site. The largest lateral root, 9 feet long, grew slightly uphill and at its terminus was a depth of 5 feet from the surface. Adventitious roots grew from stems lying on the ground.</t>
  </si>
  <si>
    <t>The root system of this subshrub closely resembled that of white sage except that the black sage roots did not penetrate as deeply. The greatest concentration of roots was in the top 5 inches of soil.</t>
  </si>
  <si>
    <t>This species had a spreading fibrous root system with most roots concentrated in the upper foot of soil</t>
  </si>
  <si>
    <t>More authors' notes: Measurements and observa- tions made on 68 plants at 14 locations in the San Gabriel and San Bernardino Mountains showed the following: 1. Chaparral species and their root systems can be placed into three categories: (a) woody, usu- ally sprouting shrubs with deep-penetrating and wide-spreading systems; (b) woody, usually non- sprouting shrubs with shallow but wide-spreading systems; and (c) subshrubs with shallow, fibrous systems. 2. Roots of some species grew through frac- tures in the rock or through weathered rock to a depth of at least 28 feet. Subterranean rock crevices were often filled with a mat of living roots. 3. The depth of soil and the extent to which the underlying rock is weathered and fractured modified the characteristics of the root systems. 4. The roots spread wider than the branches in all species studied. 5. Roots of many species grew uip hill, parallel to the soil surface. 6. Root grafting was not common. It was found only in one species in this study, California scrub oak. 7. Nodules were found on the roots of all spe- cies of Ceanothus.</t>
  </si>
  <si>
    <t>1-1.5</t>
  </si>
  <si>
    <t>granitic</t>
  </si>
  <si>
    <t>&gt;4</t>
  </si>
  <si>
    <t>steep east-facing slope</t>
  </si>
  <si>
    <t>Berndt and Gibbons, 1958</t>
  </si>
  <si>
    <t>Front Range Rockies, near Denver CO</t>
  </si>
  <si>
    <t>mountain forest</t>
  </si>
  <si>
    <t>Pseudotsuga menziesii</t>
  </si>
  <si>
    <t>Douglas fir</t>
  </si>
  <si>
    <t>Populus tremuloides</t>
  </si>
  <si>
    <t>Quaking aspen</t>
  </si>
  <si>
    <t>Pinus  ponderosa</t>
  </si>
  <si>
    <t>Ponderosa pine</t>
  </si>
  <si>
    <t>Cercocarpus montanus</t>
  </si>
  <si>
    <t>Mountain mahogany</t>
  </si>
  <si>
    <t>Arctostaphylos uva-ursi</t>
  </si>
  <si>
    <t>Kinnikinnick</t>
  </si>
  <si>
    <t>Festuca arizonica</t>
  </si>
  <si>
    <t>Arizona fescue</t>
  </si>
  <si>
    <t>Muhlenbergia montana</t>
  </si>
  <si>
    <t>Mountain muhly</t>
  </si>
  <si>
    <t>15% NW slope</t>
  </si>
  <si>
    <t>5cm litter, 20cm  coarse gravely loam, granite saprolite</t>
  </si>
  <si>
    <t>granite</t>
  </si>
  <si>
    <t>25% N slope</t>
  </si>
  <si>
    <t>from a tree 90 yrs old, 23' high, and 5'' d.b. h. Maximum root penetration was 4' and maximum lateral spread was 16'. Although roots frequently penetrated 4', most of the system was in the upper 2' of soil. The main laterals branched frequently into feeder roots and formed a matlike system.</t>
  </si>
  <si>
    <t>from a tree 80 yrs old, 21' high, 5.5' d. b.h. Maximum root penetration was 5' and maximum lateral spread was 13'… had isolated concentrations of fine roots…pit up-down slope…most roots were downslope from the base of the tree
or less.</t>
  </si>
  <si>
    <t>1.37-2</t>
  </si>
  <si>
    <t>The mountain mahogany was 4.5' high; maximum root penetration was 5' and maximum lateral spread was 8'</t>
  </si>
  <si>
    <t>bunch grass</t>
  </si>
  <si>
    <t>woody ground cover</t>
  </si>
  <si>
    <t>Mountain muhly had a fibrous root system consisting of 316 individual roots. The grass was 1' high, 10" in diameter, and its roots had a maximum penetration of 2.8' and a maximum lateral spread of 1.7'.</t>
  </si>
  <si>
    <t>Arizona fescue also had a fibrous root system, consisting of 290 individual roots. The grass was 2. 3' high, 4" in diameter, and its roots had a maximum penetration of 2. 8' and a maximum lateral spread of 1. 5'</t>
  </si>
  <si>
    <t>Only part of the root system of kinnikinnick was excavated. The main root was a meandering runner just below the surface. From this runner the plant sent aerial shoots upward and feeder roots downward. Plants forming a dense mat up to 7' in diameter were found.</t>
  </si>
  <si>
    <t>from a tree 70 yrs old, 26' in height, and 4. 5" d. b.h. Max root penetration was 5' and max lateral spread was 31'. These aspen roots were rather contorted, often changing direction without apparent cause. Concentrated masses of fine roots, similar to  hose found in Douglas-fir, were noted (see fig. 7). Root development was mainly downslope.</t>
  </si>
  <si>
    <t>The ponderosa pine was 85 yrs old, 19'high, and 4. 5" d.b.h. Max root penetration was 5' and max lateral spread was 10'. The roots showed downslope development. No fine roots were found as in the systems of Douglas-fir and aspen, nor was the pine root system as finely branched.</t>
  </si>
  <si>
    <t>Edloe gravelly sandy-loam site-1</t>
  </si>
  <si>
    <t>Chubbs stony-Loam site</t>
  </si>
  <si>
    <t>20% N slope</t>
  </si>
  <si>
    <t>3-5cm litter, 25cm dark stony-loam, clay loam then stony loam</t>
  </si>
  <si>
    <t>limestone, with fin soil in fisures</t>
  </si>
  <si>
    <t>Chubbs soils developed from Madison limestone are calcareous, loose, and fertile… from an aspen tree 97 yrs old, 38' high, and 8. 5" d.b.h. .. one of the more dense and widespread systems studied. Max penetration was 4.2' and max lateral spread was 48'.</t>
  </si>
  <si>
    <t>The small kinnikinnick plant had a root system that penetrated the soil to 2' and a lateral spread of 2.6'. Most of the roots were close to the surface.</t>
  </si>
  <si>
    <t>was 72 yrs old, 24' heigh, and 5" d. b. h… root system had a max penetration of 4.8', and a max lateral spread of 21'. The tree had a many-branched root systenr with several lateral roots originating from the root crown</t>
  </si>
  <si>
    <t>was from a tree that was 63 yrs old, 25' high, exhibited little branching and had a max penetration of 5.6' and a max lateral spread of 20'.</t>
  </si>
  <si>
    <t xml:space="preserve">plant was 0.5' high and 6" in diameter… max penetration of the roots was 3.4' and the max lateral spread was 1.3'. </t>
  </si>
  <si>
    <t>The mountain mahogany plant was 4' high. Its root system had a maximum penetration of 5' and a maximum lateral spread of 10'.</t>
  </si>
  <si>
    <t>The fibrous root system of Arizona fescue consisted of 780 individual roots... plant was 2.7' high and 6" in diameter. Max penetration of its roots was 3.1' and max lateral spread was 1.7'. All three root
systems were excavated from the same trench and the diagram shows the
intertwining of the roots.</t>
  </si>
  <si>
    <t>Skeletal soil from sandstone site</t>
  </si>
  <si>
    <t>NW exposure 7-14%</t>
  </si>
  <si>
    <t>loose fine grey sand on sandstone saprolite</t>
  </si>
  <si>
    <t>sandstone, fractured into massive blocks</t>
  </si>
  <si>
    <t>All systems had roots that penetrated the shallow soil mass, trailed along the parent rock, and penetrated fissures. All root systems were contorted by the many barriers… was 60 yrs old, 22' high, and 4" d. b. h. Its root system had a max penetration of 2.7' and a max lateral spread of 10'.</t>
  </si>
  <si>
    <t>from a tree that was 110 yrs old, 22' high, and 7" d.b.h. Max penetration of the System was 2.4' and max lateral spread was 20'.</t>
  </si>
  <si>
    <t>was 75 yrs old, 19' high, and 5" d.b.h. Its root system had a max penetration of 2.8' and a max lateral spread of 19'. The tree was anchored by a tap root, penetrating a crevice to an undetermined depth (see cover photo)</t>
  </si>
  <si>
    <t>0.1-0.15</t>
  </si>
  <si>
    <t>This plant had a very shallow root system with max penetration of 2'. Most of the roots were in the top 6" of soil, and many could be exposed by simply turning back the thin humus layer</t>
  </si>
  <si>
    <t>plant was 0. 9' high and 6" in diameter. Its roots penetrated to a max depth of 2.7' and had a max lateral spread of 1.3'. The fibrous root system consisted of 324 individual roots.</t>
  </si>
  <si>
    <t>The mountainmahogany plant was 5' high. Max penetration of the roots was 3.5' and the max lateral spread was 5'.</t>
  </si>
  <si>
    <t>The fibrous root system of Arizona fescue consisted of 308 individual roots. The plant was 2.6' high and 2.5" in diameter. Max penetration of its roots was 2.6', and max lateral spread was 1.2'.</t>
  </si>
  <si>
    <t>Edloe gravelly sandy-loam site-2</t>
  </si>
  <si>
    <t>Manitou Experimental Forest… Missouri Gulch Watershed, lat-lon approx.</t>
  </si>
  <si>
    <t>Day, 1941</t>
  </si>
  <si>
    <t>Upper P., Michigan</t>
  </si>
  <si>
    <t>red pine</t>
  </si>
  <si>
    <t>Pinus resinosa</t>
  </si>
  <si>
    <t>level, slow subsoil drainage</t>
  </si>
  <si>
    <t>Pine plain, good drainage</t>
  </si>
  <si>
    <t>very fine sandy loam</t>
  </si>
  <si>
    <t>leached sand</t>
  </si>
  <si>
    <t>plantation on Dunbar Forest Exp. St</t>
  </si>
  <si>
    <t>Tree III was exposed to excessive moisture in the early part of the growing season… Tree III had a widespreading and much branched root system w ith but very little downward penetration… Tap roots were present in all except III.</t>
  </si>
  <si>
    <t>trees I and II had favorable moisture conditions in that early seasons oil moisture was not excessive and late season soil moisture was usually adequate… sinker roots have an important function in red pine… they are the deepest descending roots except for II...</t>
  </si>
  <si>
    <t xml:space="preserve"> feet high</t>
  </si>
  <si>
    <t xml:space="preserve"> It will be noted that trees IV and V have the largest root systems despit the fact that they are not the largest trees nor are they any older than the other trees. They were growing in a lighter soil and drier site, which may be the cause… Trees IV and V had adequate moisture during the early growing season with a deficiency during the latter part of the growing season.</t>
  </si>
  <si>
    <t>14 yrs old, 8.5 feet high, max lateral 10.3 feet.. Lat-lon approx</t>
  </si>
  <si>
    <t>14 yrs old, 11 feet high, max lateral 14.6 feet.. Lat-lon approx</t>
  </si>
  <si>
    <t>13 yrs old, 6 feet high, max lateral 14.3 feet…  Lat-lon approx</t>
  </si>
  <si>
    <t>12 yrs old, 6.3 feet high, max lateral 17.5 feet…  Lat-lon approx</t>
  </si>
  <si>
    <t>14 yrs old, 5.3 feet high, max lateral 18.3 feet…  Lat-lon approx</t>
  </si>
  <si>
    <t>Natural site off Dunbar</t>
  </si>
  <si>
    <t>SE North Dakota</t>
  </si>
  <si>
    <t>crop land</t>
  </si>
  <si>
    <t>crops</t>
  </si>
  <si>
    <t>A</t>
  </si>
  <si>
    <t>B</t>
  </si>
  <si>
    <t>C</t>
  </si>
  <si>
    <t>D</t>
  </si>
  <si>
    <t>E</t>
  </si>
  <si>
    <t>F</t>
  </si>
  <si>
    <t>G</t>
  </si>
  <si>
    <t>H</t>
  </si>
  <si>
    <t>I</t>
  </si>
  <si>
    <t>J</t>
  </si>
  <si>
    <t>corn</t>
  </si>
  <si>
    <t>Zea mays L.</t>
  </si>
  <si>
    <t>0.57-1.46</t>
  </si>
  <si>
    <t>0.96-1.85</t>
  </si>
  <si>
    <t>1.13-2.02</t>
  </si>
  <si>
    <t>1.27-2.16</t>
  </si>
  <si>
    <t>1.37-2.26</t>
  </si>
  <si>
    <t>1.42-2.31</t>
  </si>
  <si>
    <t>1.64-2.54</t>
  </si>
  <si>
    <t>1.79-2.67</t>
  </si>
  <si>
    <t>1.80-2.69</t>
  </si>
  <si>
    <t>1.88-2.77</t>
  </si>
  <si>
    <t>Fossum sandy loam</t>
  </si>
  <si>
    <t>Hamar sandy loam</t>
  </si>
  <si>
    <t>Fossum fine sandy loam</t>
  </si>
  <si>
    <t>Fossum loamy fine sand</t>
  </si>
  <si>
    <t>Hecla loamy sand</t>
  </si>
  <si>
    <t>Hecla loamy fine sand</t>
  </si>
  <si>
    <t>moderately well drained</t>
  </si>
  <si>
    <t>poorly to somewhat poorly drained</t>
  </si>
  <si>
    <t>poorly drained</t>
  </si>
  <si>
    <t>lat-lon aprox on line from Oakes westward</t>
  </si>
  <si>
    <t>Roots at site C (Fig. 2B) suggest that depth of rooting did not continue to proceed as the water table declined. Rather, effective depth of penetration was probably determined at some stage of root development</t>
  </si>
  <si>
    <t>Root systems at sites F and J were deeper than at site C, apparently as a result of greater depth to water table.</t>
  </si>
  <si>
    <t>As previously discussed, site A was poorly aerated particularly below 30 cm. Although some root penetration was observed to about 60 cm, the majority of roots were above 30 cm</t>
  </si>
  <si>
    <t>General notes: Ten sites, representing a range of water table conditions, were selected for sampling based upon observation well data collected from July 1 through the remaining growing season.</t>
  </si>
  <si>
    <t>General notes: Root distribution was observed to be highly dependent upon profile depth and depth to water table.</t>
  </si>
  <si>
    <t>Heyward, 1933</t>
  </si>
  <si>
    <t>hardpan</t>
  </si>
  <si>
    <t>old terrace</t>
  </si>
  <si>
    <t>clay loam, on hardpan, cracks with roots</t>
  </si>
  <si>
    <t>coarse, loose gravel</t>
  </si>
  <si>
    <t>Lowe granodiorite</t>
  </si>
  <si>
    <t>0.6-1.5</t>
  </si>
  <si>
    <t>hard but deeply fractured Lowe granodiorite</t>
  </si>
  <si>
    <t>sandy loam, on loose rock</t>
  </si>
  <si>
    <t>summit</t>
  </si>
  <si>
    <t>sandy loam (0.15m), loose rock (0.76m)</t>
  </si>
  <si>
    <t>anorthosit</t>
  </si>
  <si>
    <t>loose coarse sand (0.15m), on broken rock (0.3m)</t>
  </si>
  <si>
    <t>Lowe granodiorit, hard with few cracks</t>
  </si>
  <si>
    <t>north side of rounded ridge</t>
  </si>
  <si>
    <t>weathered Wilson diorite</t>
  </si>
  <si>
    <t>0.6-1.8</t>
  </si>
  <si>
    <t>litter, humus (0.08-0.15m) on loam, clay-loam</t>
  </si>
  <si>
    <t>face of road cuts</t>
  </si>
  <si>
    <t>either gravel terraces or granitic rock</t>
  </si>
  <si>
    <t>Haasis, 1921</t>
  </si>
  <si>
    <t>Near Flagstaff, Arizona</t>
  </si>
  <si>
    <t>western yellow pine</t>
  </si>
  <si>
    <t>Pinus ponderosa scopulorum</t>
  </si>
  <si>
    <t>Gravelly: Loose or loamy, moderately pervious, fairly well aerated</t>
  </si>
  <si>
    <t>on S slope below San Francisco peaks</t>
  </si>
  <si>
    <t>286 seedlings studied but data given for 3 only… the oldest, a 4yr old seeding root depth is recorded here.</t>
  </si>
  <si>
    <t>Haigh, 1966</t>
  </si>
  <si>
    <t>Zululand, South Africa</t>
  </si>
  <si>
    <t>Pinus caribaea</t>
  </si>
  <si>
    <t>aged 16 1/2 yrs (Fig. 2). Tree height about 70' ... Excavation was stopped at a depth of 12' at which point each of the numerous taproots had a diameter of about one inch. Only  a few side roots were present in the upper soil layers ..</t>
  </si>
  <si>
    <t>extrapolated to 16' from Fig.2</t>
  </si>
  <si>
    <t>Pinus elliottii</t>
  </si>
  <si>
    <t>aged 15 yrs (Fig.4, plate-1), tree height about 60', taproots were found to end at a depth of about 15' where numerous side roots occurred… the tree also had a number of strong surface feeding roots in the upper 2' of soil</t>
  </si>
  <si>
    <t>Eucalyptus citriodora</t>
  </si>
  <si>
    <t>aged 5 1/2 yrs (Fig.5).. Tree height about 20 feet. Two trees were excavated both of which had strongly developed taproots and side roots. In each case the tap roots ended at the water table at depth of 3 and 5 feet… Most of the plantations in Zululand are sited on  deep Sands, with the water table depth varying considerable from one area to another. Even in areas with marginal rainfall (30-35 inches per annum) the survival is good despite droughts.</t>
  </si>
  <si>
    <t>deep sand</t>
  </si>
  <si>
    <t>Caribbean pine</t>
  </si>
  <si>
    <t>slash pine</t>
  </si>
  <si>
    <t>lemon-scented gum</t>
  </si>
  <si>
    <t>only trees &gt; 5yr old are included here, all lat-lon guessed</t>
  </si>
  <si>
    <t>Jipp et al, 1998</t>
  </si>
  <si>
    <t>matual forest site</t>
  </si>
  <si>
    <t>pasture site</t>
  </si>
  <si>
    <t>Paragominas, Para, NE Brazil</t>
  </si>
  <si>
    <t>&gt;18</t>
  </si>
  <si>
    <t>natural</t>
  </si>
  <si>
    <t>deforested, regularly burned</t>
  </si>
  <si>
    <t>Panicum maximum, Brachiaria humidicola</t>
  </si>
  <si>
    <t>Leguminosae, Sapotaceae, Lecythidaceae families</t>
  </si>
  <si>
    <t>Guinea grass, koronivia grass</t>
  </si>
  <si>
    <t>171 species in 5ha</t>
  </si>
  <si>
    <t>upper slope of terrace</t>
  </si>
  <si>
    <t>ironstone (plinthite)</t>
  </si>
  <si>
    <t>5.0-12.0</t>
  </si>
  <si>
    <t>clay (Latosol), on ironstone, then white clay</t>
  </si>
  <si>
    <t>The maximum depth of rooting in this forest has not yet been determined, but roots extend to at least 18 m… Deep rooting increases the volume of soil that can supply moisture during scarce periods, buffering transpiration and minimizing deciduousness in the undisturbed, mature forest native to this region.</t>
  </si>
  <si>
    <t>The pastures that are replacing mature forest in eastern Amazonia appear to be less well adapted to large fluctuations in moisture availability; and this is reflected in their canopy seasonality and steeper decreases in transpiration rates during drought events.</t>
  </si>
  <si>
    <t>soil water at 8m depth lags rainfall by 1mon in dry soil to 3mon in wet soil before rainy reason arrives</t>
  </si>
  <si>
    <t>authors: "the water table is more than 40m below the surface (maximum depth reached in an unsuccessful attempt to install a piezometer with a hand auger)"</t>
  </si>
  <si>
    <t>Laclau et al., 2013</t>
  </si>
  <si>
    <t>Itatinga, São Paulo, SE Brazil</t>
  </si>
  <si>
    <t>Cretaceoussandstone</t>
  </si>
  <si>
    <t>6 yr old plantation, fertilized</t>
  </si>
  <si>
    <t>sandy, deep Ferralsols (&gt;10 m), 15-25% clay</t>
  </si>
  <si>
    <t>clayey, deep Ferralsols (&gt;10 m), 37-45% clay</t>
  </si>
  <si>
    <t>excavation stopped at 10m but Fig. 3b and Fig. 4D and E suggest much deeper roots</t>
  </si>
  <si>
    <t>Eucalyptus grandis</t>
  </si>
  <si>
    <t xml:space="preserve">flooded gum </t>
  </si>
  <si>
    <t>sandy soil site</t>
  </si>
  <si>
    <t>clayey soil site</t>
  </si>
  <si>
    <t>Christina et al., 2011</t>
  </si>
  <si>
    <t>3.5 yr old plantation, fertilized</t>
  </si>
  <si>
    <t>top of a hill</t>
  </si>
  <si>
    <t>The root front, as well as height growth, followed a similar pattern up to 42 months of age, when roots reached the vicinity of the water table...Thereafter, fine roots reached the vicinity of the water table and the relationship was no longer valid.</t>
  </si>
  <si>
    <t>Early vertical tree growth was found to be fast above and below ground, reaching 10.4 m in height and 9.2 m in depth at 1.5 years of age, and 19.2 m in height and 15.8 m in depth at 3.5 years of age…The root front, as well as height growth, followed a similar pattern up to 42 months of age, when roots reached the vicinity of the water table...</t>
  </si>
  <si>
    <t>same sites as Laclau, 2013…but different trees… rooting and water table depths given in Fig.1</t>
  </si>
  <si>
    <t>lat-lon moved 3.5km to east to z=850m; same sites as Christina, 2011 but different trees</t>
  </si>
  <si>
    <t>Soil cores showed that the deepest roots reached a depth of 11.4 ± 1.6m at 2.1years after planting (Figure3B)… The water table was at a depth of 14m from 1 to1.3years after planting (data not shown)</t>
  </si>
  <si>
    <t>The mean FRD (find root density) down to a depth of 10m was 40% higher in the clayey soil than in sandy soil (Fig 4)… The water table was at a depth of 14m from 1 to1.3years after planting (data not shown)</t>
  </si>
  <si>
    <t>Dye, 1996</t>
  </si>
  <si>
    <t>Mpumalanga, N. South Africa</t>
  </si>
  <si>
    <t>flooded gum</t>
  </si>
  <si>
    <t>relatively flat ridge tops</t>
  </si>
  <si>
    <t>&gt;8</t>
  </si>
  <si>
    <t>site-1, less sandy, 4yr old tree</t>
  </si>
  <si>
    <t>site-2, 2km away, sandier, 10yr old tree</t>
  </si>
  <si>
    <t>Frankfort State Forest...rooting depth inferred from soil water uptake, given the sandy soil (little cap rise)</t>
  </si>
  <si>
    <t>plantation, recharge prevented to monitor deep uptake</t>
  </si>
  <si>
    <t>53-79% sand, ferralsols</t>
  </si>
  <si>
    <t>56-93% sand, ferralsols</t>
  </si>
  <si>
    <t>There was relatively little change in soil water uptake with increasing soil depths to 8 m at Site 2 (Figure 7), indicating that the trees obtained most of their water from depths below 8 m… Deep drilling at Site 2 revealed live roots at 28 m below the surface</t>
  </si>
  <si>
    <t xml:space="preserve">2km from site-1, with sandier soil… </t>
  </si>
  <si>
    <t>&gt;38m</t>
  </si>
  <si>
    <t>at Site 1, it is evident that significant soil water uptake was occurring, particularly at depths between 2 and 8 m (Figure 6), and that uptake from deeper soil layers increased after November 1992… abstraction from soil depths between 1 and 8 m was estimated to be 183 mm (14% of measured sap flow), indicating that most water was obtained from deeper soil water reserves</t>
  </si>
  <si>
    <t>&gt;28</t>
  </si>
  <si>
    <t>Coastal Congo</t>
  </si>
  <si>
    <t>plantation on ploughed savanna</t>
  </si>
  <si>
    <t>9yr old tree site</t>
  </si>
  <si>
    <t>Eucalyptus PF1 (hybrid E. teriticornis x E. grandis)</t>
  </si>
  <si>
    <t>location too coarse, site chosen at highest point within 1o box in savanna with patches of forest, near road; max root depth extrapolated (Fig.4)</t>
  </si>
  <si>
    <t>on a flat hill</t>
  </si>
  <si>
    <t>forest Red Gum x flooded gum</t>
  </si>
  <si>
    <t>One year after planting the root system extended to depth beyond 3 m, although the higher densities of fine and medium-sized roots were observed close to the surface. The change with age in the percentage of roots in the top layers might be related to the increasing role of biological cycles in the nutrition of the stand.</t>
  </si>
  <si>
    <t>east of Pensacola, Florida</t>
  </si>
  <si>
    <t>typical longleaf pine /turkey oak stand</t>
  </si>
  <si>
    <t>site poorly drained by a swamp</t>
  </si>
  <si>
    <t xml:space="preserve">longleaf pine </t>
  </si>
  <si>
    <t>deep sand (96-98%)</t>
  </si>
  <si>
    <t>mean rooting depth of 3 trees is 0.63m (range 22-29").</t>
  </si>
  <si>
    <t>mean rooting depth of 6 saplings is 1.73m (range: 51-108"), only one mature tree is excavated (value recorded here)</t>
  </si>
  <si>
    <t>mean rooting depth of 6 trees is 1.53m, excluding tree X which was cut by a gopher; range: 36-75".</t>
  </si>
  <si>
    <t xml:space="preserve">Drainage is excessive over most of the area… The straight downward course of the taproot, with but minor deviations in direction, is typical for the trees examined...Perhaps the most striking characteristic of hoth the laterals and the sublaterals was their tendency to extend in a horizontal plane at a uniform depth throughout their entire length...Of the 179 lateral roots excavated 160, or 89%, occurred in the first foot of soil... All the seedlings were characterized hy a system of vertical roots distinct from the taproot (sinkers)... The most striking contrast was in the taproots which on the poorly drained area were only 22-29" long compared to ~ 3-6' on the well drained sites. During the month of July, 1931, when this study was conducted, the water table of the poorly drained area was only about 28" beneath the surface. Obviously a high water table exerts an inhibitory influence upon the development of the taproot of longleaf pine... </t>
  </si>
  <si>
    <t>Hipondoka et al., 2003</t>
  </si>
  <si>
    <t>Kalahari Sandveld of Botswana</t>
  </si>
  <si>
    <t xml:space="preserve">the north site </t>
  </si>
  <si>
    <t>the south site</t>
  </si>
  <si>
    <t>Acacia mellifera, Grewia flava</t>
  </si>
  <si>
    <t>Acacia luederitzii, A. mellifera</t>
  </si>
  <si>
    <t>The field sites are located in the deep Kalahari Sandveld of Botswana. The first site is ~ 80km south of Ghanzi. lat-lon guessed - 80km south of Ghanzi, near a major road, at a site with shrubs and grass; max depth extrapolated from Fig.1.</t>
  </si>
  <si>
    <t>The second site is located further south, near Tshane. lat-long guessed - just outside and north of the town Tshane, at a site with shrubs and grass; max depth extrapolated from Fig.1</t>
  </si>
  <si>
    <t>Both sites showed a healthy grass cover, with no sign of overgrazing… The root profiles exhibited more abundant and dominant grass roots in the surface soil, especially down to 30-cm depth, even in the pits located under the tree canopies… Tree roots are more abundant under tree canopies than between the canopies, but even there, grass roots dominate... In this study, the isotopic composition of soil organic matter and root profiles suggest that most of the activities regarding water uptake are performed near the soil surface. Moreover, the data revealed that grass roots are more abundant than tree roots in the surface layers, implying that the former are better competitors for water in the spatial dimension, particularly in mature communities.</t>
  </si>
  <si>
    <t>Kalahari-sand Acacia, black thorn</t>
  </si>
  <si>
    <t>black thorn, …</t>
  </si>
  <si>
    <t>Horton, 1958</t>
  </si>
  <si>
    <t>near Banf, Canadian Rockies</t>
  </si>
  <si>
    <t>Coarser soils, Tree 10</t>
  </si>
  <si>
    <t>Finer soils, Tree 19</t>
  </si>
  <si>
    <t>Peat soils, Tree 25</t>
  </si>
  <si>
    <r>
      <t>Pitk</t>
    </r>
    <r>
      <rPr>
        <sz val="9"/>
        <color theme="1"/>
        <rFont val="Calibri"/>
        <family val="2"/>
      </rPr>
      <t>ä</t>
    </r>
    <r>
      <rPr>
        <sz val="9"/>
        <color theme="1"/>
        <rFont val="Calibri"/>
        <family val="2"/>
        <scheme val="minor"/>
      </rPr>
      <t>n palot</t>
    </r>
  </si>
  <si>
    <t>loamy fine sand/gravel/clay/fine sand</t>
  </si>
  <si>
    <t>loam/clay/clay loam/stony clay loam</t>
  </si>
  <si>
    <t>peat/boulder pavement/clay/gley</t>
  </si>
  <si>
    <t>lower foothills (at Strachan, Alberta)</t>
  </si>
  <si>
    <t>lower foothils</t>
  </si>
  <si>
    <t>half bog</t>
  </si>
  <si>
    <t>It shows that deep penetration is not essential for fair height growth. Its lateral roots appeared to have utilized fully the available site, being concentrated in the areas of least competition... There is evidence of hydrotropism in this study. The deep taproots (notably Trees 5 and 6) break up at a considerable depth into a fibrous root mass which suggests aborption as a function. The roots in Soil Type MC/F particularly seem to be attracted by the deep-lying, fine textured stratum which holds more moisture than the overlying sand. But the clearest case for hydrotropism is Tree 10, where some roots went 3 to 4' below the established rooting level of the tree to exploit an artificially raised water table.</t>
  </si>
  <si>
    <t>Soil water for Tree 25 is stagnant (a half-bog). Rooting is definitely restricted by the excess water, the tap bending rather than penetrating the water table. Where the water table was highest (e.g. Tree 22), the vertical rooting was shallowest. The fluctuation of the water table appears to allow some vertical root development but the result (submerged at the time of excavation) is convoluted, club-like appendages, often dead and quite inactive. Tree 25 provides an interesting point on root development in relation to stem growth. A stem analysis showed that the tree grew normally for the first 1 5 years and then was drastically retarded to the present (285 years). Presumably, initial rooting, in muck, was unimpeded; then the doubly restricting boulder pavement and water table was reached, causing the root to club-up .</t>
  </si>
  <si>
    <t>Tree 19 had a secondary set of lateral roots in the finer stratum at the two-foot level and a few deep sinkers occurred from both sets, extending down to the same level as the central tap, with similar branching and clubbing in the excessively limy lowest horizon. This whole secondary system is likely a response to a perched water table, penetrated during a series of dry years; the site is abnormal in this respect.</t>
  </si>
  <si>
    <t>Deepest roots of mature trees are reported here in this soil group (tree 10); water table is taken to be at the end of roots (fine, absorbing roots) based on Author's notes</t>
  </si>
  <si>
    <t>Deepest roots of mature trees are reported here in this soil group (tree 19); water table is taken to be at the end of roots based on author's notes.</t>
  </si>
  <si>
    <t>Tree 25 is chosen (285yrs old), oldest in this soil group. Water table read from Fig.3… Location of the forest was found from the document at: http://cfs.nrcan.gc.ca/pubwarehouse/pdfs/11852.pdf.  Locations of site are chosen to reflect topographic position described by the author (e.g., foothill, bog), near roads, and near the Experimental Forest headquater. For the finer soil site, the locastion is closer to the valley.</t>
  </si>
  <si>
    <t>Hosegood &amp; Howland, 1966</t>
  </si>
  <si>
    <t>north of Nairobi, Kenya</t>
  </si>
  <si>
    <t>Sydney blue gum</t>
  </si>
  <si>
    <t>Eucalyptus saligna</t>
  </si>
  <si>
    <t>Mexican weeping pine</t>
  </si>
  <si>
    <t>Pinus patula</t>
  </si>
  <si>
    <t>Mexican cypress</t>
  </si>
  <si>
    <t>Cupressus benthamii</t>
  </si>
  <si>
    <t>Mexican White Cedar</t>
  </si>
  <si>
    <t>Cupressus lusitanica</t>
  </si>
  <si>
    <t>Lee and Laurenroth, 1994</t>
  </si>
  <si>
    <t>N-central Colorado, 60km NE Fort Collins</t>
  </si>
  <si>
    <t>sandy-clay-loam location</t>
  </si>
  <si>
    <t>sandy-loam location</t>
  </si>
  <si>
    <t>Bouteloua gracilis</t>
  </si>
  <si>
    <t>Gutierrezia sarothrae</t>
  </si>
  <si>
    <t>sub shrub</t>
  </si>
  <si>
    <t>Blue grama</t>
  </si>
  <si>
    <t>broom snakeweed</t>
  </si>
  <si>
    <t>Four-wing saltbush</t>
  </si>
  <si>
    <t>sandy clay loam, 67% sand, 13% silt</t>
  </si>
  <si>
    <t>sandy loam, 79% sand, 10% silt</t>
  </si>
  <si>
    <t>Despite the fact that the soil surface is not completely covered by the aboveground parts of plants the volume of soil below groups of plants appears to be completely occupied by roots…</t>
  </si>
  <si>
    <t>The primary differences between locations were the greater depth of root penetration...roots of B. gracilis plants on the SL location were larger in diameter and possessed more fine roots than plants on the sandy clay-loam location</t>
  </si>
  <si>
    <t>On the SCL location, G. sarothrae had lateral roots which extended 20-40 cm from the plant center and vertical roots which reached depths of 100-105 cm.</t>
  </si>
  <si>
    <t>sandier soils seem to favor both shallow root concentration AND deep penetration</t>
  </si>
  <si>
    <t>Given lat-lon wrong (put you 250km NW Fort Collins, not 6km NE). Central Plains Experimental Range, an LTER site can be easily located on Google.</t>
  </si>
  <si>
    <t>lat-lon picked on sandy soil patch with sparser and larger plants, as authors described</t>
  </si>
  <si>
    <t>lat-lon picked on a sandy clay soil patch 2km SE of sandy site</t>
  </si>
  <si>
    <t>A. canescens possesses a very large diameter tap root which extends to the maximum depth of the root system… The spatial distribution of roots found in this study support the key predictions of Walter's two-layer soil-water hypothesis.</t>
  </si>
  <si>
    <t xml:space="preserve"> the only G. sarothrae individual excavated on the SL location had roots which extended more than 50 cm laterally and 200 cm vertically… The major differences between locations were the increased proportion of roots in the upper 10 cm of soil, the greater depth of root penetration, and twice the total root length on the SL location.</t>
  </si>
  <si>
    <t>Schultz, 1972</t>
  </si>
  <si>
    <t>NE Florida</t>
  </si>
  <si>
    <t>1 - 2.2</t>
  </si>
  <si>
    <t>fine sand (92%) for 2m, cap rise 0.3m</t>
  </si>
  <si>
    <t>an airlayer</t>
  </si>
  <si>
    <t>a seedling from seed</t>
  </si>
  <si>
    <t>All had moderate to extensive fan-shaped roots from the capillary zone to below the mean water table level. These fan-shaped roots were two-ranked, profuse, and often dichotomously branched-similar to ectomycorrhizae. However, analysis of root samples showed no mycorrhizal associations... The profusion of rooting near the water table probably served as an important source of water and nutrient absorption.</t>
  </si>
  <si>
    <t>plantation, some irrigated / fertilized</t>
  </si>
  <si>
    <t>Maximum depth of rooting was 2.6 m for airlayers (7 trees of 11-12yr age) and 3.1 m for seedling stock (6 trees of 11-12yr age). Average depths were 2.3 and 2.6 m, respectively… 
Most sinker roots were spear-shaped with blunt ends, and they extended as much as 1 m below the mean water table. This blunted condition was probably the result of poor aeration at or below the water table.</t>
  </si>
  <si>
    <t>location guessed, NE Florida, S of Jacksonvil, where it looked like extensive pine plantations (in neat rows)</t>
  </si>
  <si>
    <t>Preston, 1942</t>
  </si>
  <si>
    <t>Hourglass Lake site</t>
  </si>
  <si>
    <t xml:space="preserve">Colorado, 40km W of Fort Collins </t>
  </si>
  <si>
    <t>Pingree Park Campus site</t>
  </si>
  <si>
    <t>gravely sandy loam, glacial morainic origin</t>
  </si>
  <si>
    <t>gravely sand, glacial morainic origin</t>
  </si>
  <si>
    <t>protected from cattle  grazing for 1yr</t>
  </si>
  <si>
    <t>protected from cattle  grazing for 3yrs</t>
  </si>
  <si>
    <t>In both sites the majority of the roots are in the upper few inches of soil, but the average root depth is much greater at the Pingree Park site.</t>
  </si>
  <si>
    <t>At the Pingree Park site it was noted that the tap- root is normally strongly developed in lodgepole pine.</t>
  </si>
  <si>
    <t>on edge of reservoir, 0-4% slope</t>
  </si>
  <si>
    <t>on campus, near fire lane, 1% slope</t>
  </si>
  <si>
    <t>campus/reservoir easily located, lat-lon approx, mentioning drainage needed by well or trenche to excavate deeper roots but water table not given</t>
  </si>
  <si>
    <t>volcanic</t>
  </si>
  <si>
    <t>loam, deep, free-draining latosol</t>
  </si>
  <si>
    <t xml:space="preserve">All compartments were situated on the same slope and subjected to the same soil and climatic conditions. </t>
  </si>
  <si>
    <t>The soil profile was capable of being fully exploited by the roots, although immature murram layers were observed below the five-foot depth.</t>
  </si>
  <si>
    <t>full root penetration in depth was achieved by all species regardless of the marked differences in total root volume</t>
  </si>
  <si>
    <t>Sampling stopped at 15' depth but significant root mass suggests much deeper penetration in all 4 species. It is extented to 20 and 25 ft here.</t>
  </si>
  <si>
    <t>Jackson et al., 1999</t>
  </si>
  <si>
    <t>Cent-Eastern Edwards Plateau, TX</t>
  </si>
  <si>
    <t>District Park Cave</t>
  </si>
  <si>
    <t>Seven Room Cave</t>
  </si>
  <si>
    <t>Pearson's Lost Cave</t>
  </si>
  <si>
    <t>Spyglass Cave</t>
  </si>
  <si>
    <t>Cotterell Cave</t>
  </si>
  <si>
    <t>Mystery Hole</t>
  </si>
  <si>
    <t>Sour Cave</t>
  </si>
  <si>
    <t>Thurtle Shell Cave</t>
  </si>
  <si>
    <t>Cave of Many Names</t>
  </si>
  <si>
    <t>Natural Bridge (south)</t>
  </si>
  <si>
    <t>Sweet Cave</t>
  </si>
  <si>
    <t>Cicurina Cave</t>
  </si>
  <si>
    <t>Powell's Cave</t>
  </si>
  <si>
    <t>Honey Creek Cave</t>
  </si>
  <si>
    <t>savanna and woodland</t>
  </si>
  <si>
    <t>live oak</t>
  </si>
  <si>
    <t>Texas Cedar Elm</t>
  </si>
  <si>
    <t>Ulmus crassifolia</t>
  </si>
  <si>
    <t xml:space="preserve">Sugar Hackberry </t>
  </si>
  <si>
    <t>Celtis laevigata</t>
  </si>
  <si>
    <t>Ashe Juniper</t>
  </si>
  <si>
    <t xml:space="preserve"> Juniper ashei</t>
  </si>
  <si>
    <t>Juniper ashei</t>
  </si>
  <si>
    <t xml:space="preserve">Durand oak </t>
  </si>
  <si>
    <t>Ulmus americana</t>
  </si>
  <si>
    <t>shallow, calcareou</t>
  </si>
  <si>
    <t>fractured Cretaceous limestone</t>
  </si>
  <si>
    <t>&lt;0.2</t>
  </si>
  <si>
    <t>600-800</t>
  </si>
  <si>
    <t>Lat-lon given in Table-1, but the values seem off, with 141' and 85" etc. ..emailed author but did not receive response... assuming that the strange minute and second values are simply decimal minutes, lat-lon thus obtained...but they are highly questionable...some in the middle of cities/towns... elevation from Google...</t>
  </si>
  <si>
    <t>A case of roots penetrating deep through fractured limestone</t>
  </si>
  <si>
    <t>Jackson et al., 2002</t>
  </si>
  <si>
    <t>Jornada, NM</t>
  </si>
  <si>
    <t>Sevilleta, NM</t>
  </si>
  <si>
    <t>Central Plains Experimental Range, CO</t>
  </si>
  <si>
    <t>Vernon, TX</t>
  </si>
  <si>
    <t>Riesel, TX</t>
  </si>
  <si>
    <t>Engeling, TX</t>
  </si>
  <si>
    <t>All depth given contains 95% roots, not max</t>
  </si>
  <si>
    <t>Black Grama</t>
  </si>
  <si>
    <t>mesquite, creosote, Juniper</t>
  </si>
  <si>
    <t>Prosopis, Larrea, Juniperus</t>
  </si>
  <si>
    <t>feather grass, needle grass, spear grass</t>
  </si>
  <si>
    <t>Stipa sp.</t>
  </si>
  <si>
    <t xml:space="preserve">little bluestem </t>
  </si>
  <si>
    <t>Schizachyrium scoparium</t>
  </si>
  <si>
    <t>beard grass, bluestem grass, broomsedge</t>
  </si>
  <si>
    <t>Andropogon sp.</t>
  </si>
  <si>
    <t>grass patch</t>
  </si>
  <si>
    <t>woody stand</t>
  </si>
  <si>
    <t>evergreen broad-leaf and needle-leaf</t>
  </si>
  <si>
    <t>The 200,000-ha Waggoner ranch is the long-term research site for the Vernon, Texas, Research Station of Texas A&amp;M University</t>
  </si>
  <si>
    <t>The Riesel site maintained by the USDA/ Agriculture Research Service, tallgrass prairie</t>
  </si>
  <si>
    <t>The Gus Engeling Wildlife Management Area operated by the Texas Parks and Wildlife Department</t>
  </si>
  <si>
    <t>CPER=Central Plains Experimental Range, Shortgrass Steppe LTER</t>
  </si>
  <si>
    <t>Each site contained adjacent grassland and shrub/woodland communities where management practices have contributed to woody plant expansion into native grasslands on one side of a fence.</t>
  </si>
  <si>
    <t>LTER site, lat-lon given in 0.1 degree, points chosen across fences in appearance</t>
  </si>
  <si>
    <t>Only Engeling showed no evidence of increased rooting depths with woody plant invasion.</t>
  </si>
  <si>
    <t>Relatively wet grasslands are often highly productive, allocating a large proportion of C below ground, and have high SOC concentrations</t>
  </si>
  <si>
    <t xml:space="preserve">Rooting depths, nematode distributions, and the integrated depth of soil cation uptake all changed substantially with woody plant invasion (Table 1). Mean 95% rooting depths were 2m deeper on average for the woody vegetation at the six paired sites (P # 0.01), with increases of 3 to 4m at Jornada, CPER and Vernon.
</t>
  </si>
  <si>
    <t>Along the precipitation gradient, woody plant invasion increased contents of SOC and soil organic nitrogen (SON) at the drier sites, and decreased them at the wetter sites</t>
  </si>
  <si>
    <t>Jennings, 1974</t>
  </si>
  <si>
    <t>Borehole No. 1028</t>
  </si>
  <si>
    <t>Borehole No. 1197</t>
  </si>
  <si>
    <t>Motlopi or Shepherd's tree</t>
  </si>
  <si>
    <t>Boscia albitrunca</t>
  </si>
  <si>
    <t>deep sandy soils, finer in depressions</t>
  </si>
  <si>
    <t>calcrete</t>
  </si>
  <si>
    <t>In 1958 the writer retrieved living rootlets from an unused borehole (No. 1028) at Phuduhudu in the central Kalahari while carrying out an electrical resistivity log of the borehole. These rootlets were brought up on the heavy weight on the end of the cable and must have come from a depth exceeding 68 metres as the borehole was cased with unperforated casing from surface to this depth. The borehole is uncased beyond this depth and it is  possible that the roots were utilising the easy passage made by the borehole to obtain water from the water table at 141 m below the surface. The only fair sized tree in the vicinity of the borehole was a "motlopi" (boscia albitrunca) and this was almost certainly the phreatophyte responsible for sending it's roots to this incredible depth. (Plate 79) This is, to the best of the writer's knowledge, the greatest known depth (68m and possible 141m) to which tree roots have been known to penetrate. The boscia belongs to the Capparidacea family of which the pickled flower buds of several European species are the capers of commerce. The tree is one of the few evergreen trees found in Botswana and hence the tremendous root system serves to supply water to the tree during the dry winter months</t>
  </si>
  <si>
    <t>The writer has also recovered tree roots from a borehole at Eersterus (No. 1197), near Werda in the Southern Kalahari (H.4) from a borehole which has unperforated, eight inch solid steel casing, to a depth of 30 metres and a further 48m of perforated six inch casing. The roots must thus have penetrated to at least 30m and could have penetrated to 78.6m. The water level in this particular borehole was 97.5m below surface.</t>
  </si>
  <si>
    <t>no borehole lat-lon given. The lat-lon of Phuduhudu is entered here</t>
  </si>
  <si>
    <t>lat-lon of Werda, in southern Kalahari, is entered here; vegetation assumed to be the same as above</t>
  </si>
  <si>
    <t>Phuduhudu, cen. Kalahari, Botswana</t>
  </si>
  <si>
    <t>near Werda, S. Kalahari Desert, Botswana</t>
  </si>
  <si>
    <t>Jimenez et al., 2009</t>
  </si>
  <si>
    <t>Terra firme species</t>
  </si>
  <si>
    <t>Caatinga species</t>
  </si>
  <si>
    <t>clay loam / Endostagnic Plinthosol (Alumic, Hyperdystric)</t>
  </si>
  <si>
    <t>the terrain is slightly undulated and uniform, with soils moderately deep, well drained, and strongly acidic with moderately fine textures</t>
  </si>
  <si>
    <t>Colombian Amazon</t>
  </si>
  <si>
    <t>loamy sand / Orteinic Podzol (Oxyaquic) (white sand)</t>
  </si>
  <si>
    <t>Amacayacu National Natural Park (AMP), AMP-01</t>
  </si>
  <si>
    <t>Amacayacu National Natural Park (AMP), AMP-02</t>
  </si>
  <si>
    <t>Biological Station Zafire, ZAR-01</t>
  </si>
  <si>
    <t>Did not mention how the max depths are obtained but given in Table-1. Fine roots data are obtained from ingrow cores inserted to 20cm depth only…</t>
  </si>
  <si>
    <t>the clay loam soil forest, with less limitation in soil resources, showed a lower carbon allocation to production of fine roots than the loamy sand forest which had more limitations in soil resource availability</t>
  </si>
  <si>
    <t>Pampas, Argentina</t>
  </si>
  <si>
    <t>native grassland</t>
  </si>
  <si>
    <t>River Red Gum</t>
  </si>
  <si>
    <t>Eucalyptus camaldulensis</t>
  </si>
  <si>
    <t>typical composition /structure, mixture of C3/C4 grasses</t>
  </si>
  <si>
    <t>silty loam</t>
  </si>
  <si>
    <t>upland</t>
  </si>
  <si>
    <t>lower</t>
  </si>
  <si>
    <t>The deepest tree roots in the plantation were found at 5–6m depth, coincident with the upper boundary of a fully reduced (gley) sediment layer of blue-greenish color present in all grassland and forest cores, suggesting the long-term maximum watertable depth at the site.</t>
  </si>
  <si>
    <t>Canyon Land, S. Utah</t>
  </si>
  <si>
    <t>Area 17</t>
  </si>
  <si>
    <t>Area 16</t>
  </si>
  <si>
    <t>Area 15</t>
  </si>
  <si>
    <t>Area 12</t>
  </si>
  <si>
    <t>Area 5</t>
  </si>
  <si>
    <t>Area 19</t>
  </si>
  <si>
    <t>pinon pine / juniper</t>
  </si>
  <si>
    <t>Pinus edulis / Juniperus monosperma</t>
  </si>
  <si>
    <t>pinon pine</t>
  </si>
  <si>
    <t>Pinus edulis</t>
  </si>
  <si>
    <t>All location data inferred from Plate 7, a detailed map of the study area</t>
  </si>
  <si>
    <t>fractured sandstone and limestones</t>
  </si>
  <si>
    <t>sandstone /limestone</t>
  </si>
  <si>
    <t>Kuiper, 1992</t>
  </si>
  <si>
    <t>coastal Netherland</t>
  </si>
  <si>
    <t>Douglas-fir</t>
  </si>
  <si>
    <t>Pseudotsuga  menziesii</t>
  </si>
  <si>
    <t xml:space="preserve"> well drained, dry, brown podzol</t>
  </si>
  <si>
    <t>Low and Lamont, 1990</t>
  </si>
  <si>
    <t>Banksia hookeriarra / B. attenuata / B. menziesii</t>
  </si>
  <si>
    <t>deep, freely drained, podzol sand</t>
  </si>
  <si>
    <t>A study site was chosen 280 km north of Perth, W.A. and 6 km south of Eneabba on the Brand  High way (29° 52' S. , 115° 15' E.), near the turn-off to the Associated Minerals Consolidated heavy minerals mine site.</t>
  </si>
  <si>
    <t>the mass of sinker roots remained substantial and ropped little with increasing depth… Banksia roots were evident at the bottom of adjoining mine pits excavated to a depth of 5 m. In floristically similar vegetation, including dominance by tree forms of the two Banksia spp. studied here, roots may reach a depth of 8 m, limited by the position of the water table. This contact with the ground water via strong vertical roots apparently enables these species to grow over summer without developing marked water deficits.</t>
  </si>
  <si>
    <t>S. South Australia</t>
  </si>
  <si>
    <t>Melaleuca halmaturorum</t>
  </si>
  <si>
    <t xml:space="preserve">Swamp Paperbark </t>
  </si>
  <si>
    <t>small tree</t>
  </si>
  <si>
    <t>Water uptake concentrated in deeper parts of soil profile when groundwater was at its deepest and salt accumulated in surface soils at the end of summer. When groundwater rose at the end of winter, roots responded by extracting water from near the surface (0-0.1m) at the new water table. We conclude that M. halmaturomm used groundwater in summer and combination of rain and groundwater in winter.</t>
  </si>
  <si>
    <t>lat-lon given is in the center city of Keith. Moved to 30km SW of Keith, in a natural reserve with swamp forest</t>
  </si>
  <si>
    <t>Sitka spruce</t>
  </si>
  <si>
    <t>Picea sitchensis</t>
  </si>
  <si>
    <t>Cumbria, U.K.</t>
  </si>
  <si>
    <t>0.42 - ?</t>
  </si>
  <si>
    <t>peat gley</t>
  </si>
  <si>
    <t>slope 0-14°</t>
  </si>
  <si>
    <t>given lat-lon does not match z; moved NW to 200m; wtd is for winter, summer deeper</t>
  </si>
  <si>
    <t xml:space="preserve">Rooting depth restricted by water table... root system morphology adapted to resist wind associated with shallow rooting... spread of root and root/shoot ratio both negatively related to root plate depth. Root systems had more structural root mass on leeward than windward side of tree </t>
  </si>
  <si>
    <t>200-245</t>
  </si>
  <si>
    <t>Honey Mesquite</t>
  </si>
  <si>
    <t>Prosopis Glandulosa</t>
  </si>
  <si>
    <t>Harper's Well, S. CA</t>
  </si>
  <si>
    <t>4.0 - 6.0</t>
  </si>
  <si>
    <t xml:space="preserve"> clay loam, then sand/clay lenses</t>
  </si>
  <si>
    <t>There is a permanent, stable groundwater table which varies spatially between depths of 4 and 6 m… P. glandulosa at this research site acquired its water from a ground water source 4-6 m deep… Results from the soil cores indicated that there was a root mat at the surface (above -30 cm depth) and deep roots extending to -4 to -6 m, where they proliferate.... Prosopis glandulosa has adapted to avoid water stress by utilizing deep ground water, but this phreatophyte has also evolved physiological adaptations</t>
  </si>
  <si>
    <t>authors note: "Harper's Well, our study site, lies at an elevation of -30 m at the base of the Fish Creek Mountains, 15 km west of the southern tip of the Salton Sea"; picked a site at -30m z, 0.68km S. Harpers Well</t>
  </si>
  <si>
    <t>Obakeng, 2007</t>
  </si>
  <si>
    <t>grass/tree savanna</t>
  </si>
  <si>
    <t>drill hole 01</t>
  </si>
  <si>
    <t>drill hole 02</t>
  </si>
  <si>
    <t>drill hole 03</t>
  </si>
  <si>
    <t>drill hole 04</t>
  </si>
  <si>
    <t>drill hole 07</t>
  </si>
  <si>
    <t>drill hole 08</t>
  </si>
  <si>
    <t>drill hole 09</t>
  </si>
  <si>
    <t>drill hole 10</t>
  </si>
  <si>
    <t>drill hole 11</t>
  </si>
  <si>
    <t>drill hole 12</t>
  </si>
  <si>
    <t>drill hole 13</t>
  </si>
  <si>
    <t>drill hole 14</t>
  </si>
  <si>
    <t>drill hole 15</t>
  </si>
  <si>
    <t>drill hole 16</t>
  </si>
  <si>
    <t>drill hole 17</t>
  </si>
  <si>
    <t>drill hole 18</t>
  </si>
  <si>
    <t>drill hole 19</t>
  </si>
  <si>
    <t>drill hole 20</t>
  </si>
  <si>
    <t>Buffalo Thorn</t>
  </si>
  <si>
    <t>Ziziphus mucronata</t>
  </si>
  <si>
    <t>Blade thorn</t>
  </si>
  <si>
    <t>Acacia fleckii</t>
  </si>
  <si>
    <t xml:space="preserve">Kalahari Christmas tree </t>
  </si>
  <si>
    <t>Dichrostachys cinerea</t>
  </si>
  <si>
    <t>Silver Terminalia</t>
  </si>
  <si>
    <t>Terminalia sericea</t>
  </si>
  <si>
    <t>Shepherd's tree</t>
  </si>
  <si>
    <t>Camel thorn, Giraffe thorn</t>
  </si>
  <si>
    <t>Acacia erioloba</t>
  </si>
  <si>
    <t xml:space="preserve">violet tree </t>
  </si>
  <si>
    <t>Securidaca longipedunculata</t>
  </si>
  <si>
    <t>loamy fine sand</t>
  </si>
  <si>
    <t>Kalahari sandveld, E. Botswana</t>
  </si>
  <si>
    <t>The Kalahari sandveld, on the western side of the escarpment, with thick sand and poorly developed drainage, deep groundwater; land mostly flat and slopes gently toward the west</t>
  </si>
  <si>
    <t>The sandveld area is quite flat and is dominated by free draining coarse to loamy fine Kalahary sands with high permeability, high infiltraiton rate and high retention storage capacity because of the thick sand layer</t>
  </si>
  <si>
    <t>All trees in the vicinity of the injected drill holes show a clear and surprisngly fast response, which proves the transport of the tracers from depths of at least the bottom of the respective drill holes.</t>
  </si>
  <si>
    <t>all drill-hole locations are read off from Fig. 5.1, in UTM, and converted to lat-lon on Google Earth. UTM zone 35K</t>
  </si>
  <si>
    <t>Nepstad et al., 1994 (same site as Jipp et al., 1998)</t>
  </si>
  <si>
    <t>"degrated" pasture site</t>
  </si>
  <si>
    <t>same site as Jipp (1998) which has no "degraded pasture" data; a site chosen with tree regrowth on pasture</t>
  </si>
  <si>
    <t>Roots were most abundant near the soil surface, as expected, but were found in deep shafts to depths of ~8 m in the managed pasture, ~12m in the degraded pasture, and~ 18m in the forest.</t>
  </si>
  <si>
    <t>deeply weathered clay soil</t>
  </si>
  <si>
    <t>not  "well managed" pasture, some trees</t>
  </si>
  <si>
    <t>S. facing gentle slope</t>
  </si>
  <si>
    <t>Weaver, 1919</t>
  </si>
  <si>
    <t>Prairies of E. Nebraska</t>
  </si>
  <si>
    <t>prairie</t>
  </si>
  <si>
    <t>Panicum virgatum</t>
  </si>
  <si>
    <t>switchgrass</t>
  </si>
  <si>
    <t>it often holds the rank of a dominant species .. This grass has the longest root system of any species examined. The roots are very coarse, many having a diameter of 3 or 4 mm. They pursue a vertically downward course, spreading only a little near the surface, to a maximum depth of over 9 feet.</t>
  </si>
  <si>
    <t>Andropogon furcatus</t>
  </si>
  <si>
    <t>bluestem</t>
  </si>
  <si>
    <t>near Lincoln</t>
  </si>
  <si>
    <t>Andropogon scoparius</t>
  </si>
  <si>
    <t>little bluestem</t>
  </si>
  <si>
    <t>gravelly mixed with sand</t>
  </si>
  <si>
    <t>clay loam over clay</t>
  </si>
  <si>
    <t>The very abundant roots grow both vertically and obliquely downward, a few almost honzontally, and at once thoroughly occupy the soil and form a dense sod… The larger roots may reach a depth of 6 feet and 10 inches… In locations where a hard clay subsoil occurred the roots were 2-2.6 feet shorter... However, here again the amount of branching and the length of the laterals are closely correlated with soil texture, always being less in hard soils.</t>
  </si>
  <si>
    <t>Roots are so abundant as to form a dense sod, completely filling the soil to a depth of from 12 inches in gravelly soil and to as much as 30 inches in clay loam.</t>
  </si>
  <si>
    <t>Andropogon nutans</t>
  </si>
  <si>
    <t>glodstem</t>
  </si>
  <si>
    <t>a dominant in the subclimax prairie… Like the other andropogons and Panicum virgatum, it also matures late in summer. It is one of the deeper-rooted prairie grasses.</t>
  </si>
  <si>
    <t>clay loam for 1.07m over pure sand</t>
  </si>
  <si>
    <t>Stipa spartea</t>
  </si>
  <si>
    <t>one of the dominants in the prairies, being especially conspicuous during the month of June… Its root system is rather meager when compared with most of the other prairie grasses. Strong fibrous roots from 1 to 1.5 mm. in diameter descend rather vertically into the soil to a maximum depth of only 21 to 26 inches</t>
  </si>
  <si>
    <t>porcupine grass</t>
  </si>
  <si>
    <t>Koeleria cristata</t>
  </si>
  <si>
    <t>June grass</t>
  </si>
  <si>
    <t>As in the case of Stipa spartea, which also makes a rapid growth and blossoms early, the vegetative and reproductive activity may be correlated with the shallow root system… This plant has a very shallow but exceedingly well-developed root system. None of the roots of the 7 plants examined reached depths of over 21 inches</t>
  </si>
  <si>
    <t>Elymus canadensis</t>
  </si>
  <si>
    <t>Canada wild rye</t>
  </si>
  <si>
    <t>loess</t>
  </si>
  <si>
    <t>an important prairie species of wide distribution. Like Koeleria, it is comparatively shallow-rooted, but has a widely spreading root system.</t>
  </si>
  <si>
    <t>Agropyrum repen</t>
  </si>
  <si>
    <t>couch grass</t>
  </si>
  <si>
    <t>From the extensive rhizomes of this perennial, which are often 2 to 3 feet long, arise numerous fine, silvery-white roots. These send off rather poorly branched laterals as they descend somewhat vertically downward, some to a maximum depth of 8 feet.</t>
  </si>
  <si>
    <t>Distichlis spicata</t>
  </si>
  <si>
    <t>seashore saltgrass, desert saltgrass</t>
  </si>
  <si>
    <t>salt tolant species… alkalinity related to poor drainage… salt mostly sodium carbonate</t>
  </si>
  <si>
    <t>This low, direcious perennial of seacoasts and alkaline soils is still quite abundant on the "salt flats" about Lincoln, although it is being replaced by other species as the soil becomes less salty, due to better drainage resulting from the straightening of stream courses... Aninterestmg successional sequence was determined in a rich alluvial flood-plain, where the water-level occurred in gumbo soil at a depth of about 6 feet... Diatichlis has better developed rhizomes than almost any other grass examined...One specimen was found to be 9 feet long. It supported 19 tufts of plants... Relatively few reach a depth of over 2 feet.</t>
  </si>
  <si>
    <t>Sporobolus longifolius</t>
  </si>
  <si>
    <t>The rather coarse, fibrous roots penetrate the soil to an average maximum depth of only 24 inches. The greatest root depth of the 17 plants examined ranged from 17 to 40 inches. However, the roots are very dense and ~horoughly occupy all of the soil… Roots were examined in 3 different soil types and found to be very similar in all.</t>
  </si>
  <si>
    <t>clay-loam</t>
  </si>
  <si>
    <t>Aristida oligantha</t>
  </si>
  <si>
    <t>prairie threeawn</t>
  </si>
  <si>
    <t>abundant on prairies, especially in drier soils. It frequently dominates areas where the soil is shallow, or plays the role of an interstitial among the taller grasses… While some of the longest reach depths of 40 inches, relatively few occur below 18 inches.</t>
  </si>
  <si>
    <t>buffalo grass</t>
  </si>
  <si>
    <t>Bulbilis dactyloide</t>
  </si>
  <si>
    <t>alluvial soil</t>
  </si>
  <si>
    <t>bottom land</t>
  </si>
  <si>
    <t>many roots occurred at 4.5 feet; and numerous others continued vertically downward to a maximum depth of from 58 to 73 inches and in one of the trenches in gumbo soil to the ground-water level</t>
  </si>
  <si>
    <t>blue grama grass</t>
  </si>
  <si>
    <t>porous coarse sandy - gravelly loam deposited by glacial action</t>
  </si>
  <si>
    <t>a ridge at Belmont near Lincoln</t>
  </si>
  <si>
    <t xml:space="preserve">often in fairly pure stands on the lighter soils of gravelly ridges and it is also frequently found dominating areas of alluvial soil on bottom lands… The root system is extremely well developed, great masses of fine roots occupying every cubic centimeter of soil to a depth of 18 inches. A few roots reached a maximum depth of 46 inches, although below 2 feet the roots are very sparse. </t>
  </si>
  <si>
    <t>Liatris punctata</t>
  </si>
  <si>
    <t>dotted gayfeather, dotted blazingstar</t>
  </si>
  <si>
    <t>Its xerophytic nature and its extensive range far into the drier regions westward may be explained in part by its deep root system… All had strong tap-roots. Those growing in clay with a sandy subsoil reached depths of 11 feet 5 inches and 15 feet 9 inches respectively</t>
  </si>
  <si>
    <t>clay with sandy sub soil</t>
  </si>
  <si>
    <t>while three growing in clay-loam with a clav subsoil penetrated only to a depth of about 6 feet 8 inches.</t>
  </si>
  <si>
    <t>clay loam with clay subsoil</t>
  </si>
  <si>
    <t>Solidago rigida</t>
  </si>
  <si>
    <t>its presence, together with certain other species. invariably indicates rather permeable soils with at least a fair amount of available water… they are very abundant in the first 2 feet of soil, while maximum depths of over 5 feet are attained</t>
  </si>
  <si>
    <t>510mm in growing season</t>
  </si>
  <si>
    <t>stiff goldenrod</t>
  </si>
  <si>
    <t>Solidago canadensis</t>
  </si>
  <si>
    <t>Canada goldenrod</t>
  </si>
  <si>
    <t>propagates by means of strong woody rhizomes… the roots are fibrous… They descend rather vertically into the soil… Eleven plants were examined, most of which gave a maximum root depth of 10.5 feet, while one reached 11 feet.</t>
  </si>
  <si>
    <t>Silphium laciniatum</t>
  </si>
  <si>
    <t xml:space="preserve">compass plant </t>
  </si>
  <si>
    <t>It has a large, fleshy, deep tap-root…It pursues this general vertical direction to a maximum depth of from 9 feet to 13 feet 8 inches, the last 2-3 feet tortuous.</t>
  </si>
  <si>
    <t>Amorpha canescens</t>
  </si>
  <si>
    <t>leadplant</t>
  </si>
  <si>
    <t>This perennial legume has a very extensive, woody root system which reaches depths of 6.5 to 7.5 feet</t>
  </si>
  <si>
    <t>Helianthus rigidus</t>
  </si>
  <si>
    <t>stiff sunflower</t>
  </si>
  <si>
    <t>This sunflower, common on Nebraska prairies, propagates by strong rhizomes... Roots reach a depth of about 50 inches</t>
  </si>
  <si>
    <t>Brauneria pallida</t>
  </si>
  <si>
    <t>coneflower</t>
  </si>
  <si>
    <t>2 plants were exaniined. Both had strong, vertically descending tap-roots which reached depths of 51 and 66 inches respectively</t>
  </si>
  <si>
    <t>Petalostemon candidus</t>
  </si>
  <si>
    <t>white prairie clover</t>
  </si>
  <si>
    <t>Like Brauneria, it has a strong, deep, rather poorly branched tap-root… The larger was 10 mm. in diameter and 68 inches deep.</t>
  </si>
  <si>
    <t>Vernonia baldwinii</t>
  </si>
  <si>
    <t>propagates by strong rhizomes… The roots, which are very abundant (20 or 30 arising from a single plant), are very different from any other roots examined…Most of the finer branches and terminal rootlets, however, occur at 9 or 10 feet. Seven plants were examined, all of which penetrated to a depth of about 11 feet. The maximum depth recorded was 11 feet 6 inches.</t>
  </si>
  <si>
    <t>Fig.3, p10, has a beautiful drawing showing denser roots in clay soils</t>
  </si>
  <si>
    <t>has deeper roots than most other species examined. The maximum depths of 4 plants were 16 feet 8 inches, 16 feet 6 inches, 16 feet 10 inches, and 17 feet 3 -inches, respectively… the wetness and dryness of the various soil strata and the corresponding root branching were so marked</t>
  </si>
  <si>
    <t>Kuhnia glutinosa</t>
  </si>
  <si>
    <t>Verbena stricta</t>
  </si>
  <si>
    <t>Hoary verbena</t>
  </si>
  <si>
    <t>weed, very common in old pastures, has a strong tap-root from 1 to 2 cm. in diameter, which reaches depths ranging from 3.5 to over 4 feet.</t>
  </si>
  <si>
    <t>Grindelia squarrosa</t>
  </si>
  <si>
    <t>curly-top gumweed, curlycup gumweed</t>
  </si>
  <si>
    <t>note plasticity</t>
  </si>
  <si>
    <t>This weed has a strong tap-root abundantly supplied with well-developed laterals… Maximum depths of 50, 52, 40, and 73 inches were recorded for the 4 plants examined… Indeed, it seems to thrive so well and under such varied conditions that it is a conspicuous weed throughout many of the Western States. It is likely that the great plastlclty of lts root system makes this wide distribution possible.</t>
  </si>
  <si>
    <t>Glycyrrhiza lepidota</t>
  </si>
  <si>
    <t>American Licorice</t>
  </si>
  <si>
    <t>This characteristic legume has much-branche rhyzomes several feet long and a deep, fleshy tap-root… The deeper soils (8 to 10 feet) are thus well filled with small, vertically descending, poorly branched roots.. At 10 to 12 feet, where these rootlets entered the jointed clay-loess soil, they branched rather profusely. The roots of several plants were traced to depths of 11 or 12 feet. One of the larger ones was still 2 mm in diameter at this depth and probably penetrated several feet deeper.</t>
  </si>
  <si>
    <t>Astragalus crassicarpus</t>
  </si>
  <si>
    <t>on a west hillside at Belmont</t>
  </si>
  <si>
    <t>on a west hillside, 45 feet from a wet Spartina cynosuroides zone in the valley</t>
  </si>
  <si>
    <t>ground plum</t>
  </si>
  <si>
    <t>1ft loam on 3ft exceedingly hard joint clay</t>
  </si>
  <si>
    <t>near a wetland, roots follow clay joints, soils wetter and softer deeper down, roots end 1ft above water table; deeper roots are more branched</t>
  </si>
  <si>
    <t>The surface ft of good loam soil gave way to about 3 ft of exceedingly hard joint clay, in which roots (and esp those of grasses) frequently followed the joints and branched largely (locally) in one plane. The deeper soil became wetter and also somewhat sandy, but very gummy and sticky. The water table was reached at about 7 feet...had a pronounced tap-root with a diameter of 1 cm. and ran almost vertically downward to a depth of 6 feet.. Below 4 feet, in the softer, wetter soil, the branches became more pronounced, being densely covered with root-hairs and often branchingin two planes.. There is a very  noticeable tendency for roots to follow the crevices in the joints of the clay</t>
  </si>
  <si>
    <t>Psoralea tenuiflora</t>
  </si>
  <si>
    <t xml:space="preserve">Slimflower scurfpea </t>
  </si>
  <si>
    <t xml:space="preserve">This very abundant legume forms societiel' over large areas of prairie during June… Several of these laterals, including some of the smaller ones, reached depths of 5 or 6 feet. </t>
  </si>
  <si>
    <t>Psoralea argophylla</t>
  </si>
  <si>
    <t xml:space="preserve">Silverleaf indian breadroot </t>
  </si>
  <si>
    <t>had a tap (with a diameter of 8 mm.) which tapered so rapidly that at 2 feet it was less than 1 mm. wide, and then pursued a vertically downward course to the water-level at a depth of 6 feet.</t>
  </si>
  <si>
    <t>Baptisia bracteata</t>
  </si>
  <si>
    <t xml:space="preserve">Longbract wild indigo </t>
  </si>
  <si>
    <t>water table noted as preventing roots from going deeper</t>
  </si>
  <si>
    <t>The main roots are poorly branched and there are scarcely any absorbing laterals in the first 2-3 ft of soil. In the deeper soil they branch irregularly but not very repeatedly, many of the roots reaching the water-level at about 80 inches. It is probable that in drier soil they would penetrate deeper... In general the extremities are covered with fine, short branches which extended to the water-leveL</t>
  </si>
  <si>
    <t>Subclimax Prairies, near Peru, Nebraska</t>
  </si>
  <si>
    <t>prairie-chaparral transition</t>
  </si>
  <si>
    <t>on crest of exposed SE slope of a loess hill</t>
  </si>
  <si>
    <t>Andropogon furcatus extends to the very crest of the ridge. Here the stems reach heights of 5.5 feet, while the roots penetrate the mellow loess soil to a maximum depth of 9 foot 3 inches. This root penetration exceeds by 2 feet the maximum depth recorded for any plant of this species in clay-loam soil.</t>
  </si>
  <si>
    <t>higher rainfall</t>
  </si>
  <si>
    <t>near the hill top</t>
  </si>
  <si>
    <t>Lygodesmia juncea</t>
  </si>
  <si>
    <t>near the foot of the slope</t>
  </si>
  <si>
    <t>Lespedeza capitata</t>
  </si>
  <si>
    <t>Ceanothus ovatus</t>
  </si>
  <si>
    <t>Two plants were examined. The smaller had a tap-root 5 mmn. in diameter and reached a depth of 5.5 feet; the larger, with a diameter of 11 mm., reached a depth of 8 feet. The strong tap pursues a vertically downward course, tapering very slowly.</t>
  </si>
  <si>
    <t xml:space="preserve">Rush skeletonplant </t>
  </si>
  <si>
    <t>roundhead bushclover</t>
  </si>
  <si>
    <t>redroot</t>
  </si>
  <si>
    <t>This perennial stem-xerophyte is common in prairies throughout Nebraska and is often abundant on the crests of ridges or other dry situations… The tap-root may give rise to several plants… The roots descend in an almost vertically downward course and frequently in parallel groups only a few inches or indeed a few millimeters apart, to distances of 15 to 20 feet or more... Numerous roots occurred at 18 feet in depth and one was traced to a maximum distance of 20 feet 7 inches. Here it was still 2 mm. in diameter. Because of danger of caving of the mellow loess soil, deeper excavation was abandoned. The loess was of very uniform texture throughout and well moistened to the depth examined.</t>
  </si>
  <si>
    <t>It is very abundant on the lower slopes of the loess hill, where 6 or more plants were examined. The very characteristic light-yellow roots are much branched just below the surface… In addition to these shallower roots, which compete with many of the grasses for the water in the surface layers of soil, numerous other branches pursue a more or less vertically downward course from the outset and reach depths of 5 or 6 feet or more... A maximum depth of 7 feet 10 inches was recorded</t>
  </si>
  <si>
    <t>mellow loess</t>
  </si>
  <si>
    <t>more adundance of clay</t>
  </si>
  <si>
    <t>7-year-old specimen, which is very representative of others examined, was excavated near the foot of the loess hill… It gave off 11 large woody roots, 8 to 14 mm. in diameter, from the knotty crown… In the surface 2 to 4 feet of soil relatively little absorption akes place... (competition from Andropogon scoparius and other grasses growing vigorously between)... The lateral spread of the roots is remarkable. One lateral reached a depth of 12 feet 10 inches and a horizontal distance of 4 feet from the base of the crown... so that a very large area of soil was penetrated by the roots of a single plant... Here again note that the plants growing in the mellow loess reached depths 4 or 5 feet greater than those examined in the clay-loam soil at Belmont.</t>
  </si>
  <si>
    <t>low shrub, with its many stems 1.5 to 3 feet high…also occurs widely throughout the sandhills westward, and on the loess hill… Numerous roots occurred at a depth of 8 feet, several reached 12 feet, and the longest one was traced to a depth of 14.5 feet, where it was still 1 mm. in diameter and giving off frequent threadlike laterals.</t>
  </si>
  <si>
    <t>alluvial flood-plain, bench-lands in the Salt Creek basin</t>
  </si>
  <si>
    <t>More from Author: "near Peru, Nebraska, at a station about 60 miles southeast of Lincoln...As pointed out by Clements, this type of prairie, lying in a region of somewhat higher rainfall, is probably sub climax… thickets of Corylus, Rhus, and Symphoricarpos are very frequent in this grassland. It is not uncommon also to find seedlings of elm and oak near the edges of these thickets."                 It seems that on hills, in deep loess soil, roots of all plants go very very deep .                              P21 gives detailed data and discussion on the climate and soil of the Subclimax prairies; top 3ft soil never went below wilting point...   Several plants have far deeper roots here than in other soils (affected by clay from glacial drift)...                                                      More from the Author: " The preceding pages show that many prairie plants absorb moisture well beyond a depth of 5 feet, while soil-moisture extends many feet beyond the greatest root depth. In excavating root systems, during September to December 1917, the soil below 5 feet was found almost invariably to be quite moist."</t>
  </si>
  <si>
    <r>
      <t>This note pertains to the entire cummnity (Prairies of E. Nebraska). P18-24 gives detailed data and discussions on climate (P regimes), soil properties (SY=0.25, wilting point=13.5), and soil moisture profiles in this community. .. It seems that the conditions are perfect for deep and extensive rooting: (1) 80% rain in growing season, (2) decent storms, deep penetration, (3) often &gt;30days no rain, (4) deep loess soil with perfect K and cap rise.            Author notes "</t>
    </r>
    <r>
      <rPr>
        <b/>
        <sz val="9"/>
        <color theme="1"/>
        <rFont val="Calibri"/>
        <family val="2"/>
        <scheme val="minor"/>
      </rPr>
      <t>These findings of great root depths, which are correlated with deep soil moisture, bear out Cannon's suggestion of the probability that the longest or most deeply penetrating roots are found, not in deserts, but where there is considerable rainfall, and where the penetration of rain is considerable and the water-table relatively deep</t>
    </r>
    <r>
      <rPr>
        <sz val="9"/>
        <color theme="1"/>
        <rFont val="Calibri"/>
        <family val="2"/>
        <scheme val="minor"/>
      </rPr>
      <t>."</t>
    </r>
  </si>
  <si>
    <t>chaparral</t>
  </si>
  <si>
    <t>Symphoricarpos vulgaris</t>
  </si>
  <si>
    <t>snowberry</t>
  </si>
  <si>
    <t>Growing in clumps to a height of only 2 to 4 feet, its shade is frequently so dense as to exclude even the very tolerant Poa pratemia... A long trench was dug at the edge of such a thicket… The maximum depth to which the roots penetrate in the loess soil is only 65 inches… competition for light above ground was so intense that no other plants were present and the deeper soil was free from roots of any kind... But lack of linear extent is amply recompensed by a wonderfully well-developed absorbing surface.</t>
  </si>
  <si>
    <t>Rhus glabra</t>
  </si>
  <si>
    <t>smooth sumac</t>
  </si>
  <si>
    <t>Practically all herbaceous species had disappeared except Poa pratensis… the soil to be filled with a network of rhizomes from which numerous roots ascended more or less vertically… revealed the really wonderful complexity of these underground parts as well as the great absorbing area of this xero-mesophytic shrub... Well-branched laterals, both large and small, arise at all depths, and even the deeper soil is rather thoroughly occupied.</t>
  </si>
  <si>
    <t>Corylus americana</t>
  </si>
  <si>
    <t>American hazelnut</t>
  </si>
  <si>
    <t xml:space="preserve">spreads by means of large woody underground parts… These run at a distance of only 4 to 6 inches under the surface and give rise at intervals to numerous erect shoots from 2 to 7 feet high and also to multitudinous roots… a strong competitor of the grasses for moisture in the surface soil... Roots were traced to depths of 10, 10.5, and 11.5 feet respectively... </t>
  </si>
  <si>
    <t>Vitis vulpina</t>
  </si>
  <si>
    <t>mediem to large shrub</t>
  </si>
  <si>
    <t>frost grape</t>
  </si>
  <si>
    <t>woody vine</t>
  </si>
  <si>
    <t>In the Corylus thicket, roots of grape were traced to depths of 13 feet 3 inches and 13 feet 6 inches respectively… Such an enormous absorbing area as is possessed by Vitia gives us the clue to its ability to have a leaf area not unlike that of many trees and yet be able to live often in apparently rather dry situations</t>
  </si>
  <si>
    <t>Rosa arkansana</t>
  </si>
  <si>
    <t>Prairie Rose</t>
  </si>
  <si>
    <t>widely distributed throughout the scrub and prairie areas… propagates by rhizomes… the plant next to the parent is the only one that has developed a tap-root of its own… The tap-root from the second plant reached a depth of 15 feet 2 inches; the main tap pursued a nearly vertically downward course to a depth of 21 feet 2 inches.</t>
  </si>
  <si>
    <t>midway up a southeast slope</t>
  </si>
  <si>
    <t>loess, more compact below 10ft</t>
  </si>
  <si>
    <t>near Peru, E. Nebraska</t>
  </si>
  <si>
    <t>flat hilltop</t>
  </si>
  <si>
    <t>Author: "the members of the chaparral community of the tension zone are all supplied with splendid absorbing systems, which are somewhat variable as to depth, but all of which are deep-seated. In addition, all have excellent methods of vegetative propagation... The role played by these shrubs in modifying prairie conditions to such an extent that the habitat becomes rather favorable to the growth of the more xerophytic trees, such as bur oak, should not be overlooked. All are well adapted, either by means of above-ground or underground stems or root offshoots, to slowly but successfully invade the prairie sod... the whole loess hill, where these shrubs were excavated, would probably be covered by a chaparral complex except for repeated fires which are more detrimental to shrubs than to grasses and most other prairie species"... key point: canopy air and soils are consistently wetter with shrubs than prairie - less ET in chaparral than grassland</t>
  </si>
  <si>
    <t>loess hills along Missouri near Peru, Nebraska</t>
  </si>
  <si>
    <t>near Colorado Springs, Colorado</t>
  </si>
  <si>
    <t>Blue grama grass</t>
  </si>
  <si>
    <t>C4 short grass</t>
  </si>
  <si>
    <t xml:space="preserve">shortgrass prairie </t>
  </si>
  <si>
    <t>well-known and important grass is a dominant over the plains… The soil is well filled with fine rootlets to a depth of 30 inches, while in the next 6 inches they are still fairly abundant, some of the longer ones penetrating to a maximum depth of 48 inches. The  surface roots spread very widely in the shallow soil to 1.5 feet or more and are exceedingly well branched.</t>
  </si>
  <si>
    <t>purple three-awn</t>
  </si>
  <si>
    <t>The surface of the soil below the clump is completely filled with these cord-like roots, .but they do not branch profusely until they have penetrated 4 or 5 inches into the soil… The ground is rather well occupied to a depth of 3 feet, at which depth many of the roots terminate in rather well-branched tips, while others penetrate to a depth of 4 feet or slightly beyond. A maximum depth of 4 feet 3 inches was recorded for several of these tiny, hairlike termini.</t>
  </si>
  <si>
    <t>"Fissures occur in the soil, extending to a depth of 2 or 3 feet. These have evidently been open cracks and the soil on the sides of them is much darker in color, having been washed down from the surface. It is in these crevices, where the moisture-content is somewhat higher, that grasses and other plants branch and rebranch so profusely."</t>
  </si>
  <si>
    <t>Muhlenbergia gracillima</t>
  </si>
  <si>
    <t>short grass</t>
  </si>
  <si>
    <t>run in all directions… abundantly supplied with short, much rebranched laterals. Many of these spread very widely laterally, branching and rebranching into both long and short termini, so that the surface 27 inches of soil is completely filled with a dense network of absorbing rootlets... By undercutting the face of the trench and working upward from a depth of 5 feet, several of these threadlike rootlets were encountered at a depth of 55 inches.</t>
  </si>
  <si>
    <t>half shrub</t>
  </si>
  <si>
    <t>half-shrub occurs throughout the plains region… a strong tap-root… 5 to 9 large laterals… The main root descends more or less vertically… the plant thus being well supplied with surface feeders. The large laterals frequently pursue a course nearly parallel with the surface of the soil at a depth of 2 to 5 inches Like the tap, they are profusely branched and rebranched with short, threadlike laterals... Several roots were traced to a depth of over 5 feet, while a few reached a maximum depth of 6 to 6.5 feet</t>
  </si>
  <si>
    <t>one of the important legumes throughout the plains… all had strong tap-roots… poorly branched… a plant was excavated and photographed which reached a depth of 12 feet 2 inches.</t>
  </si>
  <si>
    <t>Artemisia frigida</t>
  </si>
  <si>
    <t>fringed sagebrush, Mountain sage</t>
  </si>
  <si>
    <t>Near the mountains, in rocky or gravelly situations</t>
  </si>
  <si>
    <t>Mountain sage is a competitor of the plains grasses… Near the mountains, in rocky or gravelly situations, it frequently forms extensive societies… very abundant rootlets, 1 tmn. or less in diameter, which thoroughly fill the surface soil, branching and rebranching into threadlike termini and furnishing 'Artemisia, as is the case with so many plains plants, with a splendid surface absorbing system... It reached a depth of 7 feet 9 inches.</t>
  </si>
  <si>
    <t>Argemone platyceras</t>
  </si>
  <si>
    <t>wild poppy… it is more abundant in disturbed areas, often becoming ruderal… a strong tap-root… At about 8 feet a layer of moist sand was encountered and here some of the branches turned outward almost horizontally, extending 18 to 24 inches, where they ended. Other branches continued downward through moist sand to a maximum depth of over 12 feet, the last 10 to 12 inches of their length passing into a very moist sandy clay.</t>
  </si>
  <si>
    <t>Is it possible that the water table is not far below 12ft?</t>
  </si>
  <si>
    <t>Yucca glauca</t>
  </si>
  <si>
    <t>prickly poppy</t>
  </si>
  <si>
    <t>soapweed yucca</t>
  </si>
  <si>
    <t>widely distributed species, being especially abundant on dry, sandy, rocky slopes… each sent down a strong caudex 3 inches in diameter, but neither of them reached a depth greater than 18 inches. At this depth they branched and ran off laterally in a direction either parallel with or ascending toward the surface... Beginning at the very surface, the stems are supplied profusely with roots... A number of these horizontal roots were traced to a distance of 32 feet... The cortex is thick and fleshy and serves for water storage... it may be seen that these large plants absorb water and soil solutes over a very extensive area in direct competition with the grasses... very few Yucca roots below 2 feet. However, some do occur and penetrate to maximum depths of about 7 feet.</t>
  </si>
  <si>
    <t>dry, sandy, rocky slopes</t>
  </si>
  <si>
    <t>Agropyron glaucum</t>
  </si>
  <si>
    <t>Wheat grass</t>
  </si>
  <si>
    <t>in low ground near a ravine</t>
  </si>
  <si>
    <t>if at all abundant, is an indicator of favorable deep soil-moisture conditions… The plants here described were growing in low ground near a ravine… connected by stout, tough rhizomes… From the base of these clumps and from the rhizomes, which lie at a depth of about 1 inch, arise numerous short horizontal roots. These are profusely branched and rebranched to the third and fourth orders, the ultimate branches being almost microscopic in size, and thus furnishing a splendid surface absorbing system... maximum depth of over 7 feet... profusely branched...The roots have such an abundance of root hairs that the whole surface appears to be covered with wool.</t>
  </si>
  <si>
    <t>Pennsylvania sedge</t>
  </si>
  <si>
    <t>Carex pennsylvanica</t>
  </si>
  <si>
    <t>sedge</t>
  </si>
  <si>
    <t>The tufts are connected by coarse rhizomes, 2 to 10 inches long, at a depth of 1 to 3 inches… A few roots were traced to their delicate endings at a depth of 3 feet, while others occurred below the second foot. The chief absorbing area lies within the first and second feet of soil.</t>
  </si>
  <si>
    <t>Andropogon seoparius</t>
  </si>
  <si>
    <t>Little Bluestem</t>
  </si>
  <si>
    <t>rough topography and greater water penetration or to sandy soil</t>
  </si>
  <si>
    <t>often confined to slopes with a rough topography and greater water penetration or to sandy soil… The lateral spread of the roots is about 1 foot on each side of the plant and within 4 inches of the surface… while below and
inside of these at all angles to the vertical they are very abundant. The maximum depth for several roots was 6 feet. They are very abundant to a depth of 3.5 feet. The surface absorbing roots were especially well branched</t>
  </si>
  <si>
    <t>Stipa comata</t>
  </si>
  <si>
    <t>Needle and thread grass</t>
  </si>
  <si>
    <t>Lithospermum linearifolium</t>
  </si>
  <si>
    <t>narrowleaf stoneseed</t>
  </si>
  <si>
    <t>tap divide to two, and again, and again, one of these branches again branched and penetrated to the maximum depth of 10 feet, ending in hairlike termini… Throughout the lower 5.5 feet the roots were fairly well supplied tapwith short, attenuated branches 0.5 to 3 cm. long. Above this point shorter branches were few in number. Very little absorption took place in the first 4 feet of soil</t>
  </si>
  <si>
    <t>Beginning at the very surface of the soil, the main roots are clothed with relatively short but well-branched laterals, 2-20 mm. long. Thus the first 28 inches of soil are thoroughly occupied by the main roots… Even to a depth of 32 inches the soil is fairly well filled with much kinked and rebranched threadlike rootlets, while not a few reach a maximum depth of over 5 feet.</t>
  </si>
  <si>
    <t>interesting because of its xeroid-shoot habit… Each had a tap-root about 7mm. in diameter, which took an almost vertically downward course, in one plant penetrating to a depth of 5 feet 8 inches… ractically no small branches were given off and only very seldom did any branching at all occur.</t>
  </si>
  <si>
    <t>Aragallus lambertii</t>
  </si>
  <si>
    <t>characteristic of most legumes, Aragallus has a strong  tap-root. At the top this was 9 mm. in diameter and with a long gradual taper it penetrated the soil with a tortuous course almost vertically downward to a maximum depth of 8 feet.</t>
  </si>
  <si>
    <t>Petalostemon purpureus</t>
  </si>
  <si>
    <t>Purple Prairie Clover</t>
  </si>
  <si>
    <t>Their presence in the plains association is indicative of at least fairly good soil-moisture conditions… The tap-root descends vertically or runs off 6 to ·12 inches from this direction like the laterals, and tapers so rapidly that at a depth of 1 foot it is seldom more than 1 or 2 mm... Below this level, all the roots are more or less threadlike, branching profusely... another reached a depth of 6.5 ft.</t>
  </si>
  <si>
    <t>A group of more than 8 stems, all in blossom, arose from a woody tap-root 17 mm. in diameter... Several of the hairlike ultimate rootlets reached a depth of over 5 feet; the deepest one examined, that of the vertically descending tap, reached a maximum depth of over 5.5 feet... it may be seen that the white prairie-clover, in comparison with the purple prairie-clover, is not supplied with absorbing roots in the surface 18 inches of soil, but gets the bulk of its water and nutrients below this depth.</t>
  </si>
  <si>
    <t>Eriogonum jamesii</t>
  </si>
  <si>
    <t xml:space="preserve">James' buckwheat </t>
  </si>
  <si>
    <t xml:space="preserve">the thick woody root, 3 cm. in diameter, gave rise to a large number of prostrate stems which formed a mat… In the main, however, these roots as well as the tap had a vertically descending direction. They were very poor1y branched, rarely giving off small unbranched wirelike laterals. The roots were traced to a depth of 7 feet 3 inches where they were still 2 or 3 mm. in diameter, respectively, and they undoubtedly penetrated several feet further... </t>
  </si>
  <si>
    <t>Ratibida columnaris</t>
  </si>
  <si>
    <t>a strong tap-root… The first 4 or 5 inches is marked by an extraordinary number of horizontal branches; these extend out through the surface soil to a distance of 6-12 inches and are themselves profusely branched with small hairlike rootlets. The number of these primary horizontal branches is very large; one count showed approximately 13, while another showed about 40. Below 4 or 5 inches the root is seldom branched, what branches there are being hairlike. Near the end, however, the tap usually branches into two or three small, short ramifying parts.</t>
  </si>
  <si>
    <t>upright prairie coneflower, Mexican Hat</t>
  </si>
  <si>
    <t>Senecio aureus oblanceolatus</t>
  </si>
  <si>
    <t xml:space="preserve">golden ragwort </t>
  </si>
  <si>
    <t xml:space="preserve">The multiple roots are so finely divided as to be almost fibrous. The number originating from the crown varies from 15 to 30 or more. Some of these roots take a downward course from the crown, but many of them pass out at a slight angle from the surface to a distance of 4 to 12 inches. These roots then penetrate to a maximum depth of over 3 feet… </t>
  </si>
  <si>
    <t>Asclepias verticillata pumila</t>
  </si>
  <si>
    <t>dwarf milkweed</t>
  </si>
  <si>
    <t>generally distributed throughout the hard lands of the plains… stems are connected by an extensive underground system… At the points from which the aboveground stems take their origin, one or two roots were found which penetrated the soil, usually vertically but occasionally obliquely downward, following a tortuous course... The maximum penetration found was 46 inches (Fig.10 show 4')</t>
  </si>
  <si>
    <t>Opuntia camanchica</t>
  </si>
  <si>
    <t xml:space="preserve">tulip prickly pear </t>
  </si>
  <si>
    <t>cactus</t>
  </si>
  <si>
    <t>As is characteristic of the cacti in general, the root system consists of two distinct parts-a few vertically descending anchorage and deep absorptive roots, and a much more extensive and shallow surface absorbing system… 23 roots run off in the surface soil, usually at a depth of about an inch and seldom deeper than 3 inches, to distances varying from 6 inches to 6 feet... The deep anchorage and absorbing system of this plant consisted of 4 main roots, extended almost vertically downward, following a more or less irregular course through the hard soil, branching as shown in figure 21 and reaching a maximum depth of 35 inches.</t>
  </si>
  <si>
    <t>Opuntia fragilis</t>
  </si>
  <si>
    <t xml:space="preserve">brittle prickly pear </t>
  </si>
  <si>
    <t>This cactus has a distinctively shallow root system. On all sides roots extended out from the base of the plant, some having a lateral spread of 16 inches… penetrating to a depth of not more than 8 inches… These laterals were branched and rebranched to form exten!?ive tufts interspersed throughout the soil, the whole forming a most excellent system for surface absorption. Another plant gave a root depth of 15 inches.</t>
  </si>
  <si>
    <t>rain mostly in growing season</t>
  </si>
  <si>
    <t>25 miles southeast of Colorado Springs</t>
  </si>
  <si>
    <t>very compact and hard, light-colored loam intermixed with sand, moist sand layer 6-10'</t>
  </si>
  <si>
    <t>This note pertains to the entire cummnity - the Plains plants, or shortgrass prairie near Colorado Springs. Key features are (1) annual rainfall = 15", much drier than the tallgrass Prairies in E. Nebraska (16"), (2) most of the rain falls in the growing season, (3) compact and hard soil facvors high surface runoff and shallow rain penetration, (4) a profusion of shallow absorbing roots that capture the summer showers, (5) fewer plants penetrate to &gt;5" but some do reach 12', and (6) deep moist sand layers are reported in some places - is it possible that the water table is the cause?</t>
  </si>
  <si>
    <t>Sandhills Subclimax</t>
  </si>
  <si>
    <t>40mi SE Colorado Springs</t>
  </si>
  <si>
    <t>Near Prueblo, Colorado</t>
  </si>
  <si>
    <t>Redfieldia flexuosa</t>
  </si>
  <si>
    <t>blowout grass</t>
  </si>
  <si>
    <t>at home in the sandhills… most abundant and controlling species of blowout pioneers… often the only plant present… sparse and small clumps connected by very long, coarse, tough rhizomes,many feet in length and may be traced for 20 to 40 feet... From the nodes of these tough rhizomes, whorls of roots arise in addition to sharp-pointed buds... consist of 2 to 10 roots, but usually 3 to 5... The older roots, well branched to the very tips with much divided laterals 1 to 3 inches long, reach a maximum depth of 56 inches... not only run vertically downward, but also diverge at all angles  (Fig 23 shows absorbing roots at all depths!)</t>
  </si>
  <si>
    <t>dune sand</t>
  </si>
  <si>
    <t>Calamovilfa longifolia</t>
  </si>
  <si>
    <t xml:space="preserve">prairie sandreed </t>
  </si>
  <si>
    <t>on a small dune</t>
  </si>
  <si>
    <t>Andropogon hallii</t>
  </si>
  <si>
    <t>sand bluestem, sand hill bluestem</t>
  </si>
  <si>
    <t>on a partially captured sand-dune</t>
  </si>
  <si>
    <t>Successionally it occurs somewhat later than the preceding sandhill grasses… connected by an elaborate system of rhizomes lying at a depth of 2 to 6 inches. From the rhizomes many roots take their origin, some spread laterally, others penetrate almost vertically downward... maximum depth found was 27 inches... has an excellent soil-binding and absorbing system throughout the soil area of each bunch.</t>
  </si>
  <si>
    <t>Muhlenbergia pungens</t>
  </si>
  <si>
    <t xml:space="preserve">Sandhill muhly, wickiup grass </t>
  </si>
  <si>
    <t>Sporobolus cryptandrus</t>
  </si>
  <si>
    <t>sand dropseed</t>
  </si>
  <si>
    <t>Clusters of roots arise from short rootstocks… While some of the wirelike tough roots penetrate vertically downward to a maximum depth of 33 inches, others run off obliquely at all angles… below top level all roots are densely covered with multItudes of very fine absorbing laterals... wonderfully efficient root system, able to penetrate all portions of the sandy substratum to extract the available water</t>
  </si>
  <si>
    <t>on a half-captured blowout (depression)</t>
  </si>
  <si>
    <t>characterized by an extremely fine fibrous root system… On a single rhizome 40 of these main roots were counted… The maximum vertical depth of penetration found was 22 inches. From the point where the major divisions of the roots leave the rhizomes, they are covered with a dense growth of root-hairs which hold the sand firmly... actually threadlike</t>
  </si>
  <si>
    <t>Eriogonum microthecum</t>
  </si>
  <si>
    <t>slender buckwheat</t>
  </si>
  <si>
    <t>has a multicipital stem, which at a depth of 4 to 8 inches merges into a strong tap-root 0.5 to 1 inch in diameter. At a depth of 2 or 3 inches the tap-root begins to branch, and for a depth of 2.5 to 3 feet sends off an extraordinary absorbing system… pursue an almost horizontal course from a distance of a few inches to 2 feet and then turn almost vertically downward... At 6 feet the tap divided up into a group of 3 or 4 roots of almost the same size, which after diverging took the usual downward course and at a depth of 10 feet were 2 to 3 mm. in diameter. At this depth repeated caving of the sand made further digging dangerous</t>
  </si>
  <si>
    <t>Artemisia filifolia</t>
  </si>
  <si>
    <t>sand sagebrush, sand sage, sandhill sage</t>
  </si>
  <si>
    <t>a stabilized area near the sand-dune</t>
  </si>
  <si>
    <t xml:space="preserve">one of the most conspicuous plant… It is indicative of a light type of soil with considerable moisture penetration. It drops out in the more compact hard lands of the plains… The strong, vertically descending, woody tap-root tapered gradually and uniformly to a depth of 32 inches, at which point it broke up into 3 laterals, some traced to a depth of 9 feet, where they were still 4 mm. in diameter... </t>
  </si>
  <si>
    <t>Tradescantia virginiana</t>
  </si>
  <si>
    <t>Virginia spiderwort</t>
  </si>
  <si>
    <t>perennial herb</t>
  </si>
  <si>
    <t>evergreen, herb</t>
  </si>
  <si>
    <t>on a partially captured blowout</t>
  </si>
  <si>
    <t>a rather fleshy root system. As many as 18 of these fleshy roots were found arising from the base of a single stem; some passed down almost vertically to a maximum depth of 19 inches… The greater part of these fleshy roots formed a surface absorbing system which spread out in all directions... branches increasing in number toward the tips</t>
  </si>
  <si>
    <t>Heliotropium convolvulaceum</t>
  </si>
  <si>
    <t>Phlox heliotrope</t>
  </si>
  <si>
    <t>on rims of blowouts</t>
  </si>
  <si>
    <t>characterized by a small tap-root, seldom over 2 or 3 mm. in diameter, which maintains its dominance in spite of the abundant laterals and reaches depths of 18 to 25 inches… the lack of abundant branches, such as occur in many grasses and dicotyledons, is offset by the delicacy of the root system, all parts of which are efficient absorbers</t>
  </si>
  <si>
    <t>Petalostemon villosus</t>
  </si>
  <si>
    <t>blowouts</t>
  </si>
  <si>
    <t>a pioneer in the blowouts… all had strong tap-roots, about 1 cm. in diameter, a much-branched root system, and a root penetration of 4 or 5 feet… numerous surface laterals with their large nodules, their wide lateral spread, sometimes to a distance of 2.5 feet, as well as the abundant system of well-branched absorbing laterals.</t>
  </si>
  <si>
    <t>Gilia longiflora</t>
  </si>
  <si>
    <t>white-flowered gilia</t>
  </si>
  <si>
    <t>on a well-covered sandhill</t>
  </si>
  <si>
    <t>started with a strong tap-root, penetrates almost vertically downward, tapering rapidly until, at a point 6 inches… where it tapers more gradually, pursuing a kinky and tortuous course downward through the sandy soil to a maximum depth of 40 to 50 inches... a remarkable number of large and small laterals thrown off within the first 2 to 10 inches of soil... although an annual, the absorptive system is characteristic of most of the species found in the sandhills.</t>
  </si>
  <si>
    <t>Euphorbia petaloidea</t>
  </si>
  <si>
    <t>a sandhill pioneer… root system begins with a strong, smooth taproot… penetrates almost vertically downward… Beginning at a depth of 2 to 3 inches, it sends off multitudes of fine fibrous roots which are much branched and penetrate the soil on all sides... The laterals are much branched andrebranched, and together with the finer rootlets form an effective absorbing system... penetrating to a depth of 26 inches or more</t>
  </si>
  <si>
    <t>Psoralea lanceolata</t>
  </si>
  <si>
    <t>lemon scurfpea, lanceleaf scurfpea</t>
  </si>
  <si>
    <t>Its underground parts eminently fit it to succeed in a habitat where the ground-line is constantly lowered by wind erosion or built up by the same agency… connected by a more or less horizontal system of rhizomes… rather vertically descending roots occur, many of which reach a depth of 8 or 9 feet... The main system of branches begins in the fourth foot of soil and extends to the 8 or 9-foot level. This consists of both large and small wide-spreading and wellbranched rootlets... One large tap-root was traced to a depth of
over 9 feet, where it still maintained a diameter of 4 mm</t>
  </si>
  <si>
    <t>Ipomoea leptophylla</t>
  </si>
  <si>
    <t>bush morning glory, bush moonflower, manroot</t>
  </si>
  <si>
    <t>a common plant in the sandhills… The multicipital stem arose from strong tap-roots 2.5 inches in diameter. At a depth of 9 inches the taps became greatly enlarged, reaching a diameter of 6 to 8 inches… Below this point the tap lost its dominance, breaking up into large numbers of deeply penetrating and widely spreading branches... The lateral spread was enormous, the roots running off to distances of 15 to 25 feet or more... the surface foot of soil as well as the 10 feet below it were literally filled with the glistening white, brittle branches of this remarkable root system... a depth of 5 feet is well shown... judging from their diameters of 2 to 4 mm. at this level and the nature of the other roots examined, it is highly probable that they penetrated many feet deeper. The enlarged portion of the tap-root not only furnishes an enormous reservoir for food, but also a storehouse of water upon which the plant may draw during a period of drought.</t>
  </si>
  <si>
    <t>water storing root</t>
  </si>
  <si>
    <t>this pertains to the Sandhills community north of Puebalo.   USDA soil texture map is used to locate the area of sandy-loam 40mi SE of Colorado Springs; A photo in the area on Google Earth show sand dunes with sparse vegetation.  Author notes that climate identical to the Plains community above, but soils are sandy here.                                                                                                                               Author notes: Indeed, it will be shown later that Stipa comata, BouteZ.()ua gracilis, and Chrysopsis viZlosa, all rather deep-rooted plains species, become rather shallow-rooted under sandhill conditions. Among the grasses the rhizome habit is extremely well-developed, while long, rather horizontal, shallow laterals are characteristic of most of the plants examined. In this soft substratum such a root habit can not be attributed to the mechanical difficulty of penetration, but seems closely related to the water-supply.</t>
  </si>
  <si>
    <t>The sand-reed is also an efficient sand-binder… forms a veritable mat of roots and rhizomes to a depth of 34 inches… has a great abundance of tough, wiry, and much-branched rhizomes, which form an underground network connecting the apparently isolated plants... the network at all depth to 3 feet... From these rhizomes originate multitudes of tough, wiry roots, which penetrate the soil in all directions... taper gradually and many reach a maximum depth of 55 to 60 inches.. the roots completely fill the soil and bind it so thoroughly that a vertical face of a trench 6 feet long and nearly as deep held tenaciously without caving, even after it was somewhat undercut at the base.</t>
  </si>
  <si>
    <t>this pertains to the Sandhills community: Author notes: As soon as the storm passes, evaporation dries out the surface sand with great rapidity, but to a slight depth only. This surface layer of dry sand forms an excellent mulch, which has a wonderfully retarding effect upon further evaporation... the soil was rather uniformly moist to a depth of 6 feet... It seems certain that under the normal light rainfall the surface soils from 4 to 36 inches would contain the most moisture... The deeper soils, once wetted, would dry out very slowly, because of the relatively small number of plants drawing their water-supply from them.</t>
  </si>
  <si>
    <t>Krynitzkia virgata</t>
  </si>
  <si>
    <t>near Pike's Peak, Colorado</t>
  </si>
  <si>
    <t>Gravel-slide community</t>
  </si>
  <si>
    <t>Virgate mountain nut</t>
  </si>
  <si>
    <t>on gravelly slope</t>
  </si>
  <si>
    <t>gravel</t>
  </si>
  <si>
    <t>a principal species of the gravel-slide community… a tap-root 4 to 9 mm. in diameter, which reaches depths varying from 20 to 30 inches… pursues a rather vertically downward course… often flattened and kinked where it forces its way through the crevices of the semi-decomposed rock... 2 to 3 large brances... branched freely and ran off in a direction nearly parallel with the surface for about 15 to 20 inches, ending in a network of well-branched rootlets... Other smaller branches arise from the tap in great abundance... only a few centimeters long, but well-branched and densely covered with root hairs.</t>
  </si>
  <si>
    <t>Paronychia jamesii</t>
  </si>
  <si>
    <t>James' nailwort</t>
  </si>
  <si>
    <t>a tap-root about 5 mm. in diameter… breaks up into several larger laterals, usually 3 to 5, and a great number of smaller ones… branching repeatedly… and being abundantly supplied with minute, absorbing rootlets… the whole forming a wonderfully efficient absorbing system. Compared with the transpiring surface the root system is very well developed... penetrate no greater depth than 30 inches.</t>
  </si>
  <si>
    <t>Aletes acaulis</t>
  </si>
  <si>
    <t xml:space="preserve">Stemless indian parsley </t>
  </si>
  <si>
    <t>dominant of the gravel-slide, often being more abundant and conspicuous than all other plants combined… From the large tap-root arises a large number of stems... numerous laterals... giving off numerous branches, both large and small, each of which, after branching profusely, ended in a network of tiny, much-branched laterals... They followed the crevices of the rocks and none reached a depth greater than 30 inches... A single plant thus lays hold of the surface soil to a depth of 18 inches or more within a radius of 4 or 5 feet from its base.</t>
  </si>
  <si>
    <t>Apocynum androsremifolium</t>
  </si>
  <si>
    <t>Fly-trap dogbane, Spreading dogbane</t>
  </si>
  <si>
    <t>often forming families… The vertical portions arising from the horizontal rootstock are 2 to 5 mm. in diameter. From these originate groups of 2 to 5 erect stems… The vertically ascending parts seldom have large branches, but are well clothed with abundant laterals... divide and subdivide into many branch orders, forming brushlike mats... they completely occupy the soil from a depth of 2 inches to a maximum depth 4 feet.</t>
  </si>
  <si>
    <t>Smilacina stellata</t>
  </si>
  <si>
    <t>star-flowered (or starry, or little) false Solomon's seal</t>
  </si>
  <si>
    <t>steep gravel slopes</t>
  </si>
  <si>
    <t>Stout stems arise at intervals from the stout horizontal rhizomes, some at depth of 30 inches...The rhizomes are much branched,frequently at right angles, a single system connecting a whole family of plants through a distance of 7 or 8 feet or more. These rhizomes furnish not only an excellent means for propagation, but also storage organs for these herbaceous perennials... rhizomes are uniformly covered on all sides with rootlets... larger branch roots arise at frequent intervals... penetrate the soil to a maximum depth of 44 inches.</t>
  </si>
  <si>
    <t>Pachylophus caespitosus</t>
  </si>
  <si>
    <t>connected by rhizomes… from which arise roots none reach a depth greater than 45 inches... The main laterals are well supplied with rootlets and the soil is quite filled with them to a depth of 6 to 36 inches.</t>
  </si>
  <si>
    <t>Thlaspi alpestre</t>
  </si>
  <si>
    <t>Alpine Pennycress, Pennygrass</t>
  </si>
  <si>
    <t>abundant but rather inconspicuous, being low… tap root branches below 2" in abundance… branching repeatedly in such a manner as to form a delicate mass of rootlets, the ultimate termini being minute…the depth seldom exceeds 15 inches</t>
  </si>
  <si>
    <t>Mentzelia multiflora</t>
  </si>
  <si>
    <t>Adonis blazingstar</t>
  </si>
  <si>
    <t xml:space="preserve">a dominant, tap roots penetrates 2-5" before sending out large laterals, shallow, parallel to surface, repeatedly branched, the fine rootlets ending in hairlike extremities… tap-root takes an almost vertically downward course, except where it follows for a time the crevices in the rocky soil, and penetrates to a maximum depth of about 22 inches... smaller branches of both the laterals and the tap are profusely covered with a fine growth of root-hairs... well adapted to get the water falling during the frequent mountain showers and thrive under conditions where most plants could not grow... </t>
  </si>
  <si>
    <r>
      <t>steep gravel slope (45</t>
    </r>
    <r>
      <rPr>
        <vertAlign val="superscript"/>
        <sz val="9"/>
        <color theme="1"/>
        <rFont val="Calibri"/>
        <family val="2"/>
        <scheme val="minor"/>
      </rPr>
      <t>o</t>
    </r>
    <r>
      <rPr>
        <sz val="9"/>
        <color theme="1"/>
        <rFont val="Calibri"/>
        <family val="2"/>
        <scheme val="minor"/>
      </rPr>
      <t>)</t>
    </r>
  </si>
  <si>
    <r>
      <t>steep gravel slope (30</t>
    </r>
    <r>
      <rPr>
        <vertAlign val="superscript"/>
        <sz val="9"/>
        <color theme="1"/>
        <rFont val="Calibri"/>
        <family val="2"/>
        <scheme val="minor"/>
      </rPr>
      <t>o</t>
    </r>
    <r>
      <rPr>
        <sz val="9"/>
        <color theme="1"/>
        <rFont val="Calibri"/>
        <family val="2"/>
        <scheme val="minor"/>
      </rPr>
      <t>)</t>
    </r>
  </si>
  <si>
    <t>Eriogonum flavum</t>
  </si>
  <si>
    <t>alpine golden buckwheat</t>
  </si>
  <si>
    <t>a strong woody tap-root, tapered within a length of 6 inches to only 3 mm, here it gave off 2 laterals, ran off laterally for about 2 feet at a depth of 3 to 7 inches... enormous number of smaller profusely branched laterals arose, forming a dense absorbing network about the plant for 18" radius... extraordinarily well-branched and rebranched and were very dense... The maximum depth recorded was 39 inches</t>
  </si>
  <si>
    <t>decomposed granite</t>
  </si>
  <si>
    <t>frequent summer shaowers</t>
  </si>
  <si>
    <t>254mm Jun-Aug</t>
  </si>
  <si>
    <t>this pertains to the gravel-slide community:   at an altitude of about 8,000 feet in the Pike's Peak region of the Rocky Mountains... a shallow, widely spreading root system confined largely to the first 18"... The lack of depth is compensated by a remarkably wide lateral extent combined with a profound system of branching... The gravel-slide soils consist of a superficial layer of coarse angular rock fragments varying in size from over an inch to a few milimeters in diameter. Except during rains this surface layer is very dry. The slope is so steep that there is often a constant moyement of the rock particles... Most of the plant tops have slipped down the slope 2-8" inches. This surface layer is very efficient in preventing run-off, as well as in forming a dry mulch and thus protecting the underlying soil from high evaporation... The roots show a marked tendency to follow the cleavage planes of the rock... Seventeen showers, varying in intensity from 0.1 to 1.85 inches, occurred from June 21 to August 28, 1918, while the total rainfall during the period was over 10 inches.</t>
  </si>
  <si>
    <t>Half Graval-slide community</t>
  </si>
  <si>
    <t>Elymus triticoides</t>
  </si>
  <si>
    <t>creeping wild rye, beardless wild rye</t>
  </si>
  <si>
    <t>Pike's Peak area, 8000ft</t>
  </si>
  <si>
    <t>Pike's Peak area, 7000ft</t>
  </si>
  <si>
    <t>The roots were densely matted… soil to a depth of 15 or 18 inches was completely filled with a dense network of roots. The larger ones penetrated to a maximum depth of 46 inches… All of these deeply penetrating roots were, like the others, extremely well branched to the third and fourth order and ramified throughout the crevices of the gravel</t>
  </si>
  <si>
    <t>Solidago oreophila</t>
  </si>
  <si>
    <t>Mountain Goldenrod</t>
  </si>
  <si>
    <t>clusters of stems connected by short rhizomes, thus forming a clump… From the base arise great numbers of fibrous roots… vertically descending roots send off laterals… become more and more profusely branched, finally terminating in great clusters of hairlike, minutely branched ends... the deepest roots may penetrate to a distance of 30 to 38 inches</t>
  </si>
  <si>
    <t>Rubus deliciosus</t>
  </si>
  <si>
    <t>boulder raspberry, delicious raspberry</t>
  </si>
  <si>
    <t>it forms the transition stage to for… a tap-root 15 mm. ill diameter… large laterals… The maximum depth did not exceed 36 inches.</t>
  </si>
  <si>
    <t>Besseya plantaginea</t>
  </si>
  <si>
    <t xml:space="preserve">White river coraldrops </t>
  </si>
  <si>
    <t>base of the plant and rhizomes are densely covered with fleshy roots about 2 mm. in diameter. As many as 30 to 40 of these roots occur on a single inch of the rhizome. Many of them pursue a vertically downward course and end at a maximum depth of from
25 to 30 inches...the soil within a radius of at least a foot and at a depth of from 20 to 30 inches (except the surface 2 inches) is rather completely filled with absorbing rootlets of this fleshy perennial... excellent illustration of a transitional forin between the gravel-slide type and that of ordinary soil.</t>
  </si>
  <si>
    <t>Geranium caespitosum</t>
  </si>
  <si>
    <t>purple cluster geranium, pineywoods geranium</t>
  </si>
  <si>
    <t>none of the branches reaching depths of more than 37 inches… root habit of forming large mats of fine rootlets, not only at the ends of the larger branches but also at the extremities of the numerous smaller ones.</t>
  </si>
  <si>
    <t>Calamagrostis purpurascens</t>
  </si>
  <si>
    <t xml:space="preserve">purple reedgrass, purple pinegrass, alpine reedgrass </t>
  </si>
  <si>
    <t>From the base of the clumps almost countless numbers of rather tough fibrous roots arose… ran out in all directions like the radii in a half sphere… soil was well filled with those that extended vertically and slightly obliquely to a depth of 18 or 20 inches, few of the longer roots reaching depths of 32 inches</t>
  </si>
  <si>
    <t>Kaeleria cristata</t>
  </si>
  <si>
    <t>prairie Junegrass</t>
  </si>
  <si>
    <t>an extremely fibrous root system… At a depth of 1 to 4 inches many of these run off parallel with the surface to a maximum distance of 12 inches. These are branched and rebranched to the third and fourth order, the ultimate termini being almost microscopic in size</t>
  </si>
  <si>
    <t>Gilla aggregata</t>
  </si>
  <si>
    <t>scarlet gilia, scarlet trumpet, skyrocket</t>
  </si>
  <si>
    <t>large tap-root… The laterals are mostly wide-spreading… Like most plants of this habitat the root system is not deep. No Gilia roots were found below the 28-inch level</t>
  </si>
  <si>
    <t>temperate deciduous forest</t>
  </si>
  <si>
    <t>Netherland</t>
  </si>
  <si>
    <t>Hardenberg</t>
  </si>
  <si>
    <t>Ulvenhout</t>
  </si>
  <si>
    <t>Staphorst</t>
  </si>
  <si>
    <t>Wieringermeer</t>
  </si>
  <si>
    <t>De Boom</t>
  </si>
  <si>
    <t>Oosterbaan &amp; Nabuurs, 1991</t>
  </si>
  <si>
    <t>pedunculate oak</t>
  </si>
  <si>
    <t>Quercus robur</t>
  </si>
  <si>
    <t>reclaimed peatland</t>
  </si>
  <si>
    <t>0.8 - 1.9</t>
  </si>
  <si>
    <t>0.4 - 1.9</t>
  </si>
  <si>
    <t>0.25 - 1.9</t>
  </si>
  <si>
    <t>0.2 - 1.8</t>
  </si>
  <si>
    <t>0.2 - 1.2</t>
  </si>
  <si>
    <t>Reclaimcd peat soil with sandy topsoil</t>
  </si>
  <si>
    <t>Moist humus podsol soil</t>
  </si>
  <si>
    <t>Moist, moderately acid soil with gley and dark topsoil</t>
  </si>
  <si>
    <t>Unhealthy oak trees were found to be most prevalent on sites with a high groundwater level (i.e. &lt; 40cm below the surface) in the spring… At the 5 locations several common tendencies can be found. In the first place depth of the root system is closely related to groundwater class, as Figure 4 illustrates. On wet soils (groundwater class Ill or V) the root systems are 30- 40cm shallower than on the drier soils of groundwater class VI .</t>
  </si>
  <si>
    <t>root depth data taken from Fig. 4; lat-lon approximate from Fig.1 and Google Earth</t>
  </si>
  <si>
    <t>Pereira and Hosegood, 1962</t>
  </si>
  <si>
    <t>grass savanna</t>
  </si>
  <si>
    <t>Kinale, Kanya</t>
  </si>
  <si>
    <t>Monterey Pine</t>
  </si>
  <si>
    <t>Pinus Radiata</t>
  </si>
  <si>
    <t>Monterey cypress</t>
  </si>
  <si>
    <t>Cupresses macrocarpa</t>
  </si>
  <si>
    <t xml:space="preserve">African Mountain Bamboo </t>
  </si>
  <si>
    <t>Arundinaria alpina</t>
  </si>
  <si>
    <t>native bamboo forest</t>
  </si>
  <si>
    <t>level, no surface runoff</t>
  </si>
  <si>
    <t>sandy loam, clay, high-perm sandy clay</t>
  </si>
  <si>
    <t>root depth data take from fig 1.</t>
  </si>
  <si>
    <t>Phillips, 1963</t>
  </si>
  <si>
    <t>slopes of the Sierrita Mountains</t>
  </si>
  <si>
    <t>Sonoran Desert</t>
  </si>
  <si>
    <t>near Tucson, Arizona</t>
  </si>
  <si>
    <t>mesquite</t>
  </si>
  <si>
    <t>Prosopis juliflora</t>
  </si>
  <si>
    <t>lower hill</t>
  </si>
  <si>
    <t>root found in open mine pit, with all vegetation already stripped… Between layers of much harder fill at the 175-foot level numerous roots were found protruding from a gravel bed 100 yards long and 6 inches to 2 feet in thickness. Roots protruded from at least 25 places on the exposed surface of the mine cut. About 25 feet of root material, 1/4-1/2 inch in diameter, was collected and examined. The soil near the roots was extremely dry but the roots felt damp and were very limber.</t>
  </si>
  <si>
    <t>a mine pit closest to vegetation in the south and with the appearance of old, abandoned minr pit was chosen. The southeast rim, the lowest spot along the rim, is taken (aftern the figure).</t>
  </si>
  <si>
    <t>Pinheiro et al., 2013</t>
  </si>
  <si>
    <t>roots in gravel between layers of harder fill</t>
  </si>
  <si>
    <t>Aiuaba, Brazil</t>
  </si>
  <si>
    <t>Caatinga (Savanna)</t>
  </si>
  <si>
    <t>soil-veg-assoc-1</t>
  </si>
  <si>
    <t>SVA-2</t>
  </si>
  <si>
    <t>SVA-3</t>
  </si>
  <si>
    <t>catingueira</t>
  </si>
  <si>
    <t>Caesalpinia pyramidalis</t>
  </si>
  <si>
    <t>Piptadenia obliqua</t>
  </si>
  <si>
    <t>Mimosa</t>
  </si>
  <si>
    <t>Mimosa tenuiflora</t>
  </si>
  <si>
    <t>0.67 - 0.78</t>
  </si>
  <si>
    <t>0.60 - 0.67</t>
  </si>
  <si>
    <t>70% in Feb-Apr</t>
  </si>
  <si>
    <t>1-2.5</t>
  </si>
  <si>
    <t>0.8-2.5</t>
  </si>
  <si>
    <t>Acrisol</t>
  </si>
  <si>
    <t>Luvisol</t>
  </si>
  <si>
    <t>Regosol</t>
  </si>
  <si>
    <t>crystaline-sedimentary transition</t>
  </si>
  <si>
    <t>effective depth reported: 90% root area on 1x1m walls; elevation from Google Earth</t>
  </si>
  <si>
    <t>The results showed that the effective depth of the Caatinga roots range from 0.60 m to 0.78 m in non-restrictive deep soils, three times smaller than values commonly used in hydrological models. Vegetation adapted to shallow soils, presenting effective root depth as low as 0.36 m... It was also observed that the root depth in the dry season is, on average, 10 cm shorter than that of the rainy season</t>
  </si>
  <si>
    <t>Pulling, 1918</t>
  </si>
  <si>
    <t>Minitoba (Canada) and N. Wisconsin</t>
  </si>
  <si>
    <t>Brule River Site</t>
  </si>
  <si>
    <t>shore of Witchai lake</t>
  </si>
  <si>
    <t>Split Lake island, a different spot</t>
  </si>
  <si>
    <t>Island at entrance of Nelson to Split Lake</t>
  </si>
  <si>
    <t>Hill overlooking portage over Grand Rapids in Nelson River</t>
  </si>
  <si>
    <t>Picea Canadensis</t>
  </si>
  <si>
    <t>willow</t>
  </si>
  <si>
    <t>Tamarack</t>
  </si>
  <si>
    <t>Larix Americana</t>
  </si>
  <si>
    <t>Canoe birch</t>
  </si>
  <si>
    <t>Betula papyrifera</t>
  </si>
  <si>
    <t>balsam poplar</t>
  </si>
  <si>
    <t>Populus balsamifera</t>
  </si>
  <si>
    <t>white pine</t>
  </si>
  <si>
    <t>Pinus strobus</t>
  </si>
  <si>
    <t>Salix sp.</t>
  </si>
  <si>
    <t>deep sandy soil</t>
  </si>
  <si>
    <t>deep, thawed soil</t>
  </si>
  <si>
    <t>fairly deep soil with the frost line nearly two meters below the surface</t>
  </si>
  <si>
    <t>deep soil on a slope</t>
  </si>
  <si>
    <t>frozen at 170cm depth</t>
  </si>
  <si>
    <t>moss/leaf mold (6cm), brown clay (25cm) flocculated and very dry except in the upper 5cm, heavy clay at 1.5m, solidly frozen at 1.7m</t>
  </si>
  <si>
    <t>The particular plant figured was found in the deep, sandy soil near the Brule river in northern Wisconsin, a situation favoring deep root formation… (still the roots are shallow)... Black spruce also grows on rocks so nearly bare that the trunks are only kept upright by the mutual interlacing of roots of neighboring trees... Black spruce has a shallower root system than white spruce and grows in soils too shallow to support white spruce.</t>
  </si>
  <si>
    <t>Jack pine -2, also figured practically complete, was found on the Brule river in deep sand and shows no noteworthy difference from (1) with the exception that no laterals grew parallel to the main root.</t>
  </si>
  <si>
    <t>in its root habit, essentially like black spruce and like the spruce does not appear to vary the habit with changes in the depth of the soil. The tree from which the figure was taken was growing on the hill near the Grand Rapid's portage on the Nelson river, in deep, thawed soil... It grows in low regions with frozen soil a few centimeters below the surface, as does the black spruce.</t>
  </si>
  <si>
    <t>is apparently another shallow rooted plant. The one figured was found on the shore of Witchai lake (about 55°54'N. lat., 96°50' W.long.) in fairly deep soil with the frost line nearly two meters below the surface… Characteristically the roots are almost bare of small roots except near their tips.</t>
  </si>
  <si>
    <t>has apparently a more flexible root habit. The plant figured as (1) was found in the deep soil on the slope of the large island in Split lake, mentioned above… It would seem that the root habit of white spruce should be classed as rather flexible, for it is very shallow rooted in thin soils... 
This tree (tree 2) was about seventy years old and was found on a large island in Split lake near the Hudson Bay Company's post.</t>
  </si>
  <si>
    <t>maintains several trees on the same general root system... These roots penetrate a short distance vertically and then send horizontal branches which sooner or later repeat the process until impenetrable soil is  reached. These roots are often found very close to the frost line.  It would seem, from the general appearance and the habitats that this root system is a more or less flexible one, but one that can never live in such shallow soils as the white spruce can thrive in.</t>
  </si>
  <si>
    <t xml:space="preserve"> is essentially a deep rooted form. Its tap root penetrates vertically with few far-reaching laterals. Another feature that seems to be noteworthy is the characteristic bunching of the roots so that but a small horizontal area is covered. It may be this characteristic that prevents its establishment in dry soils where a germinating seed is dependent upon surface water. This individual was taken in the deep, sandy soil near the Brule river.</t>
  </si>
  <si>
    <t>For comparison, the root systems of the same species were also investigated in a deep (several hundred feet) sandy soil in the neighborhood of the Brule river near the south shore of Lake Superior in Douglas County, Wisconsin. .. This tree is the common inhabitant of the mlskegs. It is very shallow rooted even when growing in deep soil… In this soil the black spruce roots were not found below 7 cm. although willow and white spruce roots were found at a depth of 80 cm.. (3) The roots do not penetrate deeper because of its low oxygen content. ( 4) They do not penetrate it because the shallow root-habit is inflexible. Considering these briefly it may be stated that the last is the most probable because (1) black spruce is shallow rooted in a well aerated, sandy soil which is more moist below the roots than about them (Brule river region).</t>
  </si>
  <si>
    <t>Jack pine -1  is a decided contrast to black spruce. It is found on drier soils, deeper soils and often appears after a fire on soil that later supports white spruce… The long, horizontal, surface roots, coupled with the deep tap root may indicate that the plant is able to utilize both surface and deepor water supplies... Jack pine appears to be fairly plentiful in the rolling, deepsoil country in the bed of Lake Agassiz and rather rare eastward and northward; which may be due to the extreme shallowness of the soils outside this lake bed.</t>
  </si>
  <si>
    <t>It appears that black roots have shallow rooting habits that are rather rigid. They are shallow even on deep soils…</t>
  </si>
  <si>
    <t>"The individual represented in figure 1, of which practically all the roots are shown, was found on the high hill overlooking the portage of the Grand Rapids of the Nelson river (about 56°10'N lat and 96°30'W long)"</t>
  </si>
  <si>
    <t>It appears that jack pine prefers deep soil, but can survive in shallow soil habitats (atuhor mentined shallow soils on rocks, although rare)</t>
  </si>
  <si>
    <t>well drained slope with a south exposure</t>
  </si>
  <si>
    <t>"on a well drained slope with a south exposure, situated on a large island at the entrance of the Nelson river into Split lake (about 56°23'N lat. and 96°25'W long.) the soil was not frozen above a depth of 170 cm"</t>
  </si>
  <si>
    <t>location not given, assumed to be at the Nelson river island site</t>
  </si>
  <si>
    <t xml:space="preserve">this is tree 2 in figure 1… </t>
  </si>
  <si>
    <t>lat-lon moved closer to the lake</t>
  </si>
  <si>
    <t>Ram et al., 2007</t>
  </si>
  <si>
    <t>NE India</t>
  </si>
  <si>
    <t>Plantation-1</t>
  </si>
  <si>
    <t>Mysure gum</t>
  </si>
  <si>
    <t>Eucalyptus tereticornis</t>
  </si>
  <si>
    <t xml:space="preserve">deciduous broad-leaf </t>
  </si>
  <si>
    <t>alluvial sandy loam, with calcareous concretion in sub-soil</t>
  </si>
  <si>
    <t>flat alluvial plain</t>
  </si>
  <si>
    <t>To see the depth up to which Eucalyptus roots have penetrated in the soil profile, an open well of 3 m diameter and 5 m depth was manually dug up near a representative Eucalyptus tree of plantation-I in May 2006 and photographed in June 2006...The g.w.t. and a sinker root (of a 20-year-old Eucalyptus tree) above the g.w.t. in a dug up open well was as shown in Fig. 11, which clearly indicated that the sinker root reached up to a depth of 4.40 m below the ground level.</t>
  </si>
  <si>
    <t>plantations easily found on Google Earth with exact layout as Fig.2. The paper gave WTD obs. For the global compilation.</t>
  </si>
  <si>
    <t>80% in Jul-Sep (monsoon)</t>
  </si>
  <si>
    <t>Ray and Schweizer, 1994</t>
  </si>
  <si>
    <t>temperate mixed forest</t>
  </si>
  <si>
    <t>Scotland</t>
  </si>
  <si>
    <t>site 3</t>
  </si>
  <si>
    <t>site 10</t>
  </si>
  <si>
    <t>deep blanket peat</t>
  </si>
  <si>
    <t>flat and level</t>
  </si>
  <si>
    <t>The maximum rooting depth at each site was often considerably less than the borehole water level, and was probably influenced by shallow water levels during periods of the year wetter than those at the time of measurement... Roots were found mainly near the surface... Figures 3-5 are similar in that each shows a steep gradient of oxygen concentration from the ground surface to values of 6-10% at 50 em depth. The 50 em deep boundary between the steep gradient above and the gentle gradient below is approximately coincident with the position of the watertable.</t>
  </si>
  <si>
    <t xml:space="preserve">Bad a Cheo, experimental plantation planted in 1968 on deep blanket peat within Rumster Forest, Caithness, Scotland, (National Grid Reference NO 168503). </t>
  </si>
  <si>
    <t>Ray and Nicoll, 1998</t>
  </si>
  <si>
    <t>NE Cumbria, UK</t>
  </si>
  <si>
    <t>deep-phase peaty glay site</t>
  </si>
  <si>
    <t>shallow-phase peaty gley site</t>
  </si>
  <si>
    <t>surface water gley site</t>
  </si>
  <si>
    <t>peaty glay on glacial till</t>
  </si>
  <si>
    <t>artifitial ditches-mounds, trees planted on mounds; drained with 0.3m deep 3.6m apart, ditches</t>
  </si>
  <si>
    <t>lat-lon not right: "(200-245 m altitude, latitude 55°66'N, longitude 2°47'W). On Google, "Kershope Forest" is at ~55°06'N=55.1N, 2.7833W</t>
  </si>
  <si>
    <t xml:space="preserve">The experiment was located at Crookburn in Kershope forest, north-east Cumbria, UK... Rooting depth corresponded with, but was slightly deeper than, the winter water table… (other studies by the same authors have noted that winter water table is higher than the rest of the year, suggesting that roots are surviving temprary water-logging). </t>
  </si>
  <si>
    <t>Raz-Yaseef et al., 2013</t>
  </si>
  <si>
    <t xml:space="preserve"> near Sacramento, California</t>
  </si>
  <si>
    <t>blue oak</t>
  </si>
  <si>
    <t>Quercus douglasii</t>
  </si>
  <si>
    <t>3.0 - 10.5</t>
  </si>
  <si>
    <t>foothills of Sierra Nevada</t>
  </si>
  <si>
    <t>coarse roots only, detected with GPR; lat-lon given is wrong - should be in DD</t>
  </si>
  <si>
    <t>Richter and Markewitz, 1995</t>
  </si>
  <si>
    <t>Water uptake from groundwater helps explain the incongruity of tree growth with soil water availability in this ecosystem. Roots growing in bedrock cracks are observed at open cleavages in this region, and evidence for groundwater uptake by blue oaks was  obtained by tracer studies for a nearby site.</t>
  </si>
  <si>
    <t>slate and schist</t>
  </si>
  <si>
    <t>most rain in winter</t>
  </si>
  <si>
    <t>piedmont-coastal plains of S. Carolina</t>
  </si>
  <si>
    <t>Calhoun Experimental Forest</t>
  </si>
  <si>
    <t>restored forest</t>
  </si>
  <si>
    <t>loblolly pine</t>
  </si>
  <si>
    <t>Pinus taeda</t>
  </si>
  <si>
    <t xml:space="preserve">deeply rooted, with pine roots observed at 4-meter depths. The hydrologic rooting depth of the current pine ecosystem exceeds 3 m, based on pronounced seasonality of soil water depletion and recharge at this depth.... </t>
  </si>
  <si>
    <t>lat-lon determined from Google Earth search for Calhoune Experimental Forest, SC; a dense pine stand near the office grounds is chosen, which is on well drained high grounds</t>
  </si>
  <si>
    <t>on well drained high grounds</t>
  </si>
  <si>
    <t>O and A on sandy E on clayey B horizon</t>
  </si>
  <si>
    <t>Rood et al., 2011</t>
  </si>
  <si>
    <t>Elk River</t>
  </si>
  <si>
    <t>St. Mary River</t>
  </si>
  <si>
    <t>Bow River</t>
  </si>
  <si>
    <t>Oldman</t>
  </si>
  <si>
    <t>Waterton</t>
  </si>
  <si>
    <t>Castle River</t>
  </si>
  <si>
    <t>riparian forest</t>
  </si>
  <si>
    <t>black cottonwood</t>
  </si>
  <si>
    <t>Populus trichocarpa</t>
  </si>
  <si>
    <t>prairie cottonwood</t>
  </si>
  <si>
    <t>trembling aspen</t>
  </si>
  <si>
    <t>narrowleaf cottonwood</t>
  </si>
  <si>
    <t>Populus angustifolia</t>
  </si>
  <si>
    <t>narrowleaf cottonwood / black cottonwood</t>
  </si>
  <si>
    <t>Populus angustifolia / Populus trichocarpa</t>
  </si>
  <si>
    <t>British Columbia and Alberta, Canada</t>
  </si>
  <si>
    <t>eastern slope of Rockies, BC</t>
  </si>
  <si>
    <t>out on the Priare in Alberta</t>
  </si>
  <si>
    <t>in the Potholes region of Alberta</t>
  </si>
  <si>
    <t>just out of the mountains</t>
  </si>
  <si>
    <t>The floodplain forests were dominated by cottonwoods and from mountain to prairie zones we observed progressively deeper roots. ..</t>
  </si>
  <si>
    <t>lat-lon very pricise - pinpoint river banks; water table location (or stream surface) was only give for 2 sites in Fig.1; Great data and photos showing shallow rooting with shallow WTD and dimorphic rooting with deep WTD - water table serves to confine or entice deeper roots.</t>
  </si>
  <si>
    <t>Satterlund, 1960</t>
  </si>
  <si>
    <t>Cedar Creek Type-II swamp</t>
  </si>
  <si>
    <t>swamp forest</t>
  </si>
  <si>
    <t>white ceder, black spruce, balsam fir</t>
  </si>
  <si>
    <t>Thuja occidentalis  / Picea mariana / Abies balsamea</t>
  </si>
  <si>
    <t>white ceder, balsam fir, black ash, black spruce, yellow birch, red maple</t>
  </si>
  <si>
    <t>Thuja occidentalis  / Picea mariana / Abies balsamea / Betula alleghaniensis / Acer rubrum</t>
  </si>
  <si>
    <t>organic soils</t>
  </si>
  <si>
    <t>less developed organic soil overlying muck and sandy loams</t>
  </si>
  <si>
    <t>swamp near Cedar Creek</t>
  </si>
  <si>
    <t>higher swamp further north, on a gentle flat rise</t>
  </si>
  <si>
    <t>The results indicate that variations in site quality and species composition of swamp forests are clearly associated with differences in water table height and patterns of fluctuation; swamps with stable high WT are dorminated by organic soils and low-modrate productivity; on hummocks with deeper water in dry periods, thin ornagic soil or muck overly sandy loams, and hardwoods, consisting of yellow birch and red maple are more ptentiful, and advanced productivity is abundant.</t>
  </si>
  <si>
    <t>The major action of groundwater upon swamp forests is exerted directly upon tree roots. The water level in a swamp is certainly of major importance, for as will be shown, the depth of root penetration is largely dependent upon the depth of the groundwater. Since water level not only vary in depth but also in the nature of fluctuation with precipitation, root development must be related to the different water level types. (hence the classification of swamp types in this study).</t>
  </si>
  <si>
    <t>Type-I swamps have nearly stable water table, occuring on low ground (receiving swamps) but with efficient surface drainage; data relfect mean of 10 plots (Table-5); water table clearly defines rooting depth</t>
  </si>
  <si>
    <t>Type-II swamps have water table rise and fall, with or without delay from rainfall, occuring on higher grounds; mean of 5 sites; WT is mean of high level; Author notes that although the WT can drop to several feet below land surface temporarily, the rooting depth is limited by the high level in the spring season. Since there is little site location (map has x marked on with no site names), and each site has several plots, and each plots has several trees, the data is grouped into the 2 types of swamps defined by author, and assumed to be represented by the 2 sites at Cedar Creek (better marked on map)</t>
  </si>
  <si>
    <t>Schulze et al., 1996</t>
  </si>
  <si>
    <t>Nothofagus pumila (tree 80% cover)</t>
  </si>
  <si>
    <t>Nothofagus antarctica (T: 100%)</t>
  </si>
  <si>
    <t>Festuca pallescens (grass 28%) / Mulinum spinosum(cushion shrub 11%)</t>
  </si>
  <si>
    <t>Stipa speciosa (G: 13% cover) / Mulinum spinosum (cushion S: 9% cover) / Stipa humilis (G: 8% cover) / Adesmia campestris (S: 5% cover) / Senecio jilaginoides (S: 5% cover)</t>
  </si>
  <si>
    <t xml:space="preserve">Nassauvia glomerulosa (D: 6% cover) / Poa ligularis (G: 7% cover) </t>
  </si>
  <si>
    <t>Patagonia</t>
  </si>
  <si>
    <t>Deciduous forest</t>
  </si>
  <si>
    <t>Deciduous scrub</t>
  </si>
  <si>
    <t>Festuca grassland</t>
  </si>
  <si>
    <t>Stipa grassland</t>
  </si>
  <si>
    <t>Desert grass/dwarf shrub</t>
  </si>
  <si>
    <t>Glacial moraine &amp; volcanic; +0.03-0 m humus; 0 -0.15 m organic horizon; 0.15-1.05 m loam; &gt;1.05 m large rocks with little fine soil; &gt;2.00 m very wet rocks</t>
  </si>
  <si>
    <t>Alluvial; +0.03-0 m humus; 0-0.05 m organic hor.; 0.05-0.8 m alluvial silt; 0.8 -1.3 m loamy sand; 1.3 -1.5 m sand &amp; gravel; 1.5 -2.2 m wet sand; 2.2 m water table</t>
  </si>
  <si>
    <t>Alluvial &amp; Moraine; +0.05-0m tussocks; 0-1.0m alluvial sandy loam &amp; gravel; 1.0 -2.0 m large rocks &amp; clay; &gt;2.0m wet rock &amp; clay</t>
  </si>
  <si>
    <t>Alluvial; +0. -0m shrub &amp; tussock; 0 -0.4 m fine sand &amp; gravel; 0.4 --0.7 m caliche layer; 0.7 -2.5 m coarse sand &amp; gravel; &gt;2.5 m wet coarse sand, gravel</t>
  </si>
  <si>
    <t>Alluvial; 0 -0.3 m clay with stones; 0.3-0.5 m caliche layer; 0.5-0.6 m sand; 0.6-0.8 m caliche layer &amp; gravel; 0.8-1.2 m sandy loam; 1.2-1.3 m red sand; 1.3-1.6 m sand with stones; 1.6-2.6 m sand &amp; small stones; &gt;2.7 m moist soil</t>
  </si>
  <si>
    <t>Schultz, 1969</t>
  </si>
  <si>
    <t>N-1</t>
  </si>
  <si>
    <t>balsam fir</t>
  </si>
  <si>
    <t>Abies balsamea</t>
  </si>
  <si>
    <t>N-2</t>
  </si>
  <si>
    <t>N-3</t>
  </si>
  <si>
    <t>N-4</t>
  </si>
  <si>
    <t>N-5</t>
  </si>
  <si>
    <t>N-6</t>
  </si>
  <si>
    <t>N-7</t>
  </si>
  <si>
    <t>N-8</t>
  </si>
  <si>
    <t>N-9</t>
  </si>
  <si>
    <t>N-10</t>
  </si>
  <si>
    <t>N-11</t>
  </si>
  <si>
    <t>N-12</t>
  </si>
  <si>
    <t>N-13</t>
  </si>
  <si>
    <t>N-14</t>
  </si>
  <si>
    <t>N-15</t>
  </si>
  <si>
    <t>N-16</t>
  </si>
  <si>
    <t>N-17</t>
  </si>
  <si>
    <t>N-18</t>
  </si>
  <si>
    <t>N-19</t>
  </si>
  <si>
    <t>N-20</t>
  </si>
  <si>
    <t>N-21</t>
  </si>
  <si>
    <t>N-22</t>
  </si>
  <si>
    <t>N-23</t>
  </si>
  <si>
    <t>N-24</t>
  </si>
  <si>
    <t>Ontario, CA</t>
  </si>
  <si>
    <t>Michigan</t>
  </si>
  <si>
    <t>0-6"  sandy loam, 6-24" loamy sand</t>
  </si>
  <si>
    <t>Gravelly ridge between 2 low, swampy areas</t>
  </si>
  <si>
    <t>white spruce tend to have prominent tap roots and numerous sinker roots that penetrate far deeper; they penetrate deeper in sandy soils</t>
  </si>
  <si>
    <t xml:space="preserve">like white spruce, balam fir has strong tap roots and sinker roots and penetrate deep. It prefers well-drained, sandy soils. </t>
  </si>
  <si>
    <t xml:space="preserve">The free software Earth Point allows overlaying section, range and township onto GoogleEarth, and the site description by author allows fairly acurate location of the sites                     </t>
  </si>
  <si>
    <t>Sec. 23, T42N, R30W Dickinson County, Michgan</t>
  </si>
  <si>
    <t>Sec. 3, T38N, R28W Menominee County, Michgan</t>
  </si>
  <si>
    <t>black spruce has feeble tap and sinker roots, regardless of soil texture and bulk density</t>
  </si>
  <si>
    <t>In the greenhouse experiment, only the seedlings in the sand survived</t>
  </si>
  <si>
    <t>0-6"  sandy loam, 6-24" sandy loam</t>
  </si>
  <si>
    <t>Sandy ridge between swamps</t>
  </si>
  <si>
    <t>0-6"  loam, 6-24" sandy loam</t>
  </si>
  <si>
    <t>In all greenhouse experiments, only hardpan seems to have a significant effect on seedling rooting depth</t>
  </si>
  <si>
    <t>Sec. 26, T42N, R30W Dickinson County, Michgan</t>
  </si>
  <si>
    <t>Sandy till with many rocks and boulders on gentle slope between upland and swamp</t>
  </si>
  <si>
    <t>Sandy moraine above swamp</t>
  </si>
  <si>
    <t>Sec. 23, T43N, R27W Dickinson County, Michgan</t>
  </si>
  <si>
    <t>Till plain with compact layer at 14-inch depth and rock at 36 inches.</t>
  </si>
  <si>
    <t>Till plain with hardpan at 23-inch depth</t>
  </si>
  <si>
    <t>Balsam fir is found on a wider range of conditions than the others in the Lake Superor Region.</t>
  </si>
  <si>
    <t>Sec. 13, T47N, R42W Gogebic County, Michgan</t>
  </si>
  <si>
    <t>Till plain</t>
  </si>
  <si>
    <t>Sec. 24, T47N, R42W Gogebic County, Michgan</t>
  </si>
  <si>
    <t>Sandy outwash plain</t>
  </si>
  <si>
    <t>Sec. 14, T48N, R32W Baraga County, Michgan</t>
  </si>
  <si>
    <t>Jack pine poles and saplings with black sprunce samplings. High water table at 30-inch depth.</t>
  </si>
  <si>
    <t>Sandy outwash plain, very flat</t>
  </si>
  <si>
    <t>0-6" sand, 6-24" sand</t>
  </si>
  <si>
    <t>Thin glacial drift over rock out-croppings</t>
  </si>
  <si>
    <t>Sandy, well-developed podzol with scattered blocks of hardpan</t>
  </si>
  <si>
    <t>Sandy former lake bed</t>
  </si>
  <si>
    <t>Sandy ridge surrounded by swamp. Over sand, no rock.</t>
  </si>
  <si>
    <t>Ice-contact ridge between two bog lakes</t>
  </si>
  <si>
    <t>Sec. 33, T49N, R33W Baraga County, Michgan</t>
  </si>
  <si>
    <t>Sec. 7, T44N, R18W Schoolcraft County, Michgan</t>
  </si>
  <si>
    <t>Sec. 20, T49N, R15W Alger County, Michgan</t>
  </si>
  <si>
    <t>Sec. 22, T47N, R9W Luce County, Michgan</t>
  </si>
  <si>
    <t>Sec. 30, T46N, R36W Iron County, Michgan</t>
  </si>
  <si>
    <t>Water table data is given in Appendix Table-1; Sec. 14, T49N, R34W Baraga County, Michgan</t>
  </si>
  <si>
    <t>0-6"loamy sand, 6-24" loamy sand</t>
  </si>
  <si>
    <t>0-6" sandy loam, 6-24" loamy sand</t>
  </si>
  <si>
    <t>Stoney and gravelly slope above creek</t>
  </si>
  <si>
    <t>Morainic ridge dipping sharply into stream-cut valley</t>
  </si>
  <si>
    <t>Sandy soils with indurated hardpan beginning 6 inches down and about 6 inches thick</t>
  </si>
  <si>
    <t>indurated layer</t>
  </si>
  <si>
    <t>Sec. 1, T44N, R37W Iron County, Michgan</t>
  </si>
  <si>
    <t>Sec. 3, T44N, R38W Gogebic County, Michgan</t>
  </si>
  <si>
    <t>Sandy transition area between till plain and seepage swamp</t>
  </si>
  <si>
    <t>High water table probably impeded vertical root growth below 24 inches (caption of Fig. 47)</t>
  </si>
  <si>
    <t>Minnesota</t>
  </si>
  <si>
    <t>0-6"  clay loam, 6-24" clay</t>
  </si>
  <si>
    <t>0-6"  silty clay loam, 6-24" silt loam</t>
  </si>
  <si>
    <t>Former lake bed</t>
  </si>
  <si>
    <t>Sec. 12, T67N, R19W St. Louis County, Minnesota</t>
  </si>
  <si>
    <t>Approx. 49 miles east of town of Longlac, Ontario, along paved highway</t>
  </si>
  <si>
    <t>N-25</t>
  </si>
  <si>
    <t>0-6"  silt loam, 6-24" sand</t>
  </si>
  <si>
    <t>Approx. 16 miles south of Longlac, Ontario, near McLeod Lake</t>
  </si>
  <si>
    <t>N-26</t>
  </si>
  <si>
    <t>Approx. 48 miles southwest of Longlac, Ontario, near Chorus Lake</t>
  </si>
  <si>
    <t>N-27</t>
  </si>
  <si>
    <t>0-6"  silt loam, 6-24" loam</t>
  </si>
  <si>
    <t>Approx. 37 miles south of Longlac, Ontairo, between Wintering Lake and Rogers Lake</t>
  </si>
  <si>
    <t>Sandy transition between ice-contact ridge and bog lake</t>
  </si>
  <si>
    <t>Shafroth et al., 2000</t>
  </si>
  <si>
    <t>Sonoran Desert, Arizona</t>
  </si>
  <si>
    <t>BW1</t>
  </si>
  <si>
    <t>BW5</t>
  </si>
  <si>
    <t>BW7</t>
  </si>
  <si>
    <t xml:space="preserve">Fremont cottonwood </t>
  </si>
  <si>
    <t xml:space="preserve">Populus fremontii </t>
  </si>
  <si>
    <t>sands and gravel</t>
  </si>
  <si>
    <t>half gravel half sand, coarsest soil at this site</t>
  </si>
  <si>
    <t>Riparian</t>
  </si>
  <si>
    <t>where a flare of roots spread atop a soil layer rich in organic material  and silt</t>
  </si>
  <si>
    <t>Root architecture has been shown to be a function of soil moisture conditions and water table depth in Populus and Salix and Tamarix</t>
  </si>
  <si>
    <t>Bill Williams River in Western Arizona; lat-lon approximate, from Fig.1 of the 1998 paper by the same authors; Ppt interpolated from gradient given. Water table in 1995 is used here, because this study lowered the water table in 1996 and 1997 to examine the effect of tree mortality; many saplings died because the shallower roots conditioned to 1995 water table levels, and the rapid decline caused mortality.</t>
  </si>
  <si>
    <t>Sprackling and Read, 1979</t>
  </si>
  <si>
    <t>E. Nebraska</t>
  </si>
  <si>
    <t>Prarie with planted and native trees</t>
  </si>
  <si>
    <t>Richardson County</t>
  </si>
  <si>
    <t>Nance County</t>
  </si>
  <si>
    <t>Merrick County</t>
  </si>
  <si>
    <t>Pawnee County</t>
  </si>
  <si>
    <t>Dakota County</t>
  </si>
  <si>
    <t>Lancaster County</t>
  </si>
  <si>
    <t>bur oak</t>
  </si>
  <si>
    <t>Quercus macrocarpa</t>
  </si>
  <si>
    <t>Eastern Redcedar</t>
  </si>
  <si>
    <t xml:space="preserve">Juniperus virginiana </t>
  </si>
  <si>
    <t>Hackberry</t>
  </si>
  <si>
    <t>Celtis occidentalis</t>
  </si>
  <si>
    <t>Honey locust</t>
  </si>
  <si>
    <t>Gleditsia triacanthos</t>
  </si>
  <si>
    <t>black locust</t>
  </si>
  <si>
    <t>Osage-orange</t>
  </si>
  <si>
    <t>Maclura pomifera</t>
  </si>
  <si>
    <t>Hawthorn</t>
  </si>
  <si>
    <t>Crataegus mollis</t>
  </si>
  <si>
    <t>Smooth sumac</t>
  </si>
  <si>
    <t>Black walnut</t>
  </si>
  <si>
    <t>Juglans nigra</t>
  </si>
  <si>
    <t>Shagbark hickory</t>
  </si>
  <si>
    <t>Carya ovata</t>
  </si>
  <si>
    <t>Bitternut hickory</t>
  </si>
  <si>
    <t>Carya cordiformis</t>
  </si>
  <si>
    <t>Red mulberry</t>
  </si>
  <si>
    <t>Morus rubra</t>
  </si>
  <si>
    <t>Plains cottonwood</t>
  </si>
  <si>
    <t>Green Ash</t>
  </si>
  <si>
    <t>Fraxinus pennsylvanica</t>
  </si>
  <si>
    <t>white ash</t>
  </si>
  <si>
    <t>Fraxinus americana</t>
  </si>
  <si>
    <t>Siberian elm</t>
  </si>
  <si>
    <t>Northern catalpa</t>
  </si>
  <si>
    <t>Catalpa speciosa</t>
  </si>
  <si>
    <t>American sycamore</t>
  </si>
  <si>
    <t>Platanus occidentalis</t>
  </si>
  <si>
    <t>Silver maple</t>
  </si>
  <si>
    <t>Acer saccharinum</t>
  </si>
  <si>
    <t>apple</t>
  </si>
  <si>
    <t xml:space="preserve">Malus domestica </t>
  </si>
  <si>
    <t>Prickly-ash</t>
  </si>
  <si>
    <t>Zanthoxylum americanum</t>
  </si>
  <si>
    <t>American elm</t>
  </si>
  <si>
    <t>Slippery elm</t>
  </si>
  <si>
    <t>Ulmus rubra</t>
  </si>
  <si>
    <t>Boxelder</t>
  </si>
  <si>
    <t>Acer negundo</t>
  </si>
  <si>
    <t>Peachleaf willow</t>
  </si>
  <si>
    <t>Salix amygdaloides</t>
  </si>
  <si>
    <t>black willow</t>
  </si>
  <si>
    <t>Salix nigra</t>
  </si>
  <si>
    <t>redbud</t>
  </si>
  <si>
    <t>Cercis canadensis</t>
  </si>
  <si>
    <t>American basswood</t>
  </si>
  <si>
    <t>Tilia americana</t>
  </si>
  <si>
    <t>Ohio buckeye</t>
  </si>
  <si>
    <t>Aesculus glabra</t>
  </si>
  <si>
    <t>American (wild) plum</t>
  </si>
  <si>
    <t>Prunus americana</t>
  </si>
  <si>
    <t>Choke cherry</t>
  </si>
  <si>
    <t>Prunus virginiana</t>
  </si>
  <si>
    <t>Approcot</t>
  </si>
  <si>
    <t>Prunus armeniaca</t>
  </si>
  <si>
    <t>black cherry</t>
  </si>
  <si>
    <t>Prunus sarotina</t>
  </si>
  <si>
    <t>eastern hophornbeam (ironwood)</t>
  </si>
  <si>
    <t>Ostrya virginiana</t>
  </si>
  <si>
    <t>Dogwood</t>
  </si>
  <si>
    <t>Cornus alternifolia</t>
  </si>
  <si>
    <t>Knox silt loam</t>
  </si>
  <si>
    <t>Peorian and Loveland loess</t>
  </si>
  <si>
    <t>Cass sandy loam</t>
  </si>
  <si>
    <t>Waukesha fine sandy loam</t>
  </si>
  <si>
    <t>Wabash silt loam</t>
  </si>
  <si>
    <t>Cass silty clay loam</t>
  </si>
  <si>
    <t>Sogn silty clay laom</t>
  </si>
  <si>
    <t>Carrington silt loam</t>
  </si>
  <si>
    <t>Bartlett silty clay loam</t>
  </si>
  <si>
    <t>Pawnee silty clay loam</t>
  </si>
  <si>
    <t>Cass loam</t>
  </si>
  <si>
    <t>Marshall silt loam</t>
  </si>
  <si>
    <t>Carrington silty clay loam</t>
  </si>
  <si>
    <t>Cass loamy sand</t>
  </si>
  <si>
    <t>Sarpy very fine sandy loam</t>
  </si>
  <si>
    <t>Butler silt loam</t>
  </si>
  <si>
    <t>Wabash clay</t>
  </si>
  <si>
    <t>Cass fine sandy loam</t>
  </si>
  <si>
    <t>Marshall (heavy subsoil phase)</t>
  </si>
  <si>
    <t>This sapling bur oak had a root depth of 13 feet and spread of 11.5feet. Compare that with figure 2 to see how lateral root growth inceraes as vercal growth slows with age.</t>
  </si>
  <si>
    <t>The rate of lateral root growth in older trees is greater than the rate of depth penetration. Root depth, 16 feet; lateral spread, 72
feet</t>
  </si>
  <si>
    <t>No tap root is apparnet, but roots on left side (sinker) have edtended 9 feet downward to witnin 2 feet of the water table</t>
  </si>
  <si>
    <t>Strong development of a lateral system has been followed by downward penetration from laterals to within 2 feet of
the water table</t>
  </si>
  <si>
    <t>The rapid penetration in root depth of young seedlings (fig 9) has stabilized at 9 feet in this tree, being followed by the extensive development of a strong lateral system</t>
  </si>
  <si>
    <t>Development of the lateral root system at depths of 1 to 3 feet is extensive. A taproot, not well developed at this age, is evident. Note the natural root graft between the adjacent honeylocust trees.</t>
  </si>
  <si>
    <t>Black locust, like honey locust, has good drought-resistance. The relatively deep root system at 8 feet for this young sapling undoubtedly enables black locust to survice on dry sites.</t>
  </si>
  <si>
    <t>This species is well knon for drought resistance. In addition to a strong taproot, the lateral root system is extensive throughout soil depth of 8 feet.</t>
  </si>
  <si>
    <t>Roots of this tree were deep in relation to its height; this charactersistic may be partially responsible for the successful invation of dry pasturelands by the species.</t>
  </si>
  <si>
    <t>Smooth sumac reproduces vegetatively from root suckers, illustrated above. Consequently, patches (clones) of sumac can be found growing in old fields or along railroad tracks in Nebraska.</t>
  </si>
  <si>
    <t>Although this species grows best on moist bottomlands, it has fair drought-resistance by virtue of its deep taproot, especially when planted on dry upland sites.</t>
  </si>
  <si>
    <t>This species, which grows only in extreme eastern Nebraska on deep, moist soils, developed a strong taproot early in life, followed by lateral root growth.</t>
  </si>
  <si>
    <t>A very strong taproot characterized the root system of this species. The root systems and site requirements of hickories are very similar to those of the walnut.</t>
  </si>
  <si>
    <t>No distinct taproot has developed, but a well developed network of fine lateral roots is apparent.</t>
  </si>
  <si>
    <t>Introduced into the United States by Russian Mennonites in 1875, this species has a root system similar to the native red mulberry. This sapling mulberry has an exceptionally well developed root system for drought-resistance.</t>
  </si>
  <si>
    <t>In this instance, a tree 60 feet high has roots only 2.5 feet deep. A water table very close to the surface created a saturated subsoil, restricting root aeration. Only shallow widespread roots could survive.</t>
  </si>
  <si>
    <t>Roots of this tree have grown downward to 12 feet, just above the water table level, and then branched laterally.</t>
  </si>
  <si>
    <t>Roots of this older cottonwood, on an upland site where the water table is out of reach, have a distinct taproot pattern, in contrast with the pattern shown in figure 28.</t>
  </si>
  <si>
    <t>A fine network of lateral roots of medium depth characterizes green ash.</t>
  </si>
  <si>
    <t>Roots penetrated to 9 feet, the same depth as the 25-year-oldgreen ash in figure 32, but greater lateral spread is evident in this older tree.</t>
  </si>
  <si>
    <t>The root system of white ash, a native of upland sites along the Missouri River in eastern Nebraska, resembles green ash but is not as drought-resistant.</t>
  </si>
  <si>
    <t>A fast-growing introduction from eastern Asia, Siberian elm is well adapted to a windy, droughty environment. Only a few other briadleaf species are so adapted.</t>
  </si>
  <si>
    <t>The high water table typically results in a shallow but very wide-spreading root system. The rate of lateral growth was nearly 3 feet a year.</t>
  </si>
  <si>
    <t>Roots penetrated directly to the water table at 16 feet; lateral development was limited mostly to the surface 2 feet of soil.</t>
  </si>
  <si>
    <t>Catalpa was introduced in Nebraska from the southern states as a commercial fence post species, primarily because of its fast growth and resistent heartwood. The root system is as deep as it is wide.</t>
  </si>
  <si>
    <t>The tree shown here was growing in a swamp that had filled with alluvium. Ground level when excavated was 11 feet above the ground on which the seed had germinated. Lateral roots had developed on what was originally the lower portion of the tree stem.</t>
  </si>
  <si>
    <t>A fast-growing, shallow-rooted native species that prefers bottomland sites, silver maple also grows well when planted as an ornamental on drier sites.
I</t>
  </si>
  <si>
    <t>Growing on a dry upland site, this apple tree had relatively deep roots.</t>
  </si>
  <si>
    <t>The above illustration represents a deep and widespread root system for such a small tree.</t>
  </si>
  <si>
    <t>This tree was growing on bottomland with the water table fairly close to the surface. The root system is shallow but widespreading.</t>
  </si>
  <si>
    <t>This tree had a well defined taproot system, which was fairly shallow for a tree of this age.</t>
  </si>
  <si>
    <t>Preferring bottomland sites, this slippery (red) elm developed a strong lateral root system similar to the American elm represented in figure 45.</t>
  </si>
  <si>
    <t>Growing on bottom land, this tree had a dense network of lateral roots but lacked a strong taproot.</t>
  </si>
  <si>
    <t>This species has a fairly sparse lateral system in relation to tree size. Boxelder has no taproot and is not especially droughtcresistant.</t>
  </si>
  <si>
    <t>Growing on a stream bank 8 feet above the creek bed, this willow probably exceeds all other species in rate of root penetration. The root sustem reached a depth of 14 feet in 4 years and was only 12 feet wide.</t>
  </si>
  <si>
    <t>A comparison of this root system with that in figure 51 shows its relative plasticity as influenced by the depth of the water table. The willow shown here was growing on a bottomland site with the water table 2.5 feet below soil surface. The root system was 44 feet wide and 2.5 feet deep</t>
  </si>
  <si>
    <t>This willow growing along a stream bottom survived the gradual deposition of 5 feet of alluvium over a 28-year-period. Lateral roots developed from the lower stem after it was buried.</t>
  </si>
  <si>
    <t>A native of southeaster Nebraska woodlands and an understory tree on moist sites, redbud had a network of fine lateral roots.</t>
  </si>
  <si>
    <t>Basswood commonly sprouts at the base, resulting in clumps of trees. The roots are mostly shallow and widespread</t>
  </si>
  <si>
    <t>This tree developed a short, forked taproot. The species grows in extreme southeastern Nebraska on moist sites only.</t>
  </si>
  <si>
    <t>Plum grows throughout Nebraska on moist sites besides roads, streams and lakes. Its root system is shallow and widespread.</t>
  </si>
  <si>
    <t>Roots of chokecherry, like those of American plum, are shallow and wide-spreading. Note the new plants originating from root suckers.</t>
  </si>
  <si>
    <t>Apricot was introduced to Nebraska for fruit production. This tree, located on a dry upland site, has the greatest mass of its roots in the upper 4 feet of soil.</t>
  </si>
  <si>
    <t>This species has about the same site requirements (moist bottomlands) and root structures as chokecherry (see figure 58).</t>
  </si>
  <si>
    <t>This native understory species of eastern Nebraska prefers moist sites and has a very shallow rooting system</t>
  </si>
  <si>
    <t>Dogwood, like sumac (see figure 18), reproduces vegetatively from roots. A high water table here resulted in very shallow roots.</t>
  </si>
  <si>
    <t>on ridge top, left bank of Missouri River</t>
  </si>
  <si>
    <t>the county soil map show no Cass soil series so WTD is used to pick a point</t>
  </si>
  <si>
    <t>fence like tree line</t>
  </si>
  <si>
    <t>in a homestead</t>
  </si>
  <si>
    <t>in Pawnee City</t>
  </si>
  <si>
    <t>in downtown Central City</t>
  </si>
  <si>
    <t>western part of county</t>
  </si>
  <si>
    <t>a site 8' above a creek bed picked</t>
  </si>
  <si>
    <t>in a woodland</t>
  </si>
  <si>
    <t>ornomantle tree, in suburbs of Genoa</t>
  </si>
  <si>
    <t>SE of Lesser Slave Lake, Central Alberta, Canada</t>
  </si>
  <si>
    <t>boreal mixed forest</t>
  </si>
  <si>
    <t>Stand 7</t>
  </si>
  <si>
    <t>Stand 8</t>
  </si>
  <si>
    <t>Stand 3</t>
  </si>
  <si>
    <t>Stand 5</t>
  </si>
  <si>
    <t>Stand 11</t>
  </si>
  <si>
    <t>Stand 9</t>
  </si>
  <si>
    <t>Stand 10</t>
  </si>
  <si>
    <t>Stand 2</t>
  </si>
  <si>
    <t>Stand 1</t>
  </si>
  <si>
    <t>Stand 4</t>
  </si>
  <si>
    <t>black spruce / feather moss</t>
  </si>
  <si>
    <t>Larix occidentalis ??</t>
  </si>
  <si>
    <t>aspen</t>
  </si>
  <si>
    <t>&lt; 0.1</t>
  </si>
  <si>
    <r>
      <t xml:space="preserve">water table data not given; but in 1983a, author notes "A soil pit was dug in the center of each of the seven subplots to a minimum depth of 1.25 m. Owing to a high water table in stands 7 and 8, it was necessary to remove intact sections of soil profiles from the pits rather than attempt to work in the hole as was done in other stands." It appears safe to assume that the water table is </t>
    </r>
    <r>
      <rPr>
        <sz val="9"/>
        <color rgb="FFFF0000"/>
        <rFont val="Calibri"/>
        <family val="2"/>
        <scheme val="minor"/>
      </rPr>
      <t>&gt; 1.25m</t>
    </r>
    <r>
      <rPr>
        <sz val="9"/>
        <color theme="1"/>
        <rFont val="Calibri"/>
        <family val="2"/>
        <scheme val="minor"/>
      </rPr>
      <t xml:space="preserve"> deep at other stands.</t>
    </r>
  </si>
  <si>
    <t>&gt;1.25</t>
  </si>
  <si>
    <t>organic (Terrie Mesisol)</t>
  </si>
  <si>
    <t>organic sand (Humic Gleysols, Terrie Humisols)</t>
  </si>
  <si>
    <t>eolian sand (Eutric Brunisol)</t>
  </si>
  <si>
    <t>shallow sandy outwash overlying clay loam morainal, moderately well-drained Gray Luvisol</t>
  </si>
  <si>
    <t>outwash/moraine (sandy loam / clay loam (Gray Luvisol)</t>
  </si>
  <si>
    <t>eolian sand (Eutric Brunisol, Gray Luvisol)</t>
  </si>
  <si>
    <t>Gray Luvisol</t>
  </si>
  <si>
    <t>SE of Lesser Slave Lake, Central Alberta, Canada; lat and lon not given, but the topography and vegetation are similar over a very large area (40% of the province).  Lat and Lon are read from another paper by the same author, Strong and La Roi, 1983a</t>
  </si>
  <si>
    <t>roots ternimated just above the water table; large roots (&gt;20 mm) were most commonly found in hummocks; to summarize, the root system of black spruce consists of several horizontally spreading, near-surface lateral roots which form a disk with few if any functioning vertical roots.</t>
  </si>
  <si>
    <t>The larch root system was similar to that of black spruce, shallow and spreading; fine roots were less abundant and closer to the water table.</t>
  </si>
  <si>
    <t>Although the two harvested trees came from very different sites (sandy vs. clay soils), they had a similar rooting pattern and allocation of biomass.</t>
  </si>
  <si>
    <t>In sharp contrast with white spruce, the general rootsystem morphology of aspen was distinctly different in sand compared with clay loam substrates.</t>
  </si>
  <si>
    <t>Three distinctive type of vertical roots were found: taproot, sinker, and herring bone; Large taproots were the principal vertical roots on all jack pines (Fig. 2A), and extended to a maximum depth of 2 m, although 1.3 m was more common. (but table-2 gives max as 1.5m)</t>
  </si>
  <si>
    <t>Sinker, tap-, and oblique lateral roots were confined to the upper 40 cm of the mineral soil. All three vertical root types were deformed and deflected to a horizontal direction of growth when the soil Bt horizon was contacted. Maximum vertical root length was ca. 1.3 m</t>
  </si>
  <si>
    <t>Sweet, 1933</t>
  </si>
  <si>
    <t>W NY</t>
  </si>
  <si>
    <t>apple tree orchards</t>
  </si>
  <si>
    <t>Baldwin apple tree</t>
  </si>
  <si>
    <t>Malus domestica</t>
  </si>
  <si>
    <t xml:space="preserve">Petoskey loamy fine sand: Group-1: Soils with open subsoils. These are brown, light-brown, or reddish-brown soils with subsoils which do not restrict underdrainage. </t>
  </si>
  <si>
    <t xml:space="preserve">Collamer silt loam: Group-2: Soils with tight subsoils. These are brown to grayish-brown soils with subsoils that restrict underdrainage. : </t>
  </si>
  <si>
    <t>Granby loam: Group-3: Dark-colored soils with poorly drained subsoils. These are dark grayish-brown or nearly black soils which have the underdrainage restricted by saturation of the deep subsoil and occupy low, depressed, and basinlike areas. In the upper subsoil is a light-gray layer, grading below into a strongly mottled layer of gray and rust brown. The deep subsoil may consist of reddishbrown fine sand or fine sandy loam, of sandy clay, and in places of gravelly sandy till.</t>
  </si>
  <si>
    <t>broad ridges, terraces, and well-drained uplands and have no gray and mottled layer in the upper subsoil or such a layer, if present, only slightly developed.</t>
  </si>
  <si>
    <t>parts of ridges, nearly smooth and flat areas, are imperfectly drained, and have the gray and mottled layer of the upper subsoil strongly developed.</t>
  </si>
  <si>
    <t>depressions that resemble the branched river network.</t>
  </si>
  <si>
    <t>in what looks like healthy stand of orchard, on high ground, east of Hilton</t>
  </si>
  <si>
    <t>in what looks like a glacial till ridge, with exposed dry soil (clay?) and on high ground, west of Hilton</t>
  </si>
  <si>
    <t>in what looks like an abandoned orchard, with scattered ponds, north of Hilton</t>
  </si>
  <si>
    <t xml:space="preserve">a considerable portion of this apple-growing district occupies an old, nearly level lake plain with poor natural drainage… Dark-colored soils occupying slight depressions and flat areas were found to have the highest water table, free ground water coming into practically all soils of this kind, in many places rising to within a few inches of the surface...The enormous extent of the roots of a large apple tree in a soil of this kind (Group-1) is much greater than is often realized... In the Hilton area it was found that roots in the deep subsoil seem to have a stabilizing influence on orchard performance and practically all deep-rooted orchards were found to be productive... In the soils of group 3 roots extend sufficiently deep for good production, but that so many of the roots are dead or in bad condition that high production or long life of the tree cannot be expected... In the soils of group 2, trees on the till ridges with compact till subsoil, and on the less well drained natter areas of the lower gravelly slopes root to an average depth of about 3 feet. On the level imperfectly drained soils developed from water-laid material there is wide variation in depth and extent of rooting, the maximum penetration being about 6 feet, but in many places rooting is not abundant below 4 feet... In soils of group 1, where deep penetration is not obstructed, roots extend to a depth ranging from 7 to 10 feet. This agrees not only with production records but also with production stability, or uniformity of production. </t>
  </si>
  <si>
    <t>Verzunov, 1980</t>
  </si>
  <si>
    <t>forest steppe</t>
  </si>
  <si>
    <t>North Kazakhstan</t>
  </si>
  <si>
    <t>test plot 64</t>
  </si>
  <si>
    <t>test plots 66-68</t>
  </si>
  <si>
    <t>test plot 65</t>
  </si>
  <si>
    <t>Siberia larch</t>
  </si>
  <si>
    <t>Larix sibirica</t>
  </si>
  <si>
    <t>Scots pine</t>
  </si>
  <si>
    <t>Pinus sylvestris</t>
  </si>
  <si>
    <t>Silver birch</t>
  </si>
  <si>
    <t>Betula pendula</t>
  </si>
  <si>
    <t>needle-leaf evergreen tree</t>
  </si>
  <si>
    <t>normal meadow-chernozem</t>
  </si>
  <si>
    <t>deep weakly saline meadow-chernozem</t>
  </si>
  <si>
    <t>weakly alkaline and saline clay-loamy meadow and meadow-chernozems</t>
  </si>
  <si>
    <t>The soils in the studied plantings were normal (test plot 64), deep weakly saline (test plots 66-68), deep highly saline (test plot 65'), medium-thick medium-loamy, and weakly alkaline and saline clay-loamy (test plot 65) meadow and meadow-chernozems. Ground waters occurred at a depth of 3-5.0 m and their capillary edge was noted at 1.0-1.3 m... The root system of all species is on the surface (see Fig . 1). In the larch the large anchor roots permeate the weakly saline horizon to 1.45 m. Their endings are large, butflattened and wvy like coral (Fig. 2) because of the high density of pedogenic rock (1.51- 1.56 g/cm3).  I n the pine the root system is less developed. The tap root, although it is clearly evident, reaches only the saline rock (0 .9 m). Pine trees, forming a deep root system entering the salinized dense carbonate horizon, have dry tops and then die, but trees with a surface root s ystem grow well. ...Analysis of root mass dis tribution shows that almost 80% of it is found in the 0-40cm layer...</t>
  </si>
  <si>
    <t>Rooting depth obtained from Figure 1 for the 3 site types</t>
  </si>
  <si>
    <t>water table is assumed to vary 3-5m as stated acorss the sites, not the same site across season</t>
  </si>
  <si>
    <t>Author notes capillary rise only 1-1.3m deep</t>
  </si>
  <si>
    <t>Study area is in "Northern Kazakhstan", on the "Ishim ravine-ridge plain"</t>
  </si>
  <si>
    <t>An area with rectangular tree plots, on a land with ridges and bogs in N Kazakhstan, just south of the Russian border, directly south of the city Ishim, is selected. Three site conditions are chosen to represent the semi-hydromorphis soils of different water table and salinity (see image at right)</t>
  </si>
  <si>
    <t>310-340</t>
  </si>
  <si>
    <t>Vonlanthen et al., 2010</t>
  </si>
  <si>
    <t>Takalamakan, W. China</t>
  </si>
  <si>
    <t>the field site (not glass tube)</t>
  </si>
  <si>
    <t>camelthorns or manna trees</t>
  </si>
  <si>
    <t>Karelinia caspia</t>
  </si>
  <si>
    <t>desert</t>
  </si>
  <si>
    <t>6.5m in the river valley</t>
  </si>
  <si>
    <t>After 16 weeks of growth in the field roots of K. caspia and A. sparsifolia reached down 2.2 m and 1.7 m, respectively.</t>
  </si>
  <si>
    <t>Both species are able to reach the groundwater table in the river valleys (6.5 m) within a time span of five to six months after germination</t>
  </si>
  <si>
    <t>seedings only; mature species can have deeper roots</t>
  </si>
  <si>
    <t>same site as Arndt, et al., 2004, but include a new species</t>
  </si>
  <si>
    <t>hot dry summer</t>
  </si>
  <si>
    <t>Wagg, 1967</t>
  </si>
  <si>
    <t>Brule Lake , Alberta CA</t>
  </si>
  <si>
    <t>Tree I</t>
  </si>
  <si>
    <t>Tree II</t>
  </si>
  <si>
    <t>Tree III</t>
  </si>
  <si>
    <t>Tree IV</t>
  </si>
  <si>
    <t>Tree V</t>
  </si>
  <si>
    <t>Tree VI</t>
  </si>
  <si>
    <t>Tree VII</t>
  </si>
  <si>
    <t>Tree VIII</t>
  </si>
  <si>
    <t>Tree IX</t>
  </si>
  <si>
    <t>Tree X</t>
  </si>
  <si>
    <t>Tree XI</t>
  </si>
  <si>
    <t>Tree XII</t>
  </si>
  <si>
    <t>well-drained, near uniform textured and loose structured Podzolic (Dark Gray Wooded) soil, developed on deep aeolian fine sands, an L-H horizon &lt;1" thick, a 2" Ah , 8" Ae and a 12" B horizon</t>
  </si>
  <si>
    <t>well-drained Regosolic (Mor Regosol) soil of alluvium, a 5" L-H horizon of feather moss and humus, thin Ah and a textural change from sand to gravel at 16"</t>
  </si>
  <si>
    <t>imperfectly-drained Solonetzic (Gray Wooded Solodized Solonetz) on glacio-lacustrine clay, a 2" L-H horizon, a 2" Ah and a 4" Ae over 5" blocky B and a compact and columnar structured C at 13"</t>
  </si>
  <si>
    <t>poorly drained Gleysolic (Carbonated Gleysol), a 3" L-H horizon of feather moss and humus, 1" Ah of silty clay loam, 4" Cg of silty clay over calcareous rock at 9"</t>
  </si>
  <si>
    <t>calcareous rock</t>
  </si>
  <si>
    <t>imperfectly-drained Podzolic (Gleyed Gray Wooded), on aeolian sands, a 2" L-H horizon of feather moss and humus, a 7" Ae and a B with a gley layer at 15"</t>
  </si>
  <si>
    <t>very poorly-drained Gleysolic (Orthic Humic Gleysol), a 5" L-H horizon of feather moss and humus, 6" Ah and a gleyed B horizon at 11", developed on glacio-lacustrine clay.</t>
  </si>
  <si>
    <t>very poorly-drained Gleysolic (Peaty Rego Humic Gleysol), on lacustrine clay, a 6" L-H horizon of sphagnum and decomposed peat and a 4-inch Ah which was underlaid with gley.</t>
  </si>
  <si>
    <t>waterlogged Gleysolic (Rego Humic Gleysol), on lacustrine sand, a 5" L-H horizon of feather moss and humus and 12" Ah underlaid with a mottled C Horizon. Free water was present at the surface in the middle of July.</t>
  </si>
  <si>
    <t>well-drained Regosolic (Orthic Regosol) on coarse lacustrine sand deposited on a levee, a 3" deposit on a 31" deposit both of which overlay a 2" humus layer on top of sand</t>
  </si>
  <si>
    <t>well-drained Podzolic (Bisequa Gray Wooded), on very fine aeolian sand, a 6" decayed log on top of a 3" Ae, 6" Bf and a deep C / B+ horizon</t>
  </si>
  <si>
    <t>very poorly-drained Gleysolic (Peaty Orthic Humic Gleysol), on alluvial deposits, a 6" L-H horizon of partly decomposed sphagnum and sedges overlaying a 4" Ah and a 16" gleyed sandy clay B horizon.</t>
  </si>
  <si>
    <t>imperfectly drained Organic soil has partially decomposed sphagnum overlaying decomposed sphagnum and sedges and a gleyed mineral horizon at 14"</t>
  </si>
  <si>
    <t>Tree I: Elongated taproot-form from well-drained sands with large primary lateral roots.
The tree , 42 years old , 20.7 feet high and 3.7 inches d.b.h. grew in an open stand of white spruce near Brule Lake , Alberta.</t>
  </si>
  <si>
    <t>Tree II: Restricted taproot-form caused by a gravel layer with large primary and secondary lateral roots. 
The tree, 31 years old, 21.3 feet high and 2.5 inches d.b.h., grew in a small opening in a mature white spruce stand beside the Waskahigan River in Alberta.</t>
  </si>
  <si>
    <t>Tree III: Restricted proximal roots from compacted Solonetzic soil with large secondary lateral roots. 
The tree, 38 years old, 30.5 feet high and 4.9 inches d.b.h., grew in a mixed stand of balsam poplar and aspen near Grande Prairie, Alberta.</t>
  </si>
  <si>
    <t>Tree IV: Monolayered (partially bilayered) root-form with large primary and secondary lateral roots which overgrew aborted taproot of juvenile tree. 
The tree, 50 years old, 25.7 feet high and 3.6 inches d.b.h., grew with black spruce and tamarack in a small depress ion on the limestone escarpment east of Kakisa Lake, Northwest Territories.</t>
  </si>
  <si>
    <t>Tree V: Monolayered root-form with large primary and secondary lateral roots which overgrew contorted and aborted taproot of seedling.
The tree, 45 years old, 23.7 feet high and 4.7 inches d.b.h., grew in a stand of pure white spruce near Entrance, Alberta.</t>
  </si>
  <si>
    <t>Tree VII: Multilayered root-form with large primary and seoondary lateral roots and oontorted taproot from sphagnum.
The tree, 35 years old, 18.0 feet high and 2.5 inches d.b.h., grew in a sparse stand of black and white spruce near Fox Creek, Alberta.</t>
  </si>
  <si>
    <t>Tree VIII: Multilayered root-form with large secondary lateral roots which developed with a gradual rise in the water table and increase in depth of humus and feather moss.
The tree, 88 years old, 32.9 feet high and 4.1 inches d.b.h., grew in a dense stand of white and black spruce and tamarack on a high terrace near the mouth of Hay River, Northwest Territories.</t>
  </si>
  <si>
    <t>Tree IX: Multilayered root-fonm with small primary roots and large secondary roots which developed after two lacustrine deposits.
The tree, 35 years old, 20.3 feet high and 3.0 inches d.b.h., grew in a mixed stand of balsam poplar and mountain alder on the shore of Great Slave Lake at Vale Island, near Hay River, Northwest Territories.</t>
  </si>
  <si>
    <t>Tree X: Retarded variation of multilayered root-form with large secondary roots in humus and vestigial primary roots confined to decayed wood.
The tree, 33 years old, 23.7 feet high and 3.4 inches d.b.h., grew in a dense stand of white spruce on the Simonette River south of Valleyview, Alberta.</t>
  </si>
  <si>
    <t>Tree XII: Complex variation of root-form with multilayered primary and secondary roots showing initial bilayered development in live sphagnum then stepped down growth in dead sphagnum from a sudden lowering of the water table.
The tree, 43 years old, 24.1 feet high and 3.1 inches d.b.h., grew in an open stand of white spruce mixed with tamarack and black spruce in an abandoned alluvial channel north of Fort Providence, Northwest Territories.</t>
  </si>
  <si>
    <t>sandy slope above lake</t>
  </si>
  <si>
    <t>Waskahigan River, Alberta CA</t>
  </si>
  <si>
    <t>sandy slope beside the river</t>
  </si>
  <si>
    <t>near Grande Prairie, Alberta CA</t>
  </si>
  <si>
    <t>in a small depression</t>
  </si>
  <si>
    <t>E of Kakisa Lake, Northwest Territories CA</t>
  </si>
  <si>
    <t xml:space="preserve"> near Entrance, Alberta CA</t>
  </si>
  <si>
    <t>Tree VI: Monolayered root-form with large secondary lateral roots 
The mono layered root-form of Tree VI (Appendix 2 and Figure 11) resulted from the degeneration of the primary root system in the presence of a fluctuating water table .
The tree, 60 years old, 23.1 feet high and 3.9 inches d.b.h., grew in a pure stand of white spruce south of Grande Prairie, Alberta.</t>
  </si>
  <si>
    <t>near Fox Creek, Alberta CA</t>
  </si>
  <si>
    <t>mouth of Hay River, Northwest Territories CA</t>
  </si>
  <si>
    <t>near river mouth</t>
  </si>
  <si>
    <t>near Hay River, Northwest Territories CA</t>
  </si>
  <si>
    <t>on a levee, on the shore of Great Slave Lake at Vale Island</t>
  </si>
  <si>
    <t>south of Valleyview, Alberta CA</t>
  </si>
  <si>
    <t>on the Simonette River</t>
  </si>
  <si>
    <t>near Goodwin, Alberta CA</t>
  </si>
  <si>
    <t>Tree XI: Elevated variation of mono layered root-form with partiaLLy bilayered primary roots which developed on the top of a decayed stump in sphagnum.
The tree, 56 years old, 18.8 feet high and 3.8 inches d.b.h., grew in a sparse stand of white spruce near Goodwin, Alberta.</t>
  </si>
  <si>
    <t>N. of Fort Providence, Northwest Territories CA</t>
  </si>
  <si>
    <t>in an abandoned alluvial channel</t>
  </si>
  <si>
    <t>west of the lake, in primary forest</t>
  </si>
  <si>
    <t>Waskahigan drains into Little Smokey river; the latter was found and a forest stand in one of the tributaries is selected</t>
  </si>
  <si>
    <t>south of a river bend, in what looks like virgin forest</t>
  </si>
  <si>
    <t>on what lookes like banded outcrops east of the lake, with forest cover</t>
  </si>
  <si>
    <t>east of town, in what looks like primary forest; depth to gley layer used as indicator of water table depth</t>
  </si>
  <si>
    <t>south of the cisty, south side of the river, in a dense stand</t>
  </si>
  <si>
    <t>east of town; depth to gley layer used as indicator of water table depth</t>
  </si>
  <si>
    <t>east of river on a high bank, 5m above river</t>
  </si>
  <si>
    <t>Vale Island is at the mouth of the Hay River, not really an island if not surounded by a small channel to the east</t>
  </si>
  <si>
    <t>on floodplain, near dry oxbow lake</t>
  </si>
  <si>
    <t>NE of town, in a sparse stand; depth to gley layer used as indicator of water table depth</t>
  </si>
  <si>
    <t>north of town, on an old channel; depth to gley layer used as indicator of water table depth</t>
  </si>
  <si>
    <t>Weaver, 1915</t>
  </si>
  <si>
    <t>ornate lupine</t>
  </si>
  <si>
    <t>Lupinus ornatus</t>
  </si>
  <si>
    <t>velvet lupine</t>
  </si>
  <si>
    <t>Lupinus leucophyllus</t>
  </si>
  <si>
    <t>Palouse milkvetch</t>
  </si>
  <si>
    <t>Astragalus (Phaca) arrectus</t>
  </si>
  <si>
    <t>Bluebunch Wheatgrass</t>
  </si>
  <si>
    <t>Agropyron spicatum</t>
  </si>
  <si>
    <t>Festuca ovina ingrata</t>
  </si>
  <si>
    <t>Sandberg's Poa</t>
  </si>
  <si>
    <t>Poa sandbergii</t>
  </si>
  <si>
    <t>arrowleaf balsamroot</t>
  </si>
  <si>
    <t>Balsamorhiza sagittata</t>
  </si>
  <si>
    <t>sticky purple geranium</t>
  </si>
  <si>
    <t>Geranium viscosissimum</t>
  </si>
  <si>
    <t>mule-ears (black sunflow by author)</t>
  </si>
  <si>
    <t>Wyethia amplexicaulis</t>
  </si>
  <si>
    <t>beautiful alumroot</t>
  </si>
  <si>
    <t>Heuchera glabella</t>
  </si>
  <si>
    <t>bitter head</t>
  </si>
  <si>
    <t>Leptotaenia multifida</t>
  </si>
  <si>
    <t>Douglas' helianthella</t>
  </si>
  <si>
    <t>Helianthella douglasii</t>
  </si>
  <si>
    <t>Hoorebekia (Aplopappus) racemosa</t>
  </si>
  <si>
    <t>western stoneseed</t>
  </si>
  <si>
    <t>Lithospermum ruderale</t>
  </si>
  <si>
    <t xml:space="preserve">Prairie-Smoke </t>
  </si>
  <si>
    <t>Sieversia ciliata</t>
  </si>
  <si>
    <t>Oregon checkerbloom (mallow by author)</t>
  </si>
  <si>
    <t>Sidalcea oregana</t>
  </si>
  <si>
    <t>Scouler's woollyweed (Hawkweed by author)</t>
  </si>
  <si>
    <t>Hieracium scouleri</t>
  </si>
  <si>
    <t>Potentilla blaschkeana</t>
  </si>
  <si>
    <t>Parsnipflower buckwheat, Whorled buckwheat, and Wyeth buckwheat</t>
  </si>
  <si>
    <t>Eriogonum heracleoides</t>
  </si>
  <si>
    <t>Rosa nutkana / Symphoricarpos racemosus</t>
  </si>
  <si>
    <t>western blue flag,"Rocky Mountain iris, Missouri flag</t>
  </si>
  <si>
    <t>Iris missouriensis</t>
  </si>
  <si>
    <t>Berberis repens</t>
  </si>
  <si>
    <t>Gray's biscuitroot, Gray's lomatium / bigseed lomatium, biscuit root</t>
  </si>
  <si>
    <t>Lomatium grayi / Lomatium macrocarpum</t>
  </si>
  <si>
    <t xml:space="preserve">Wiry Knotweed </t>
  </si>
  <si>
    <t>Polygonum majus</t>
  </si>
  <si>
    <t>near Pullman, SE Washington</t>
  </si>
  <si>
    <t>Rosa nutkana /</t>
  </si>
  <si>
    <t>shrub / herb</t>
  </si>
  <si>
    <t>Creeping Barberry</t>
  </si>
  <si>
    <t>High Prairie</t>
  </si>
  <si>
    <t>Twenty-four root-systems were examined. Several reached a depth of over 10 feet… The whole root is well clothed with fine rootlets to the third order, and the last foot or eighteen inches is often a mat of small branches and root hairs... The average depth of the roots for all the plants studied was 7 feet and 7.1 inches. Nodules were found to depths of 11 feet. Nine plants on a northeast slope gave an average depth of 6 feet; five on a southwest slope, 5 feet and 11 inches; and ten on a northwest slope 9 feet and 10.4 inches.</t>
  </si>
  <si>
    <t>Only two species of lupines occur widely distributed on the high prairies of eastern Washington. Of these Lupinus ornatus is the more xerophytic, while Lupinus leucophyllus rarely occurs except on moist north or northeast hillsides or in the narrow intervening valleys... 
All are profusely branched to the third ,or fourth order, especially near the tip... Fourteen plants were excavated on  a northeast slope. The deepest reached only 5 feet and 5 inches. The average root depth was 4 feet and 9.6 inches.</t>
  </si>
  <si>
    <t>Six plants were examined on a southwest slope with an average root depth of 4 feet and 7.8 inches. The strongly developed tap root is seldom over 0.5 inch in diameter, usually pursues a course directly downward, and sends out many strong laterals at various depths... Like all the laterals, the tap root is usually profusely branched and the tip is also well provided with branchlets. One case was observed where the end of the tap root entered a worm hole at a depth of 47 inches and extended downward in the hole for 9 inches to its end, without branching,' but it was densely covered with root hairs. .. The shortest root-system reached a depth of 3 feet and 4 inches; the longest, 5 feet and 10 inches.</t>
  </si>
  <si>
    <t>the most common bunchgrass… The plant blossoms in June and dries out in early July, only to take on renewed growth after the autumn rains, and remain green all winter. Figure 10 shows Agropyron on the rim-rock with its roots penetrating the rock crevices to depths of 45, 46 and 48 inches. Ten plants were examined under these conditions. The roots of all followed the cleavage planes of the basalt on an average to a depth of 4 feet and 1.3 inches, but one extended along the deeper moist crevices to a depth of 5 feet... 
Twelve prairie Agropyrons were examined. This grass has coarser roots than any of the other three important native grasses. These coarse, fibrous roots have many short laterals. Some of these roots reach a depth of 4 feet and 9.5 inches, although on an average 4 feet and 2 inches was the greatest depth attained. Five plants on a southwest slope gave an average depth of 4 feet and 1.6 inches, while seven on a northwest slope reached an average depth of only 3 feet and 2.6 inches.</t>
  </si>
  <si>
    <t>Festuca ovina has a great mass of jet black roots which occupy the soil thoroughly from the surface to a depth of about 18 inches, below which depth relatively few roots extend... Twenty two plants were examined. The longest root found was 3 feet and 3 inches, the average length 2 feet and 1.5 inches for the deepest roots, but the great bulk of roots were less than 18 inches long. All the plants examined were on a southwest slope.</t>
  </si>
  <si>
    <t>The creamy-white roots spread laterally 3 to 5 inches and occupy thoroughly the first few inches of soil, relatively few extending below a depth of 8 inches, and none were found beyond 13 inches… Six plants were examined on the rim-rock with an average root depth of 7.2 inches. Eight prairie species of Poa growing on a southwest slope gave an average maximum depth of 9.7 inches.</t>
  </si>
  <si>
    <t>The roots resemble those of Agropyron but taper down faster, and have finer laterals which branch mostly to the third order. These laterals, like those of the shallow rooted Poa, are more numerous than in Agropyron. Six plants were examined. The deepest root found was at 28 inches, and 15 inches was determined as the average maximum depth.</t>
  </si>
  <si>
    <t>Twenty-five root-systems were excavated and examined. Balsamorhiza has a tap root sometimes reaching a diameter of 4 inches and an extreme depth of 8 feet and 10 inches… Five feet and 6.1  inches was determined as the average root depth. Nine plants on a southwest slope gave an average depth of 5 feet and 1.5 inches; fourteen on a northwest slope, 5 feet and 9.8 inches, and two on a northeast slope, 5 feet.</t>
  </si>
  <si>
    <t>Just as Balsamorhiza is characteristic of dry slopes, so Geranium is found most abundantly on moist northeast hillsides and in the valleys… Geranium has a well-developed tap root which may reach three inches in diamet'er… Twenty-four root-systems were examined. The greatest root depth, 9 feet and 6 inches, was reached on a northwest slope, and an average depth of 5 feet and 3.4 inches was determined. Thirteen plants on a northeast slope gave an average root depth of 4 feet and 8.1 inches, while eleven on a northwest slope reached an average depth of 6 feet and 0.2 inch.</t>
  </si>
  <si>
    <t>The black sunflower, at home in the moist meadows, also often occurs on rather dry hillsides… The fleshy tap root sometimes measures 9 inches in circumference and may reach a depth of 6 feet and 5 inches… Often at a depth of 1-3 feet the whole tap breaks up into 2-5 nearly equal parts which pursue a downward course, or later extend out as laterals... Eighteen plants on a northeast slope were examined. They had an average root depth of 5 feet and 0.4 inch.</t>
  </si>
  <si>
    <t>This plant, so characteristic of the rim-rock crevices especially on the more moist exposures, also occurs rather frequently  on moist slopes in the prairie… An examination of seven plants gave an average root depth of 5 feet and 1.4 inches. One root reached a depth of 5 feet and 11 inches. The strong tap is triangular in section near the top and often retains this shape to a depth of 2 feet.</t>
  </si>
  <si>
    <t>Fourteen root-systems were examined, mainly incidentally while excavating other roots. These large fleshy roots are sometimes 7 inches in circumference and may reach a depth of 5 feet and 7  inches. The fusiform roots may narrow down gradually  or rather abruptly, even to a diameter of one or two millimeters and then again enlarge at a greater depth to a size equalling the original. This is sometimes repeated several times, thus giving the root as a whole a beaded appearance. In general the roots are very poorly branched. Ten plants on a northwest slope gave an average depth of 3 feet and 11.3 inches, while five on a northeast slope reached an average depth of 4 feet and 6.7 inches, thus giving a total average root depth of 4 feet and 0.7 inch.</t>
  </si>
  <si>
    <t>They occur typically on dry hillsides… Helianthella has a tap root with a diameter seldom more than 0.8 inch… Twenty plants were examined. An average depth of 4 feet and 4.5 inches was found; the deepestrooted plant exceeding this by only 12.5 inches. Six plants on a southwest slope gave an average root depth of 4 feet and 4 inches; five on a northeast slope 4 feet and 8.6 inches; and ten on a northwest slope 4 feet and 7.1 inches.</t>
  </si>
  <si>
    <t>Thirty-four plants were examined. The deepest roots reached  7 feet and 7 inches, and 11 feet respectively, but the average depth was 5 feet and 5 inches. Hoorebekia has a strong tap root which tapers gradually to the end… The tap grows directly downward and is sparingly branched all the way to and at the tip... Twelve roots on a northeast slope averaged 5 feet and 3.4 inches in depth; twelve on a southwest slope 5 feet and 4 inches; and ten on a northwest slope 5 feet and 8.2 inches.</t>
  </si>
  <si>
    <t>conspicuous objects in the bunchgrass association of the rim-rock as well as in the prairie… Five root-systems were examined. The large tap roots, from 3 to 10 inches in circumference, give promise of deeper rootsystems than are actually attained. Only one plant reached a depth of 6 feet and 3 inches, and the average depth was only 4 feet and 10.3 inches... Two plants on a northwest slope each
reached a depth 16 inches greater than any examined on north or south slopes.</t>
  </si>
  <si>
    <t>This is a common, abundant, and cosmopolitan prairie species... Few roots of Sieversia penetrate beyond depths of 5 feet and 6 inches. It sends out as many as 20-30 roots from a single inch of its thick rootstock. None of these roots are over 3-4 millimeters in diameter. They pursue a vertically downward course and branch profusely all the way to the tip, sending off laterals seldom over 3 inches long but branched to the fifth order... Eleven plants were examined  on a northeast slope and an average root depth of 4 feet and 8.6 inches was determined.</t>
  </si>
  <si>
    <t>This mallow is confined to north hillsides and low ground...Only two root-systems were examined. In both numerous strong laterals were thrown off within 4 inches of the surface. At 24 inches the tap broke up into three nearly equal parts, the largest and longest part reaching a depth of only 3 feet and 1 inch. The other plant reached a depth of 4 feet and 1 inch.</t>
  </si>
  <si>
    <t>Twenty-six root-systems were examined. They gave an average depth of 5 feet and 4.3 inches… The longest root reached a depth of 7 feet and 9 inches. Fifteen plants on a northeast slope gave an average depth of 5 feet and 2.8 inches;  five on a southwest slope 5 feet and 3.4 inches; and six on a northwest slope 5 feet and 8.8 inches.</t>
  </si>
  <si>
    <t>This very common prairie plant occurs in all situations, but shows a decided preference for the more moist conditions… The tufted stems are borne on a short, thick crown from which several (2-5) main roots originate... Thirty root-systems were examined. Three of the longest roots penetrated to depths of 6 feet and 9 inches; 7 feet and 5 inches; and 7 feet and 5 inches respectively. The average depth was found to be 5 feet and 1.8 inches. Twelve plants on a northeast slope gave an average root depth of 4 feet and 11.2 inches, while 17 on a northwest slope reached an average depth of 5 feet and 4.3 inches.</t>
  </si>
  <si>
    <t>This plant seldom occurs except on the very driest ridges of high basaltic prairies, but is a very important ecological species upon the rim-rock and in the bunchgrass association. The great mats often cover an area of 2-3.5 square feet and the prostrate branches with their adventitious roots serve both to anchor the plant in place and lay hold upon the moisture of the superficial soil layers. It is a notable fact that the Eriogonums blossom and appear to thrive when most other plants of the rim-rock have long since dried out. This is explained in part by their extensive rootsystems The strong, woody, tap root 1 inch in diameter broke up at a depth of 6 inches into seven nearly equal laterals; only about one-fourth of the old tap root is shown in the figure. One of these laterals extended a distance of 13 feet and 6 inches as measured in a direct line from the plant, but had an actual length of 14 feet and 3.6 inches.</t>
  </si>
  <si>
    <t>Some examinations were also made of the roots of Rosa nutkana, and Symphoricarpos racemosus, both very common in nearly all prairie situations. They were found extending to depths of from 6 to over 8 feet.</t>
  </si>
  <si>
    <t>Iris missouriensis roots penetrated the soils of dry hillsides to 3 feet and 10 inches...</t>
  </si>
  <si>
    <t>Roots of Berberis repens penetrated the soils to a depth of over 10 feet. The orange-yellow roots, arising from the great system of horizontal stems on the rim-rock (where it often forms societies), resemble Eriogonum heracleoides in their abundant laterals and in the devious route they pursue in following the basaltic crevices.</t>
  </si>
  <si>
    <t>two species of Lomatium, L. grayi andL. macrocarpum, both abundant on thin soils, were examined. The long, fleshy, poorly branched taps are usually flattened, folded, and twisted as they crowd into the narrow crevices of the rock to depths of 3 to 5 feet or more.</t>
  </si>
  <si>
    <t>Polygonum majus, growing with Poa on thin stony soil, has a shallow but well developed root-system. The tap, seldom over 6.5 inches long (and usually less), sends off laterals profusely. In spite of the small leaf surface of this knot-grass, it has always been a puzzle to the writer how the plant could keep alive and even thrive and blossom abundantly from July to October upon the parched soils of the rim-rock.</t>
  </si>
  <si>
    <t>on a southwest slope</t>
  </si>
  <si>
    <t>on rim rocks SW of Pullman</t>
  </si>
  <si>
    <t>No location hints… The association with Agropyron and Poa suggests rim rock habitat.</t>
  </si>
  <si>
    <t>on a northwest slope</t>
  </si>
  <si>
    <t>bottom of a northwest slope</t>
  </si>
  <si>
    <t>on a northeast slope</t>
  </si>
  <si>
    <t>moist rim-rock exposure, facing north</t>
  </si>
  <si>
    <t>rim rock, northwest slope</t>
  </si>
  <si>
    <t>north hillside near the valley</t>
  </si>
  <si>
    <t>on a northwest slope near valley bottom</t>
  </si>
  <si>
    <t>south facing rim rock ridge, in what looks like grass mats</t>
  </si>
  <si>
    <t>Rosa nutkana is a sun-loving bush so a south facing slope is assumed</t>
  </si>
  <si>
    <t>Iris prefers wet meadows so a valley location is assumed</t>
  </si>
  <si>
    <t>rim rock</t>
  </si>
  <si>
    <t>NW slope</t>
  </si>
  <si>
    <t>base of N-facing slope, near valley floor</t>
  </si>
  <si>
    <t xml:space="preserve"> rim rock</t>
  </si>
  <si>
    <t>valley location</t>
  </si>
  <si>
    <t>Here is one case of grass roots penetrating deeply into fractures of basalt bedrocks. The vertical fractures of basalts may favor such rooting habits, just like in carbonate rocks that temd to form vertical and horizonal dissolution fractures for roots to exploit.</t>
  </si>
  <si>
    <t>basalt with vertical fractures</t>
  </si>
  <si>
    <t xml:space="preserve"> south facing slope</t>
  </si>
  <si>
    <t>a wetland plant according to wiki</t>
  </si>
  <si>
    <t>this plant grows on high ridge tops with extensive lateral roots some going into rock crevices… root depth not reported, but Fig. 18 shows a tap root of about 0.25m. Given that the author notes that only 1/4 of the tap root is shown, it is assumed that the tap root reached 1m, and the max root depth can be greater.</t>
  </si>
  <si>
    <t>an example of shallow but laterally extensive root system to help the plant thrive in the dry season</t>
  </si>
  <si>
    <t>fine silt-loam, can be very deep with worm holes</t>
  </si>
  <si>
    <t>67% in winter</t>
  </si>
  <si>
    <t>Riparian corridor amist prairie grass</t>
  </si>
  <si>
    <t>along Weeping Water Creek</t>
  </si>
  <si>
    <t>river terrace</t>
  </si>
  <si>
    <t>Although the root habits of a tree are governed, first of all, by the hereditary growth characters of the species, they are often quite as much the product of environment. Indeed, the impression has been gained by certain investigators that in some cases the root form is an expression of soil environment rather than that of inherent tendencies...The site has been occupied by only one or possibly two generations of trees. These have migrated on to the uplands from the valleys along streams where they were protected from prairie fires. Most of this migration and invasion of prairie has occurred in the 70 years since the early settlement of eastern Nebraska and the cessation of prairie fires.</t>
  </si>
  <si>
    <t>80% in growing season</t>
  </si>
  <si>
    <t>North Stradbroke Island, Australia</t>
  </si>
  <si>
    <t>subtropical eucalypt forest</t>
  </si>
  <si>
    <t xml:space="preserve">Broad-leaved White Mahogany </t>
  </si>
  <si>
    <t>Eucalyptus umbra</t>
  </si>
  <si>
    <t xml:space="preserve"> lies on a dune</t>
  </si>
  <si>
    <t xml:space="preserve"> tan-coloured sands of ~40k yrs of age, upon which podzols have formed to a depth of 1.2-2.5m</t>
  </si>
  <si>
    <t>iron pan</t>
  </si>
  <si>
    <t>Below the coffee-rock B2b layer (1.5m) virtually only tap roots and sinker roots are to be found; these woody roots, however, reach lengths of up to 10m. They successfully penetrate the iron pan, commontly throgh permanent iron- and humus-lined channels. These channels form apparently be reprecipitation of iron and humus material along the surface of cavities created by decaying roots...</t>
  </si>
  <si>
    <t>roots penetrating iron pan. "in a Eucalyptus signata dominated forest 15m tall, growing on a 100m elevation coastal sand done on North Stradbroke Island (153-30E, 27-30S)"</t>
  </si>
  <si>
    <t>van Wyk, 1963</t>
  </si>
  <si>
    <t>Natal, E. South Africa</t>
  </si>
  <si>
    <t>Lowveld, Lululand</t>
  </si>
  <si>
    <t>Northern Natal</t>
  </si>
  <si>
    <t xml:space="preserve">sycamore fig </t>
  </si>
  <si>
    <t>Ficus sycomorus / Acacia robusta / Acacia karroo</t>
  </si>
  <si>
    <t>Mugga, Red Ironbark or Mugga Ironbark</t>
  </si>
  <si>
    <t xml:space="preserve">Eucalyptus sideroxylon </t>
  </si>
  <si>
    <t>Redis - Brown sandy soils</t>
  </si>
  <si>
    <t>flat land</t>
  </si>
  <si>
    <t>soils are poor, shallow and sandy</t>
  </si>
  <si>
    <t>In Zululand the roots of certain Lowveld trees, e.g. Ficussycomorus, Acacia robusta and Acacia karroo, have been fished out of a large number of bore-holes at depths of 50 to 80 feet below ground-level (see pI. III).</t>
  </si>
  <si>
    <t>At least four cases have been encountered in Northern Natal where the roots of Eucalyptus sideroxylon entered bore-holes in shale at depths of 70 to 90 feet below ground-surface.</t>
  </si>
  <si>
    <t>The caption says: "PLATE IX.-Fishing roots from a bore-hole equipped with an automatic water-stage recorder on Broxburn, Ubombo District." But neither theh villlage of Broxburn, nor the district of Ubombo can be located on Google Earth. So lat and lon chosen to reflect borehole locations in Lululand in Fig.1 and overlap with "Lowveld" in Fig.2.</t>
  </si>
  <si>
    <t>Fig. 1 is used to locate a cluster of bore holes in the norhtern most part of the Natal region.</t>
  </si>
  <si>
    <t>Yeager, 1935</t>
  </si>
  <si>
    <t>North Dakota</t>
  </si>
  <si>
    <t>Prairie</t>
  </si>
  <si>
    <t>Hibernal apple</t>
  </si>
  <si>
    <t>Malus sylvestris</t>
  </si>
  <si>
    <t>Agricultural experiment station plots</t>
  </si>
  <si>
    <t>&gt; 4.5</t>
  </si>
  <si>
    <t>Most of the studies here recorded were made on the grounds of the North Dakota Agricultural College and Agricultural Experiment Station at Fargo… The soil is a Fargo clay, such as characterizes parts of the Red River Valley. It is very level and is sometimes deficient in drainage during the early spring months. The black surface soil extends downward to a depth of about 3 feet, where it changes to a light-colored calcareous, clayey subsoil. There is no true hardpan and no stratum of rock. Because of the continued deficiency of rainfall for many years the soil has become very dry and the water table is nowhere higher than 15 feet.</t>
  </si>
  <si>
    <t>Fargo clay, calcareous, clayey subsoil</t>
  </si>
  <si>
    <t>Since site locations are poorly described, it is difficult to locate the tens of trees sampled. Since they are all on the experimental station grounds, the deepest rooting plant is chosen to represent max rooting depth of the site. North Dakota State University is the host of the Agricaultural expeirment station at Fargo. The nearest open space is Island Park. A site on the northern edge of the park, nearest to the university campus, is assumed to be representative of the area, which is very flat.</t>
  </si>
  <si>
    <t>Yeatman, 1955</t>
  </si>
  <si>
    <t>Japanese larch</t>
  </si>
  <si>
    <t>Larix kaempferi</t>
  </si>
  <si>
    <t>Corsican pine</t>
  </si>
  <si>
    <t xml:space="preserve">Pinus nigra </t>
  </si>
  <si>
    <t>England and Scotland</t>
  </si>
  <si>
    <t xml:space="preserve"> plantation on upland heath</t>
  </si>
  <si>
    <t>Wykehan, hand prepared, Profile 1</t>
  </si>
  <si>
    <t>Wykehan, hand prepared</t>
  </si>
  <si>
    <t>Findlay's Seat, hand prepared</t>
  </si>
  <si>
    <t>Drumfergue, hand prepares</t>
  </si>
  <si>
    <t>strongly developed podzol; 1-3" peat, leached sandy A horizon, a hard pan 1/8-1/5" thick at depth 6-24", silt/clay sand B horizon, unweathered compact sand and stone parent material in C horizon, then a less compact region called the "loose region" at 3-6ft depth</t>
  </si>
  <si>
    <t>peaty gley podzols with hard pan on Boulder till</t>
  </si>
  <si>
    <t>podzolized silty loam frin slate parent material, thin peat on surface 2-3" thick, 4-8" dark organic silty loam, reddish yellow silt with cumb structure and small sot slate bits, then moderately compact olive grey silt</t>
  </si>
  <si>
    <t>Japanese larch has a somewhat similar root system to spruce, but tends to form a short central carrot-like tap root which divides into a number of descending roots; the lateral roots are not confined to the enar surface hozison</t>
  </si>
  <si>
    <t>The pines (Scots, Corsican, and lodgepole) typically have pronounced carrot-like tap roots with may reain their identity  to some depth, although they commonly divide into two or more descending roots.The lateral roots are seldomly confined to the surface, but normally expend within several inches of the surface horizons. They divide freely, supporting sinkers which exploit the lwoer horizons.</t>
  </si>
  <si>
    <t>Sitka spruce develops near-surface lateral roots, which form the principle support of the tree, irrespective of the condition of the soil</t>
  </si>
  <si>
    <t>only data on sites without soil disturbance (shallow and deep ploughing, drainage) are recorded; near the town Hykehan, in a place that looks like experimental tree lots</t>
  </si>
  <si>
    <t>near Findlay's seat, in a tree experiment lot near a pond</t>
  </si>
  <si>
    <t>near the town of Clashindarroch, on neat tree lots</t>
  </si>
  <si>
    <t>Potentilla arguta glandulosa</t>
  </si>
  <si>
    <t>The complexity of the rootstocks is such that they are hard to describe… clumps are connected throughout long distances… At a depth of 2 to 5 inches the roots often throw off a large number of small, short, but exceedingly well-branched surface absorbing laterals... some to a maximum depth of 4.5 feet... deeper soils are also completely occupied by the irregularly branched and rebranched root network</t>
  </si>
  <si>
    <t>Frasera speciosa</t>
  </si>
  <si>
    <t>monument plant, elkweed, deer's ears</t>
  </si>
  <si>
    <t>a strong, rather fleshy, glistening white tap-root… to a depth of 9 inches, where it divides into 4 branches… Arising from these more or less horizontal laterals, vertically descending roots were found to penetrate a maximum depth of 24 to 30 inches.</t>
  </si>
  <si>
    <t>Aster porteri</t>
  </si>
  <si>
    <t xml:space="preserve">Smooth white aster </t>
  </si>
  <si>
    <t>stem clusters connected by short rhizomes… base of the stems arise a multitude of fibrous roots… Great numbers descend vertically or somewhat obliquely, some to a maximum depth of 30 inches… profusely branched and rebranched…</t>
  </si>
  <si>
    <t>coarse, rocky soil, more humus</t>
  </si>
  <si>
    <t>gravel, sand, more humus</t>
  </si>
  <si>
    <t>This pertains to the entire Half Graval-slide community: The soils of the half-gravel-slide are much more favorable for plant growth, although from one-third to one-half of the surface may still be unoccupied… Although there is considerable variation, the rock is decayed to a greater depth, due undoubtedly in part to the excretions of plant roots and the resultant porosity of the soil, and to greater water penetration following the death and decay of the roots....</t>
  </si>
  <si>
    <t>Data for the forest community is not recorded because only the understory herbaceous plants are sampled which likely have shallow roots than the trees and do not represent the community rooting depth</t>
  </si>
  <si>
    <t>the above statement points to plants as a biologic force in weathering and soil formation</t>
  </si>
  <si>
    <t>comparisons were made among same species but different habitats (ecads); the first 2 are included here which involves the water table in the forested community; others relate to differences in rainfall and soil and across several habitats.</t>
  </si>
  <si>
    <t>in a spruce-fir forest 24ft from brook bank</t>
  </si>
  <si>
    <t>Forest community</t>
  </si>
  <si>
    <t>0.5" humus on humus-sand on very moist sand-gravel-rock</t>
  </si>
  <si>
    <t>fewer and shorter roots compared to Gravel-slide with only 1 short, vs. 5 long, sinker root (plate 29a)</t>
  </si>
  <si>
    <t>Chamrenerium angustifolium</t>
  </si>
  <si>
    <t>foot of a slope near a stream</t>
  </si>
  <si>
    <t>1-2"humus on rich black sand/gravel to2-3ft</t>
  </si>
  <si>
    <t>mush shallower roots than in Gravel-slide; large laterals run parallel to surface at 1.5ft depth (Fig.51)</t>
  </si>
  <si>
    <t>fireweed</t>
  </si>
  <si>
    <t>on a steep slide</t>
  </si>
  <si>
    <t>This gravel slide speciman is decribed in Fig.51, under Ecad section. Fig.51 contrasts the rooting structure in 2 habitats</t>
  </si>
  <si>
    <t>A comparison of the two root systems emphasized the paucity of small laterals in the forest ecad and their abundance in the gravel-slide.</t>
  </si>
  <si>
    <t>Derbel and Chaieb, 2012</t>
  </si>
  <si>
    <t>Central Tunisia</t>
  </si>
  <si>
    <t>Saharian desert</t>
  </si>
  <si>
    <t>Calligonum polygonoides</t>
  </si>
  <si>
    <t>Ephedra alata - alenda</t>
  </si>
  <si>
    <t>Anthyllis henoniana</t>
  </si>
  <si>
    <t>phog</t>
  </si>
  <si>
    <t xml:space="preserve">xerophytic shrub </t>
  </si>
  <si>
    <t>xerophytic shrub</t>
  </si>
  <si>
    <t>no rain Jun-Aug</t>
  </si>
  <si>
    <t xml:space="preserve">The coarse root systems of C. polygonoides were characterized by an intensive shallow system which reached 20m… </t>
  </si>
  <si>
    <t xml:space="preserve">Anthyllis henoniana was a tap-rooted perennial shrub. Its short pivot root reached 1 m depth. The first ramification developed at 20 cm depth </t>
  </si>
  <si>
    <t>Longitude gives 79" - interpreted as 49"… tap root short but lateral roots reaching 2.2m (Fig.2)</t>
  </si>
  <si>
    <t>The root system of H. deserti was both deep and surface branched. It was characterized by a short taproot which did not exceed 1.2 m and by numerous ramifications developed horizontally at 30–40 cm deep</t>
  </si>
  <si>
    <t>dune</t>
  </si>
  <si>
    <t>reg</t>
  </si>
  <si>
    <t>deflation</t>
  </si>
  <si>
    <t>sand</t>
  </si>
  <si>
    <t>loamy sand</t>
  </si>
  <si>
    <t>perennial, evergreen</t>
  </si>
  <si>
    <t>E. alata showed a dual strategy, that is, development of a deep taproot with additional shallow rooting. The taproot penetrated to a depth of more than 1.5 m,  and superficial lateral roots ran horizontally 10 m from the tap root… This evergreen aptitude can be explained by the presence of deep-reaching roots that are able to tap permanent water levels and by shallower roots capturing moisture from night-time condensation</t>
  </si>
  <si>
    <t>Dorji et al., 2013</t>
  </si>
  <si>
    <t>near Nam Tso lake, central Tibet</t>
  </si>
  <si>
    <t>alpine meadow grassland</t>
  </si>
  <si>
    <t>falls mainly Jun-Sep</t>
  </si>
  <si>
    <t>Kobresia pygmaea</t>
  </si>
  <si>
    <t>Potentilla saundersiana</t>
  </si>
  <si>
    <t>Astragalus rigidulus</t>
  </si>
  <si>
    <t>Potentilla fruticosa</t>
  </si>
  <si>
    <t>We defined K. pygmaea as a shallow-rooted, early-flowering species because it has a fibrous rooting system, which is mostly confined within the top 10 cm below ground</t>
  </si>
  <si>
    <t>We defined A. rigidulus as a deeprooted, late-flowering species because it has a strong taproot, which often grows 30 cm below the soil surface</t>
  </si>
  <si>
    <t>We defined P. saundersiana as a shallow-rooted, mid-flowering species because it has a small taproot (often less than 3 mm diameter), which does not grow deeper than 10 cm below the soil surface in our system</t>
  </si>
  <si>
    <t>The mean annual temperature is  -0.6°C; permafrost likely</t>
  </si>
  <si>
    <t>bog sedges</t>
  </si>
  <si>
    <t>Davidson et al., 2011</t>
  </si>
  <si>
    <t>Tapajos, Para, Brazil</t>
  </si>
  <si>
    <t>Tapajos National Forest, control site</t>
  </si>
  <si>
    <t>6 (Jul-Dec)</t>
  </si>
  <si>
    <t>deeply weathered Haplustox</t>
  </si>
  <si>
    <t>plateau</t>
  </si>
  <si>
    <t>root activity infered from soil water depletion; pertaining to the forest, not individual tree</t>
  </si>
  <si>
    <t>Active water uptake by deep roots to approximately 18 m depth can be inferred from the resistivity data (Fig. 3). Drainage alone would not result in soil drying to below field capacity…Although deep roots were not abundant, they accessed important quantities of soil water to about 18 m depth in this study.</t>
  </si>
  <si>
    <t>Tropical seasonal forest, E Amazon</t>
  </si>
  <si>
    <t>Breda et al., 1995</t>
  </si>
  <si>
    <t>NE France</t>
  </si>
  <si>
    <t>silty-clay loam (30cm), hydromorphic spots, then clay-rich B (70cm), then deep loam</t>
  </si>
  <si>
    <t>Champenoux forest, 30-40yr oak stand</t>
  </si>
  <si>
    <t>Quercus petraea</t>
  </si>
  <si>
    <t>sessile oak</t>
  </si>
  <si>
    <t>on very gental slope</t>
  </si>
  <si>
    <t>trench stopped at 1.6m; max depth inferred from soil water depletion at 2m</t>
  </si>
  <si>
    <t>Temporal variation of soil water content was measured down to -200 cm, corresponding to the bottom of the root system, deeper fine roots being observed on cores down to -200 cm.</t>
  </si>
  <si>
    <t>February et al., 2011</t>
  </si>
  <si>
    <t>Namaqualand, W. South Africa</t>
  </si>
  <si>
    <t>ecotone between dwarf leaf succulent shrubs and grass</t>
  </si>
  <si>
    <t>Stipagrostas brevifolia</t>
  </si>
  <si>
    <t>Ruschia robusta</t>
  </si>
  <si>
    <t xml:space="preserve">Swart T'nouroebos </t>
  </si>
  <si>
    <t>nutrient poor coarse sands with little organic matter, over a subsurface hardpan</t>
  </si>
  <si>
    <t>max rooting depth extrapolated from Fig. 3 using last 3 points</t>
  </si>
  <si>
    <t xml:space="preserve">The proportion of root material that belongs to shrubs was significantly higher in the top 5 cm of the soil than lower down; </t>
  </si>
  <si>
    <t>The proportion of root material that may be attributed to grasses is lower in the top two layers of the soil than lower down the profile</t>
  </si>
  <si>
    <t>Badia et al., 2011</t>
  </si>
  <si>
    <t>Bajo Cinca, NE Spain</t>
  </si>
  <si>
    <t>0.6-0.8</t>
  </si>
  <si>
    <t>Mediterran desert</t>
  </si>
  <si>
    <t>Platform</t>
  </si>
  <si>
    <t>Step</t>
  </si>
  <si>
    <t>Depression</t>
  </si>
  <si>
    <t>on top of structural platform</t>
  </si>
  <si>
    <t>on mid-slope step</t>
  </si>
  <si>
    <t>in depression</t>
  </si>
  <si>
    <t>cemented carbonate</t>
  </si>
  <si>
    <t>lithic contact (R layer)</t>
  </si>
  <si>
    <t>thin loam, with stone</t>
  </si>
  <si>
    <t>silty loam or silty clay loam, platy, often with salt</t>
  </si>
  <si>
    <t>Rosmarinus officinalis, Thymus vulgaris</t>
  </si>
  <si>
    <t>rosemary and thyme</t>
  </si>
  <si>
    <t>Artemisia herba-alba, Salsola vermiculata</t>
  </si>
  <si>
    <t>nitrohalophilous herb</t>
  </si>
  <si>
    <t>halophilous herb</t>
  </si>
  <si>
    <t>Suaeda vera, Atriplex halimus, Aizoon hispanicum</t>
  </si>
  <si>
    <t>Rising water table with the planned large-scale irrigation is warned for the platform and step units, and drainage and salt water disposal is recommended for the depressions, but no water table data was collected</t>
  </si>
  <si>
    <t>hot and windy summer</t>
  </si>
  <si>
    <t>Armas et al., 2010</t>
  </si>
  <si>
    <t>Juniperus phoenicea</t>
  </si>
  <si>
    <t>Almeria, S coast of Spain</t>
  </si>
  <si>
    <t>Pistacia lentiscus</t>
  </si>
  <si>
    <t>mastic</t>
  </si>
  <si>
    <t xml:space="preserve">Phoenicean Juniper </t>
  </si>
  <si>
    <t>Dry Mediterranean</t>
  </si>
  <si>
    <t>on top of dunes</t>
  </si>
  <si>
    <t>rooting depths inferred from plant water use (1m soil water vs. GW at depth of 3.5m) via isotopes; mentioned that soil dry above WT, so assumes if plants use GW roots must be near WTD</t>
  </si>
  <si>
    <t>water table depth inferred from Fig.2 and related text… here salt tolerance allows lentisc to use salty groundwater</t>
  </si>
  <si>
    <t>In this dry system the physiology of lentisc seems to be relatively independent of rainfall… Lentisc d18O in xylem sap matched that of the salty aquifer, that was apparently its main water source… Salty water does not seem to have
constrained lentisc performance, and it is known to be a relatively salt-tolerant species</t>
  </si>
  <si>
    <t>sap isotopic signatures of isolated juniper matched that of soil 1 m above the water table and did not differ from values of soil 1 m below the dune surface… suggesting that these plants were taking up relatively fresh water… Thus, our hypothesis that juniper lacked deep roots does not hold because our results suggest that juniper was able to tap water from the dune down to 1 m above the water table.</t>
  </si>
  <si>
    <t>Dell et al., 1983</t>
  </si>
  <si>
    <t>Eucalyptus marginata</t>
  </si>
  <si>
    <t>jarrah</t>
  </si>
  <si>
    <t>Jarrahdale, W.A., Australia</t>
  </si>
  <si>
    <t>Mediterra forest</t>
  </si>
  <si>
    <t>upland position</t>
  </si>
  <si>
    <t>lowland position (500m downslope, 30m lower)</t>
  </si>
  <si>
    <t>undisturbed forest, upland site</t>
  </si>
  <si>
    <t>undisturbed forest, lowland site</t>
  </si>
  <si>
    <t>A dense mat of surface roots occupied the shallow topsoil (30 cm deep). Sinker roots, initiated from major laterals (Fig. 2), descended through fissures or conduits in the caprock (Fig. 3) and entered distinct vertical channels that passed through the friable bauxitic  layer and on into the pallid zone... At the upland forest site, both fine and woody roots were recorded throughout the profile to bedrock at 14 m. No potentiometric surface was recorded in any season at this site.</t>
  </si>
  <si>
    <t>gavelly sand (0.3m), on indurated clay (1m), on bauxite (5m), on soft clay 12m, then bedrock</t>
  </si>
  <si>
    <t>gravely sand (1.3m), on bauxite (3.5m), on soft clay (36m), on bedrock</t>
  </si>
  <si>
    <t>Fine roots were recovered to 40 m at the downslope site (Fig. 6). These roots extended below the level of the measured potentiometric surface at 15 m. Records of fresh cores first showed soil saturation at about this same level… Woody roots were rarely detected below 15 m.</t>
  </si>
  <si>
    <t>best illustration of root channels, repeatedly used by roots, rich in organic material, and enabling roots to go far deeper … (the channels) "provide access for major descending roots into the otherwise inaccessible deep clay horizon, and are provided with a ready supply offree water by a relatively shallow perching layer."</t>
  </si>
  <si>
    <t>author: "our observation of a potentiometric surface at 15 m in a profile with fine roots to 40 m appears unusual.. Conceivably, roots could extend around and below the saturated area. Alternatively, the potentiometric level may be that of a deeper, confined groundwater system. The first explanation appears most consistent with the recording of saturation at 15 m depth in fresh soil cores."</t>
  </si>
  <si>
    <t>80% in 5 winter mon</t>
  </si>
  <si>
    <t>Jobbagy et al., 2011</t>
  </si>
  <si>
    <t>Gries et al., 2003</t>
  </si>
  <si>
    <t>Taklamakan Desert, W. China</t>
  </si>
  <si>
    <t>silt</t>
  </si>
  <si>
    <t>Euphrates Poplar, Desert Poplar</t>
  </si>
  <si>
    <t>Saltcedar</t>
  </si>
  <si>
    <t>Tamarix transect</t>
  </si>
  <si>
    <t>Populus transect</t>
  </si>
  <si>
    <t>dune top</t>
  </si>
  <si>
    <t>Water-saturated soil was detected at a depth of 7.25 m at the P. euphratica site… Soil water content was less than 3% throughout the profiles to a depth of approximately 6.5 m at the P. euphratica site</t>
  </si>
  <si>
    <t>Water-saturated soil was detected at a depth of 5m at the T. ramosissima site… Soil water content was less than 3% throughout the profiles to a depth of approximately 4.2 m at the T. ramosissima site</t>
  </si>
  <si>
    <t xml:space="preserve">the statement left suggests that capillary firnge is 9.8-7.25=1.55m; since plants entirely use GW, one may assume that roots reach the top of capillary fringe. </t>
  </si>
  <si>
    <t>No actual root data is given, so rooting depth is assumed to be capillary fringet plus water table depth</t>
  </si>
  <si>
    <t xml:space="preserve">the statement left suggests that capillary firnge is 5-4.2=0.8m; since plants entirely use GW, one may assume that roots reach the top of capillary fringe. </t>
  </si>
  <si>
    <t>midslope</t>
  </si>
  <si>
    <t>lower slope</t>
  </si>
  <si>
    <t>dune valley</t>
  </si>
  <si>
    <t>February et al., 2013</t>
  </si>
  <si>
    <t>near Darwin, Australia</t>
  </si>
  <si>
    <t>broadleaved woody savanna</t>
  </si>
  <si>
    <t>sandy loams derived from underlying laterites</t>
  </si>
  <si>
    <t>laterite</t>
  </si>
  <si>
    <t>Eucalyptus tetrodonta, Eucalyptus miniata</t>
  </si>
  <si>
    <t>Where water is not limiting to tree growth, such as at our study site, fire exclusion will lead to a biome shift from savanna to forest as forest tree species gradually establish</t>
  </si>
  <si>
    <t>Eucalyptus dominate; tree roots dominate over annual-perennial grass roots under canopy and away, the former recorded here; no data below 0.6m but the laterite may be a barrier</t>
  </si>
  <si>
    <t>&gt;0.6</t>
  </si>
  <si>
    <t>trees</t>
  </si>
  <si>
    <t>Flombaum &amp; Sala, 2012</t>
  </si>
  <si>
    <t>INTA Rio Mayo, Argentina</t>
  </si>
  <si>
    <t>coarse textured with gravel and stones</t>
  </si>
  <si>
    <t>Patagonian steppe</t>
  </si>
  <si>
    <t>Stipa speciosa</t>
  </si>
  <si>
    <t>Stipa humilis</t>
  </si>
  <si>
    <t xml:space="preserve">species removed/ thinned to create gradients </t>
  </si>
  <si>
    <t>Adesmia volckmanni</t>
  </si>
  <si>
    <t>Senecio filaginoides</t>
  </si>
  <si>
    <t>Desert needle grass</t>
  </si>
  <si>
    <t>Poa ligularis</t>
  </si>
  <si>
    <t xml:space="preserve">neneo, black grass, grass snake </t>
  </si>
  <si>
    <t>Yuyo moro, rosemary, blackberry bush, Black Bush, silver charcao</t>
  </si>
  <si>
    <t>Rooting depth from Fig.1</t>
  </si>
  <si>
    <t>Shrubs have deep roots and absorb water from deeper layers whereas grasses with their shallow roots take up water from upper soil layers. Water resources in these two layers have different seasonal dynamics and consequently shrubs and grasses are linked to two distinct resources. 
Species in Patagonia show high degree of niche complementarity as a result of traits affecting carbon, water, microclimate, and nitrogen dynamics of the ecosystem. 
Traits associated with water had the largest contribution to niche complementarity and those associated with nitrogen smallest. 
Therewas a clear gradient for species rooting depth, a key trait in arid ecosystems since it is related to resource uptake in space and time</t>
  </si>
  <si>
    <t>outside Panama, Panama</t>
  </si>
  <si>
    <t>Jan-Apr (150mm)</t>
  </si>
  <si>
    <t>Trichostigma octandrum</t>
  </si>
  <si>
    <t>liana</t>
  </si>
  <si>
    <t>Parque Natural Metropolitano</t>
  </si>
  <si>
    <t>seasonal-dry tropical forest</t>
  </si>
  <si>
    <t>Anacardium excelsum</t>
  </si>
  <si>
    <t>wild cashew or espavé</t>
  </si>
  <si>
    <t>host tree</t>
  </si>
  <si>
    <t>Hoopvine, black basket wythe</t>
  </si>
  <si>
    <t>Reported waterlogging at 60cm interpretated to represent saturated zone</t>
  </si>
  <si>
    <t>Here is a case that the shallow-rooting, likely due to water-logging, contradicts earlier studies of deep rooting in lianas.</t>
  </si>
  <si>
    <t>Ancon clay with ≥ 25% clay and ≥ 35% silt</t>
  </si>
  <si>
    <t>Wright et al., 1992</t>
  </si>
  <si>
    <t>Barro Colorado Island, Panama</t>
  </si>
  <si>
    <t>tropical moist forest</t>
  </si>
  <si>
    <t>Dec-Apr (84mm)</t>
  </si>
  <si>
    <t>Psychotria chagrensis</t>
  </si>
  <si>
    <t>Psychotria horizontalis</t>
  </si>
  <si>
    <t>Psychotria limonensis</t>
  </si>
  <si>
    <t>Psychotria marginata</t>
  </si>
  <si>
    <t>Psychotria furcata</t>
  </si>
  <si>
    <t>not irrigated</t>
  </si>
  <si>
    <t>rooting depthis mean of 3 large individuals</t>
  </si>
  <si>
    <t>Root systems were excavated for three large individuals of each species taking particular care to obtain the deepest roots. Root excavations took place on the mainland 1 km from the study site.</t>
  </si>
  <si>
    <t>location gussed, on mainland to the north of BCI, near a clearing (for excavation equipments)</t>
  </si>
  <si>
    <t>P. Iimonensis was buffered against drought by the lowest dry-season conductances and the deepest roots (averaging 244% deeper than its congeners) and was the only species to produce large numbers of leaves in the dry season</t>
  </si>
  <si>
    <t>Kimber, 1974</t>
  </si>
  <si>
    <t>site-3, Jarrahdale open-cut bauxite mine</t>
  </si>
  <si>
    <t>on a steep slope, above a water-filled pit</t>
  </si>
  <si>
    <t>laterite duracrust</t>
  </si>
  <si>
    <t>1.2-2.5m</t>
  </si>
  <si>
    <t>gravely sand (1.2m), laterite (-2.5m), clayey-sand and sandy-clay (-12m), kaolinitic clay</t>
  </si>
  <si>
    <t>The results indicate that jarrah has a dense lateral root system confined to the gravel zone above the massive laterite layer. Beneath this a well -developed sinker root system penetrates to considerable depths and develops into a secondary fine root system in the
clay immediately above the water table... 
Sampling was confined to a zone between water level and 1.2 m above. Maximum root development was found 0.6 to 0.9 m above water level and decreased rapidly above and below this level.</t>
  </si>
  <si>
    <t>Near Jarrahdale, W Australia</t>
  </si>
  <si>
    <t>Mediterranean dry forest</t>
  </si>
  <si>
    <t>The best illustration of dimorphic roots, but no max depth data for site-1 and 2. P data from Dell et al., 1983</t>
  </si>
  <si>
    <t>Given lat-lon way off (wrong province). Ma-2014 gives Yulin district. A tree plantation is selected N of the city.</t>
  </si>
  <si>
    <t>Ma et al., 2013; 2014</t>
  </si>
  <si>
    <t>Yulin, Shaanxi Province, C. China</t>
  </si>
  <si>
    <t>50% in July-Sept</t>
  </si>
  <si>
    <t>sandy loam (1.2m rain penetration)</t>
  </si>
  <si>
    <t>Ziziphus jujube</t>
  </si>
  <si>
    <t xml:space="preserve"> jujube, red date, Chinese date</t>
  </si>
  <si>
    <t>S facing upper slopes</t>
  </si>
  <si>
    <t>F-5, not irrigated or fertilized</t>
  </si>
  <si>
    <t>At each sampling point, a soil core method using a LuoYang shovel was employed... We sampled the deep soil until no more roots were obtained in two consecutive soil intervals. This process required 2 h to sample a depth of 5.4 m in stands F1–F4 and 5 h to sample of depth of 10.4 m in stand F5.</t>
  </si>
  <si>
    <t>Wei et al., 2013</t>
  </si>
  <si>
    <t>2.7 - 3.7</t>
  </si>
  <si>
    <t>rooting depth inferred from xylem isotope, which is similar to GW than rain and did not vary over the season</t>
  </si>
  <si>
    <t>90% in May-Sept</t>
  </si>
  <si>
    <t>Pinus sylvestris var. mongolica</t>
  </si>
  <si>
    <t>Mongolian pine</t>
  </si>
  <si>
    <t>sandy, with more silt and clay</t>
  </si>
  <si>
    <t>Naiman Research Station</t>
  </si>
  <si>
    <t>Inner Mongolia, NE China</t>
  </si>
  <si>
    <t>there was not much difference in water sources used by the pine trees grown at the top of the fixed dune and in the inter dune lowland, although these two sites had 3–8 m elevation difference.</t>
  </si>
  <si>
    <t>18O isotope composition of the xylem water exhibited little seasonality, suggesting that the trees use a relatively stable water source; the water source of the pine trees primarily came from a soil depth of 20–60 cm (sampling depth up to 60 cm in this
study) and the trees might use groundwater when soil moisture became extremely low;</t>
  </si>
  <si>
    <t>water table declined after 2000 due to pumping (and pine diaback widespread) so data from 1979-1997 is recorded here. Since no recharge (by author) and WT flat, WT adjusted by elevation</t>
  </si>
  <si>
    <t>4.7 - 5.7</t>
  </si>
  <si>
    <t>Krishnamurthy et al., 2012</t>
  </si>
  <si>
    <t>Jatropha curcas</t>
  </si>
  <si>
    <t>Barbados Nut, Purging Nut, Physic Nut</t>
  </si>
  <si>
    <t>shrub /small tree</t>
  </si>
  <si>
    <t>lat-lon moved 1km to E to match reported elevation of 549m, in a similar grove</t>
  </si>
  <si>
    <t>Patancheru, S.C. India</t>
  </si>
  <si>
    <t>sandy clay loam to clay, gravel layers below 0.6m</t>
  </si>
  <si>
    <t>The rooting depth was 1.4 m with a greater root length distribution at the surface soil... In most plants the tap root branched into many primary branches and these branches tapered off within a short length into fine roots, producing horizontal shallow branches spreading on all sides</t>
  </si>
  <si>
    <t>Koteen et al., 2011</t>
  </si>
  <si>
    <t>Marin County, N-C California</t>
  </si>
  <si>
    <t>Mediterranean grassland</t>
  </si>
  <si>
    <t>0-2% slope, NE facing</t>
  </si>
  <si>
    <t>Tennessee Valley site, native perennial grass</t>
  </si>
  <si>
    <t>Tennessee Valley site, invaded annual grass</t>
  </si>
  <si>
    <t>Bolinas Lagoon Preserve site, native perennial grass</t>
  </si>
  <si>
    <t>Bolinas Lagoon Preserve site, invaded annual grass</t>
  </si>
  <si>
    <t>sandy loam, sandstone/shale bedrock</t>
  </si>
  <si>
    <t>sandstone /shale</t>
  </si>
  <si>
    <t>0-5% slope, S facing</t>
  </si>
  <si>
    <t>Avena barbata, Lolium multiflorum, Briza maxima and Vulpia spp</t>
  </si>
  <si>
    <t>rhizomatous grass</t>
  </si>
  <si>
    <t>Agrostis halli</t>
  </si>
  <si>
    <t>Festuca rubra</t>
  </si>
  <si>
    <t>invasive European annual grass</t>
  </si>
  <si>
    <t>dry season May-Sept</t>
  </si>
  <si>
    <t>Brachypodium distachyon, Avena fatua, and Briza maxima</t>
  </si>
  <si>
    <t>Nassella pulchra, Bromus carinatus, by Elymus glaucus</t>
  </si>
  <si>
    <t>we found consistently higher stocks of carbon in soils of the native perennial grass community relative to the non-native annual community, particularly at soil depths below 30 cm, but also near the top of the soil profile at both sites</t>
  </si>
  <si>
    <t>annual grass root system concentrated in the top 10–20 cm of soil</t>
  </si>
  <si>
    <t>location moved 200m to east to be on NE facing slope with z=220m</t>
  </si>
  <si>
    <t>location given very accurate! (on S facing slope with z=168m)</t>
  </si>
  <si>
    <t>McLaughlin et al., 2011</t>
  </si>
  <si>
    <t>southern Ontario, Canada</t>
  </si>
  <si>
    <t>Water deficit (possibly combined with bark beetle attack) was determined as the cause of death at the northernmost site (Gurd Pr18, Parry Sound District). A thick layer of coarse gravel underlying the dead trees provided further evidence to support this diagnosis. Root disease pathogens were not found at this site.</t>
  </si>
  <si>
    <t>Bruce County, Grey-Sauble 89/11, healthy plot</t>
  </si>
  <si>
    <t>Simcoe County, Baxter 249b, healthy plot</t>
  </si>
  <si>
    <t>Bruce County, Grey-Sauble 89/11, dead plot</t>
  </si>
  <si>
    <t>Simcoe County, Baxter 249b, dead plot</t>
  </si>
  <si>
    <t>Simcoe County, Phelpston 165b, healthy plot</t>
  </si>
  <si>
    <t>Simcoe County, Phelpston 165b, dead plot</t>
  </si>
  <si>
    <t>Dufferin County, Randwick I, healthy plot</t>
  </si>
  <si>
    <t>Dufferin County, Randwick I, dead plot</t>
  </si>
  <si>
    <t>Northumberland County, Ganaraska 7b, healthy plot</t>
  </si>
  <si>
    <t>Northumberland County, Ganaraska 7b, dead plot</t>
  </si>
  <si>
    <t>Norfolk County, Miller Lumber site, healthy plot</t>
  </si>
  <si>
    <t>Norfolk County, Miller Lumber site, dead plot</t>
  </si>
  <si>
    <t>York Region, North 30b, healthy plot</t>
  </si>
  <si>
    <t>York Region, North 30b, dead plot</t>
  </si>
  <si>
    <t>Parry Sound District, Gurd Tree Improvement Area Pr 18, healty plot</t>
  </si>
  <si>
    <t>Parry Sound District, Gurd Tree Improvement Area Pr 18, dead plot</t>
  </si>
  <si>
    <t>Durham Region, Brookdale 8a, healthy plot</t>
  </si>
  <si>
    <t>Durham Region, Brookdale 8a, dead plot</t>
  </si>
  <si>
    <t>gravely loam</t>
  </si>
  <si>
    <t>fine sand / sandy loam</t>
  </si>
  <si>
    <t>gravely sandy loam</t>
  </si>
  <si>
    <t xml:space="preserve">on the Baxter 249b site scattered windthrow of living trees was also observed… </t>
  </si>
  <si>
    <t>The mean rooting depth on healthy sites was 195 cm, significantly deeper than the 143 cm (p &lt; 0.0001) observed on all diseased sites.. The rooting depth of living trees (144 cm) was not greater than that of trees that died (140 cm).</t>
  </si>
  <si>
    <t>At all paired sites (healthy vs. sick), forest stands are picked with one greener than the other. Since the study is recent, GoogleEarth images may reflect the condition well.</t>
  </si>
  <si>
    <t>Large forests nearest the town of Baxter is chosen</t>
  </si>
  <si>
    <t>The large forest stands near Phelpston is chosen</t>
  </si>
  <si>
    <t>The forest near Randwick is chosen</t>
  </si>
  <si>
    <t>Near Ganaraska Forest Centre; hard to tell healthy from sick</t>
  </si>
  <si>
    <t>Near Grey-Sauble Conservation Authority nearest to the location on map (fig.1)</t>
  </si>
  <si>
    <t>Could not locate Miller Lumber; a plantation-like forest stand (with rows of trees) is picked nearest the spot on fig.1</t>
  </si>
  <si>
    <t>location picked closest to point given in fig.1</t>
  </si>
  <si>
    <t>Prosopis flexuosa</t>
  </si>
  <si>
    <t>algarrobo</t>
  </si>
  <si>
    <t>Central Monte, Argentina</t>
  </si>
  <si>
    <t>desert (oasis)</t>
  </si>
  <si>
    <t>low interdune</t>
  </si>
  <si>
    <t>based on isotopic evidence, assumed to be at least top of the capillary zone</t>
  </si>
  <si>
    <t>less than 0.1 m</t>
  </si>
  <si>
    <t>(extremely) low interdune</t>
  </si>
  <si>
    <t>Bornman et al., 2004</t>
  </si>
  <si>
    <t>Gevorkiantz et al., 1943</t>
  </si>
  <si>
    <t>Johnson et al., 2013</t>
  </si>
  <si>
    <t>SW Australia</t>
  </si>
  <si>
    <t>Nilsen et al., 1983</t>
  </si>
  <si>
    <t>Neykova et al., 2011</t>
  </si>
  <si>
    <t>Mt. Kenya area, C Kenya</t>
  </si>
  <si>
    <t>Zea mays</t>
  </si>
  <si>
    <t>Kithoka</t>
  </si>
  <si>
    <t>Thuura</t>
  </si>
  <si>
    <t>&gt; 1.4</t>
  </si>
  <si>
    <t>1500 - 2400</t>
  </si>
  <si>
    <t>on crest of a plateau</t>
  </si>
  <si>
    <t>almost level area</t>
  </si>
  <si>
    <t>clay Haplic Nitisols derived from pyroclastic tuff</t>
  </si>
  <si>
    <t>max depth not reached; single crop and inter-cropping with legume made no difference to rooting depths</t>
  </si>
  <si>
    <t>Shiponeni et al., 2011</t>
  </si>
  <si>
    <t>ecotone: xeric shrub land / dry steppe</t>
  </si>
  <si>
    <t>N. Cape Province, W. South Africa</t>
  </si>
  <si>
    <t>Kougoedvlakte</t>
  </si>
  <si>
    <t>Goegap Nature Reserve</t>
  </si>
  <si>
    <t>Leipoldtia pauciflora</t>
  </si>
  <si>
    <t>Stipagrostis brevifolia</t>
  </si>
  <si>
    <t>leaf 
succulent shrubs</t>
  </si>
  <si>
    <t>freely drained sandy soil with little OM</t>
  </si>
  <si>
    <t>The top 10 cm of the root system of S. brevifolia was made up of a dense tuft of thick and tough non-fibrous roots. These roots contributed 30% to the total root mass, but they did not spread horizontally (Fig. 5). The root system then became more fine and fibrous below 10 cm, spreading both horizontally and vertically throughout the excavation depth. More than half of the total root mass was found between 10 and 40 cm deep</t>
  </si>
  <si>
    <t>had a taproot, recorded as deep as 55 cm... were primarily coarse, with ~ 70% of the root mass &gt; 2 mm in diameter. &gt; 90% of the total root mass occurred in the top 20 cm in the form of secondary roots that spread horizontally, often extending more than 1m from the stem (Fig. 6). In all three, R. robusta plants excavated at Kougoedvlakte, a coarse lateral root split from the taproot at 30 cm. The diameter of the taproot then reduced and continued down vertically into the cracks in the bedrock. Since the ground hardened at ~ 40 cm, excavation was difficult beyond and was discontinued at 50 cm in all but one excavation (taproots were cut at this depth). Only one of the three excavated R. robusta plants was followed up to the end of the root sytem, measured at 55 cm.</t>
  </si>
  <si>
    <t>had shallowest root system and only 3% of the total root mass was found below 10 cm, and none below 20 cm (Fig. 7). The roots were also predominantly fine, with about 80% of the total dry root mass less than 2 mm in diameter.</t>
  </si>
  <si>
    <t>extending the root ball in Fig. 5b suggests max depth of 0.95m; location by searching De Riet on GE</t>
  </si>
  <si>
    <t>from Fig. 6b; location by searching De Riet on GE</t>
  </si>
  <si>
    <t>from Fig. 7b; given lat-lon moved slightly to where there is vegetation</t>
  </si>
  <si>
    <t>Abdi et al., 2010</t>
  </si>
  <si>
    <t>N slope of Alborz Mountains, N. Iran</t>
  </si>
  <si>
    <t>calcareous bedrock (Jura, Cretaceous) with cracks penetrable by roots</t>
  </si>
  <si>
    <t>temperate broad-leaf forest</t>
  </si>
  <si>
    <t>experimental forest of U. Tehran (Kheyrud Forest)</t>
  </si>
  <si>
    <t>lat-lon given cannot be right - putting it far south with z=2100m asl; It is also 85km to the west of Noshahr port, not 7km east as said; Moved to a west-facing slope 7km east of the port and at elevation 350-550m</t>
  </si>
  <si>
    <t>Pinus sp.</t>
  </si>
  <si>
    <t>Picea sp.</t>
  </si>
  <si>
    <t>Betula sp.</t>
  </si>
  <si>
    <t>thin soil mantle over bedrock</t>
  </si>
  <si>
    <t>on a west-facing slope</t>
  </si>
  <si>
    <t>&gt; 0.7</t>
  </si>
  <si>
    <t>Parrotia persica</t>
  </si>
  <si>
    <t>Persian Ironwood</t>
  </si>
  <si>
    <t>The site has relatively thin soil mantle, underlain by calcareous bedrock (Jura, Cretaceous) that contains discontinuities and cracks which are penetrable by roots (Majnounian and Etter, 1993). Thus the roots act in the same way as toe piles (Tsukamoto and Kusakaba, 1984). The slides normally involve the superficial layers of the slopes, in many cases less than 1m deep, and extend into the bedrock, where vegetation can have a beneficial effect on stability through the reinforcing action of lateral root.</t>
  </si>
  <si>
    <t>Carter and Gregorich, 2010</t>
  </si>
  <si>
    <t>fine sandy loam on glacial till</t>
  </si>
  <si>
    <t>Harrington Research Farm</t>
  </si>
  <si>
    <t>cropland</t>
  </si>
  <si>
    <t>7yrs after grass planted after 16yrs wheat/barly</t>
  </si>
  <si>
    <t>&gt; 0.9</t>
  </si>
  <si>
    <t>Lolium arundinaceum</t>
  </si>
  <si>
    <t>tall fescue</t>
  </si>
  <si>
    <t>At the end of the study in November, 2007, the depth of root penetration was estimated for the tall fescue. A trench was dug in each plot across the row, to the 1 m depth, to visually estimate root penetration characteristics. Both the depth of major root proliferation and the maximum depth of root penetration in the soil profile were recorded.</t>
  </si>
  <si>
    <t>grass moves SOC deeper into the profile</t>
  </si>
  <si>
    <t>flat farm land</t>
  </si>
  <si>
    <t>evenly distributed</t>
  </si>
  <si>
    <t>silty clay loam</t>
  </si>
  <si>
    <t>Festuca arundinacea Schreb</t>
  </si>
  <si>
    <t>Medicago sativa L.</t>
  </si>
  <si>
    <t>alfalfa</t>
  </si>
  <si>
    <t>Cichorium intybus L.</t>
  </si>
  <si>
    <t>chicory</t>
  </si>
  <si>
    <t>S. Uruguay</t>
  </si>
  <si>
    <t>temporate grassland</t>
  </si>
  <si>
    <t>mixed cropping system</t>
  </si>
  <si>
    <t>The maximum rooting depth was greater than 1 m for each of the species. All three forage crops had 50% of their root biomass located in the upper 20 cm of the soil profile.</t>
  </si>
  <si>
    <t>Tall fescue and chicory had a large number of root axes present in the top 20 cm, whereas alfalfa had a greater number of root axes from 20 to 60 cm.</t>
  </si>
  <si>
    <t>Gentile et al., 2003</t>
  </si>
  <si>
    <t>extrapolated from Fig.1 - very uncertain</t>
  </si>
  <si>
    <t>Glover et al., 2010</t>
  </si>
  <si>
    <t>Triticum aestivum</t>
  </si>
  <si>
    <t>winter wheat</t>
  </si>
  <si>
    <t>location slightly moved to grass / crop boundary (lat-lon-given falls in riparian forest)</t>
  </si>
  <si>
    <t>fertilized</t>
  </si>
  <si>
    <t>Niles Site</t>
  </si>
  <si>
    <t>C. Kansas, US</t>
  </si>
  <si>
    <t>Plant root C, measured at the Niles field site, was 6.7 times greater and the rooting depth 1 m deeper in the perennial field than in the adjacent wheat field (Fig. 4).</t>
  </si>
  <si>
    <t>26 species</t>
  </si>
  <si>
    <t>unfertilized, harvested</t>
  </si>
  <si>
    <t>Nijland et al., 2010</t>
  </si>
  <si>
    <t>not direct measurement; max rooting depth taken as max depth of soil water depletion June-Sept with no rain, based on resistivity change</t>
  </si>
  <si>
    <t>not direct measurement; max rooting depth taken as max depth of soil water depletion June-Sept with no rain, based on resistivity change; measuremnt stopped at 6m but it is evident that roots go far deeper</t>
  </si>
  <si>
    <t>Flysch/Schist: layered mix of highly fractured, carboniferous low-grade metamorphic sandstone and argillite</t>
  </si>
  <si>
    <t>Shallow soil, with mostly loose pellets of bedrock and poor water-holding capacity</t>
  </si>
  <si>
    <t>Basalt: quaternary volcanic flows, now plateaus due to differential erosion</t>
  </si>
  <si>
    <t>Shallow acid soils w. many boulders</t>
  </si>
  <si>
    <t>Calcareous sandstones: Eocene lacustrine deposits deformed and highly fractured</t>
  </si>
  <si>
    <t>Shallow rocky soils w. high clay content</t>
  </si>
  <si>
    <t>Dolomite: gray Jurassic dolomite with extensive karst development</t>
  </si>
  <si>
    <t>In low areas, loose sand of up to 2 m depth occurs and has low water retention capacity</t>
  </si>
  <si>
    <t>&lt; 2</t>
  </si>
  <si>
    <t>800 - 1000</t>
  </si>
  <si>
    <t>rain mostly in spring and fall</t>
  </si>
  <si>
    <t>The soils in the area are shallow and are poorly developed with often only an AC or AR profile. The downward transition of soil into weathered rock often has an indistinct boundary and tree roots often penetrate deeply into weathered, fractured, or faulted rock. 
The top layer shows little difference, because some early September rainfall wetted the top part of the soil profile. The common pattern nowshows a three-layer profile: a top layer with a high lateral variability, a second layer with water abstraction by trees during the summer, and a base with no change at all. The depth of each zone is very different for the geological substrates in the study area (Fig. 8). In the flysch and basalt, the vegetation uses water from the soil down to 4 m, with maximum extraction around 2 mdeep. On the calcareous sandstone,water is used from below 6 m, the maximum depth of our measurements. On the dolomite,water is used down to 5 m. The resistivity change profiles are also related to the vegetation at the measurement locations. The flysch and basalt areas are coveredwith lowshrub-type forest,whereas on the
calcareous sandstones and dolomite the trees are generally larger, as is
the water abstraction zone.</t>
  </si>
  <si>
    <t>Arbutus unedo, Quercus ilex, Erica arborea</t>
  </si>
  <si>
    <t>Quercus ilex</t>
  </si>
  <si>
    <t>Quercus ilex, Quercus pubescens, Arbutus unedo, understory Buxus sempervirens and Hedera helix</t>
  </si>
  <si>
    <t>mixed herbs and shrubs, and low shrub-like forests</t>
  </si>
  <si>
    <t>S. France</t>
  </si>
  <si>
    <t>Mediterranean sclerophyll forest/ shrubland</t>
  </si>
  <si>
    <t>grazing pasture</t>
  </si>
  <si>
    <t>Moore et al., 2010</t>
  </si>
  <si>
    <t>exact plot locations not given; 95% root depth in deepest of 6 cores recorded here</t>
  </si>
  <si>
    <t>Prosopis glandulosa, C4 grasses</t>
  </si>
  <si>
    <t>S. Texas</t>
  </si>
  <si>
    <t xml:space="preserve"> deep to very deep, sandy loam, moderately permeable</t>
  </si>
  <si>
    <t>&gt; 30</t>
  </si>
  <si>
    <t xml:space="preserve">Permanent groundwater tables are far below the root zone (30+ m) and do not contribute moisture to surface soils via capillary rise. This area is not subject to shallow saline groundwater. </t>
  </si>
  <si>
    <t>Mensforth &amp; Walker, 1996</t>
  </si>
  <si>
    <t xml:space="preserve">Bobich &amp; Huxman, 2009 </t>
  </si>
  <si>
    <t>Arid desert</t>
  </si>
  <si>
    <t>near Tucson, AZ</t>
  </si>
  <si>
    <t>Fouquieria splendens</t>
  </si>
  <si>
    <t>Ocotillos</t>
  </si>
  <si>
    <t>U. Arizona Desert Laboratory at Tumamoc Hill</t>
  </si>
  <si>
    <t>on a gentle S-facing slope</t>
  </si>
  <si>
    <t>The root systems of the excavated ocotillos were generally very shallow, with no roots  2 mm in diameter occurring below a depth of 0.29 m… an increase in 1 m of plant height was accompanied by a 0.053-m increase in mean rooting depth… terminated. The tip of the longest lateral root excavated extended 1.6 m from the plant base.</t>
  </si>
  <si>
    <t>same site as Cannon 1913 work, but giving no info on soil or precip</t>
  </si>
  <si>
    <t>Brunel, 2009</t>
  </si>
  <si>
    <t>Cananea, Mexico, near AZ boarder</t>
  </si>
  <si>
    <t>67% in Jul-Oct moonsoon</t>
  </si>
  <si>
    <t>Bouteloua sp., and Aristida sp.</t>
  </si>
  <si>
    <t>Prosopis velutina</t>
  </si>
  <si>
    <t>Grama, and three awns</t>
  </si>
  <si>
    <t>bottom of a small alluvial terrace</t>
  </si>
  <si>
    <t>on top of terrace, 20–30m higher than Site B</t>
  </si>
  <si>
    <t>given lon is off by 9 degrees; should be 110W (Cananea, Mexico), not 119W (in the Pacific); the 2 sites can only be separated by ~0.3km, not 1km; the terraces at given location are not that long</t>
  </si>
  <si>
    <t>site-B (bottom), upper San Pedro River</t>
  </si>
  <si>
    <t>site-S (summit), upper San Pedro River</t>
  </si>
  <si>
    <t>5.0-10.0</t>
  </si>
  <si>
    <t>30.0-40.0</t>
  </si>
  <si>
    <t>The sites are separated by 1km; rooting depth at site-B inferred from plant O18 isotope (using rain vs. GW)</t>
  </si>
  <si>
    <t>At Site S, δ18O of xylem water indicates that trees were using either groundwater, rainfall, or a mixture of these two water sources. The time series at Site S (Fig. 2) indicates that trees were using groundwater on day 240, 14 days after the most recent rainfall event, but trees switched to use of rainfall water on day 265 after a significant storm had occurred.</t>
  </si>
  <si>
    <t>groundwater recharge occurred from winter precipitation, although more than 60% of annual rainfall occurs during monsoon events… At Site B, δ18O of sap water in trees (–7‰ to 11‰) showed that they were predominantly using groundwater… results show that when mesquite has access to shallow groundwater, other sources of water are not exploited (as seen by Dawson &amp; Pate, 1996). With permanent access to groundwater, mesquite stands become dense with high canopy cover. When access to groundwater is more difficult, as is the case when the water table is 30 m deep or more, mesquite predominantly uses surface water from the growing season rainfall. In these habitats mesquite probably develops an extensive surface root system, which can compete actively with those of grassland, and possibly just a single tap root giving access to groundwater when needed.</t>
  </si>
  <si>
    <t xml:space="preserve">thick alluvium </t>
  </si>
  <si>
    <t>alluvium, with much gravel and pebbles</t>
  </si>
  <si>
    <t>Franzluebbers &amp; Stuedemann, 2009</t>
  </si>
  <si>
    <t>managed pasture</t>
  </si>
  <si>
    <t>forest converted to crop then to pasture</t>
  </si>
  <si>
    <t>&gt; 1.5</t>
  </si>
  <si>
    <t>Cynodon dactylon, Lolium arundinaceum</t>
  </si>
  <si>
    <t>Coastal’ bermudagrass, ‘Georgia 5’ tall fescue</t>
  </si>
  <si>
    <t>15 ha upland field</t>
  </si>
  <si>
    <t>sandy loam</t>
  </si>
  <si>
    <t>nearest ~15ha upland field is selected; SOC obs only - roots inferred; plots with different fertilization but no difference in SOC</t>
  </si>
  <si>
    <t>rain mostly in winter</t>
  </si>
  <si>
    <t>rain mostly in fall and winter</t>
  </si>
  <si>
    <t>rain mostly in winter as frequent small events</t>
  </si>
  <si>
    <t>Kenzo et al., 2009</t>
  </si>
  <si>
    <t>Sarawak, Malaysia</t>
  </si>
  <si>
    <t>Niah Forest Reserve</t>
  </si>
  <si>
    <t>road side, in Sungai Liku area, Lambir Hills National Park</t>
  </si>
  <si>
    <t>Endospermum diadenum (Euphorbiaceae)</t>
  </si>
  <si>
    <t>Fagraea racemosa (Loganiaceae)</t>
  </si>
  <si>
    <t>Sandy loam</t>
  </si>
  <si>
    <t>rooting depth of most individuals was less than 1m (Figure 4e). Only several species such as Fagraea racemosa and Endospermum diadenum showed relatively deep root systems over 1.2 m, even in small individuals (e.g. D0 =5.7 cm). Maximum depth in the largest individual of E. diadenum was 2.3m (D0 =27.6 cm). In our observation, the majority of root systems existed in the shallow soil layer (approximately &lt;20 cm).</t>
  </si>
  <si>
    <t>This is a pioneer species, most likely present at the road side site as mentioned by authors</t>
  </si>
  <si>
    <t>This species is represented at the Niah forest site, mentioned by authors</t>
  </si>
  <si>
    <t>Danjon et al., 2005</t>
  </si>
  <si>
    <t>drained moor and aforested</t>
  </si>
  <si>
    <t>S. of Bordeaux, France</t>
  </si>
  <si>
    <t>Landes de Gascogne Forest</t>
  </si>
  <si>
    <t>drained plantation</t>
  </si>
  <si>
    <t xml:space="preserve">maritime pine </t>
  </si>
  <si>
    <t>on a ridge, better-drained</t>
  </si>
  <si>
    <t>in a trough, pooly-drained</t>
  </si>
  <si>
    <t>0.5-1.3</t>
  </si>
  <si>
    <t>0.1-0.9</t>
  </si>
  <si>
    <t>mid slope</t>
  </si>
  <si>
    <t>0.3-1.1</t>
  </si>
  <si>
    <t>When the sinkers reached the hard pan, they produced several dozen roots running just above it, which were often fused together for their first 0.1– 0.5 m in what we called a ‘hard pan shield’</t>
  </si>
  <si>
    <t>It has a shallow winter water table and experiences water shortage during late summer… On the better drained, higher parts of the ridges, rooting is halted at a depth of c . 0.9 m by an iron pan or a relatively cemented spodic horizon</t>
  </si>
  <si>
    <t>exact location of each of the 24 excavated gtrees are not given, but discussion of topo-sequence is informative; 3 locations are chosen based on Fig.1 and discussions</t>
  </si>
  <si>
    <t>Das &amp; Chaturvedi, 2008</t>
  </si>
  <si>
    <t>Acacia auriculiformis</t>
  </si>
  <si>
    <t>Azadirachta indica</t>
  </si>
  <si>
    <t xml:space="preserve">Neem, Nimtree, and Indian Lilac </t>
  </si>
  <si>
    <t>Auri, Earleaf acacia, Earpod wattle, Northern black wattle, Papuan wattle, Tan wattle</t>
  </si>
  <si>
    <t>Bauhinia variegata</t>
  </si>
  <si>
    <t>Orchid tree, Camel's Foot Tree, Kachnar and Mountain-ebony</t>
  </si>
  <si>
    <t>Red Silk-Cotton; Red Cotton Tree</t>
  </si>
  <si>
    <t>Bombax ceiba</t>
  </si>
  <si>
    <t>Wendalendia exserta</t>
  </si>
  <si>
    <t>80% fall in monsoon Jun-Sept</t>
  </si>
  <si>
    <t>agrisiviculture: trees incropped</t>
  </si>
  <si>
    <t>Pusa, Bihar, NE India</t>
  </si>
  <si>
    <t>Research farm, Rajendra Agri U.</t>
  </si>
  <si>
    <t>tree/crop intercropping</t>
  </si>
  <si>
    <t>root distribution for five, four-year-old agroforestry tree species... Root spread exceeded the crown cover for all tree species. The first order lateral roots were more horizontal than the second order. The length and diameter of the main root were highest in A. indica (108.3 cm) and B. ceiba (23.2 cm) respectively. Maximum length of lateral roots was recorded in B. variegata (201.6 cm) and maximum diameter, in A. indica (1.8 cm). Total root phytomass among different species accounted for 18−38% of the total tree biomass.</t>
  </si>
  <si>
    <t>mean rooting depth of 5 trees; WT should be shallow here but it is not encountered or discussed</t>
  </si>
  <si>
    <t>Central Alberta, CA</t>
  </si>
  <si>
    <t>dry</t>
  </si>
  <si>
    <t>medium</t>
  </si>
  <si>
    <t>wet</t>
  </si>
  <si>
    <t>very wet</t>
  </si>
  <si>
    <t>0-0.16</t>
  </si>
  <si>
    <t>0.02-0.39</t>
  </si>
  <si>
    <t>0.17-0.7</t>
  </si>
  <si>
    <t>0.59-0.95</t>
  </si>
  <si>
    <t>peat to depth examined (0.6m)</t>
  </si>
  <si>
    <t>Clearly, roots of black spruce and tamarack penetrate deeper in peatlands when the depth of water table is greater.</t>
  </si>
  <si>
    <t>In general, trees on sites with greater depth of water table had higher growth rates.</t>
  </si>
  <si>
    <t>Deep roots, even though they make up a small portion of the total biomass of fine roots, may be important in mineral l nutrition because they are mycorrhizal.</t>
  </si>
  <si>
    <t>We speculate that the increase in the fine roots in the surface layers of the sites with greater depth of water table is the fundamental reason for the increase in tree growth rates observed in this study</t>
  </si>
  <si>
    <t>Rooting depth was strongly correlated with depth to water table. On wet sites, roots of both black spruce and tamarack were confined to hummocks, while on dry sites, roots penetrated to 60 em.</t>
  </si>
  <si>
    <t>There was a strong positive correlation between fine root biomass and depth of water table; however, total root biomass was not correlated with depth to water table</t>
  </si>
  <si>
    <t xml:space="preserve"> Samples were restricted to hummocks because it was assumed that most of the roots were confined to these better drained positions.</t>
  </si>
  <si>
    <t>The study area is located 40 km east of Slave Lake, Alta., along Provincial Highway 2… Highway construction through peatlands and the resulting changes in hydrology provided a natural experiment on this subject.</t>
  </si>
  <si>
    <t>locations well defined by map in Fig.1</t>
  </si>
  <si>
    <t>WTD from time series plot in Fig.2</t>
  </si>
  <si>
    <t>max rooting depth from Tab.3</t>
  </si>
  <si>
    <t xml:space="preserve">this is a very nice study on how local WTD variations constrain rooting depth variations, for both species. </t>
  </si>
  <si>
    <t>Holdo &amp; Timberlake, 2008</t>
  </si>
  <si>
    <t>falls mostly in Nov-Mar</t>
  </si>
  <si>
    <t>on hill top</t>
  </si>
  <si>
    <t>deep, medium-textured Kalahari sand, silt+clay=6%</t>
  </si>
  <si>
    <t>upper catena, woodland</t>
  </si>
  <si>
    <t>lower catena, low shrubs</t>
  </si>
  <si>
    <t>Baikiaea plurijuga</t>
  </si>
  <si>
    <t>North province, W Zimbabwe</t>
  </si>
  <si>
    <t>Mukusi, Rhodesian Teak, Zambian Teak or Zambesi Redwood</t>
  </si>
  <si>
    <t>tree savanna / subtropical dry forest</t>
  </si>
  <si>
    <t xml:space="preserve">silver cluster-leaf or silver terminalia </t>
  </si>
  <si>
    <t>Guibourtia coleosperma</t>
  </si>
  <si>
    <t>Brachystegia spiciformis</t>
  </si>
  <si>
    <t>Burkea africana</t>
  </si>
  <si>
    <t>Ochna pulchra</t>
  </si>
  <si>
    <t>Msasa</t>
  </si>
  <si>
    <t>African Rosewood, Large False Mopane, Rhodesian Copalwood</t>
  </si>
  <si>
    <t xml:space="preserve">Wild syringa </t>
  </si>
  <si>
    <t>Lekkerbreek</t>
  </si>
  <si>
    <t>max rooting depth data from Fig.5. Only upper and lower catena recorded - the transect is too short (200m)</t>
  </si>
  <si>
    <t>water logging could be a cause of shallow rooting in the valleys. Authors wrote: "Kalahari sand woodland vleis are shallow, seasonally waterlogged valleys or drainage lines dominated by grasses." Also referred to peat grass in the valleys</t>
  </si>
  <si>
    <t>But no groundater measurements are taken</t>
  </si>
  <si>
    <t xml:space="preserve">locations are easily found on GE to match the right elevation at end points of the transect </t>
  </si>
  <si>
    <t>this is a great study on vegetation-catena relations</t>
  </si>
  <si>
    <t>There were marked differences in root profile depth and shape among trees found in different catena communities (Figure 2). There was an increase in rooting depth up the catena (Figure 3). This trend was unrelated to overall tree size.</t>
  </si>
  <si>
    <t>that trees shift their relative root mass allocation to deeper soil as a function of distance up the catena (Figure 3).</t>
  </si>
  <si>
    <t>there was a clear indication of increasing species richness and basal area up the catena (Figure 4).</t>
  </si>
  <si>
    <t>maximum tree size increased up the catena… a sequence of species replacement associated with increasing rooting depths up the catena (Figure 5).</t>
  </si>
  <si>
    <t>Liu et al., 2008</t>
  </si>
  <si>
    <t>a low spot in a dune valley in nearest the given lat-lon is selected</t>
  </si>
  <si>
    <t>The sight on the ground is high mobile compound sand hill. The ground water is about 1.3 m.. An adult buried shallow Tamarix taklamakanensis was arbitrarily selected in a relatively flat ground between sand dunes..It shows that the roots reach almost 30 m from east to west, and 20 m from north to south. They reach 140 cm in depth to touch the ground water, and the lateral roots are distributed at 70―90 cm.</t>
  </si>
  <si>
    <t>Tamarix taklamakanensis</t>
  </si>
  <si>
    <t>flat dune valley</t>
  </si>
  <si>
    <t>central Taklimakan, W. China</t>
  </si>
  <si>
    <t>near Tazhong station,Taklimakan Botanical Garden, Xinjiang Institute of Ecology and Geography, CAS</t>
  </si>
  <si>
    <t>Hamilton site</t>
  </si>
  <si>
    <t>Victoria, S. Australia</t>
  </si>
  <si>
    <t>Phalaris aquatica</t>
  </si>
  <si>
    <t>Dactylis glomerata</t>
  </si>
  <si>
    <t>Festuca arundinacea</t>
  </si>
  <si>
    <t>Lolium perenne</t>
  </si>
  <si>
    <t>Thinopymm ponticum</t>
  </si>
  <si>
    <t>Bromus stamineus</t>
  </si>
  <si>
    <t>Plantago lanceolata</t>
  </si>
  <si>
    <t>Microlaena stipoides</t>
  </si>
  <si>
    <t>Pennisetum clandestinum</t>
  </si>
  <si>
    <t>bulbous canary grass, Harding grass</t>
  </si>
  <si>
    <t>cock's-foot, orchard grass</t>
  </si>
  <si>
    <t>perennial ryegrass, English ryegrass, winter ryegrass</t>
  </si>
  <si>
    <t xml:space="preserve">C₃ bunch grass </t>
  </si>
  <si>
    <t>tall wheatgrass, rush wheatgrass, Eurasian quackgra</t>
  </si>
  <si>
    <t xml:space="preserve">Harlan brome, roadside brome </t>
  </si>
  <si>
    <t>annual or perennial</t>
  </si>
  <si>
    <t>ribwort plantain, English plantain, narrowleaf plantain, ribleaf, lamb's tongu</t>
  </si>
  <si>
    <t>weeping grass, weeping rice grass, weeping meadow grass</t>
  </si>
  <si>
    <t>kikuyu grass</t>
  </si>
  <si>
    <t>Warrak site</t>
  </si>
  <si>
    <t>mean of 4 cultivars</t>
  </si>
  <si>
    <t>mean of 3 cultivars</t>
  </si>
  <si>
    <t>mean of 2 cultivars</t>
  </si>
  <si>
    <t>this dataset has root density profiles</t>
  </si>
  <si>
    <t>clay loam</t>
  </si>
  <si>
    <t>compacted stony-gravel conglomerate</t>
  </si>
  <si>
    <t>0.7-1.1</t>
  </si>
  <si>
    <t>The higher root densities in the 0.1-0.7 m soil layer at Warrak than at Hamilton (Table 6) supports the presence of an impediment to root growth at a lower level.</t>
  </si>
  <si>
    <t xml:space="preserve">The deepest rooting culttivar was Whittet kikuyu with a depth of at least 2 m (Hamtlton, the maximum sampling depth in this study), supporting other studies in south-west Victoria and WA that found kikuyu roots can grow to over 2.5 m deep. </t>
  </si>
  <si>
    <t>The differences in rooting depth and root density between Hamilton and Warrak were most likely associated with differences in rainfall, soil structure and fertility. Hamilton had
the higher rainfall over the experimental period and a duplex clay loam soil...</t>
  </si>
  <si>
    <t>Nie et al., 2008</t>
  </si>
  <si>
    <t>Xu &amp; Li, 2008</t>
  </si>
  <si>
    <t>om fluvial plain to S</t>
  </si>
  <si>
    <t>the locations are 7km apart with mean elevation 475m as indicated</t>
  </si>
  <si>
    <t>edge of sand dune fields to N</t>
  </si>
  <si>
    <t>Haloxylon ammodendron</t>
  </si>
  <si>
    <t>saxaul, black saxaul</t>
  </si>
  <si>
    <t>southern periphery Gurbantonggut Desert, NW China</t>
  </si>
  <si>
    <t>heavy soil site on alluvial plain</t>
  </si>
  <si>
    <t>sandy soil site at edge of dune field</t>
  </si>
  <si>
    <t>sandy (85% sand)</t>
  </si>
  <si>
    <t>heavier (23% sand)</t>
  </si>
  <si>
    <t>The most contrasting feature of the root distributions for the two sites was that in sandy soil, roots penetrated 10m below the soil surface; but at the heavy site, they only reached 3m. Moreover, plants at the sandy site developed much larger volumes of root systems, with surface area of lateral roots of 1.75m2 per plant, compared with 0.97m2 per plant at the heavy site (Fig. 10). Although the biomass of aboveground parts of plants at the two sites were not significantly different, the biomass and hydraulic characters of the below-ground parts were
significantly different</t>
  </si>
  <si>
    <t>Briones et al., 1996</t>
  </si>
  <si>
    <t>Hilaria mutica</t>
  </si>
  <si>
    <t>Opuntia rastrera</t>
  </si>
  <si>
    <t>creosote bush, greasewood</t>
  </si>
  <si>
    <t>tobosa, tobosagrass</t>
  </si>
  <si>
    <t xml:space="preserve"> prickly pear </t>
  </si>
  <si>
    <t>tussock grass</t>
  </si>
  <si>
    <t>2 % to 6 % sloping bajada</t>
  </si>
  <si>
    <t>calcareous claystone</t>
  </si>
  <si>
    <t>clay loam (0.25m) on colluvial deposits</t>
  </si>
  <si>
    <t>location at 1100m elevation, near the centr of the lat-lon box</t>
  </si>
  <si>
    <t>Mapimí Biosphere Reserve</t>
  </si>
  <si>
    <t>Chihuahuan desert, N-C Mexico</t>
  </si>
  <si>
    <t>72% falls in Jun-Sep</t>
  </si>
  <si>
    <t>&gt; 0.75</t>
  </si>
  <si>
    <t>Gaze et al., 1998</t>
  </si>
  <si>
    <t>given longitude off - should be 2 degree E, not 20; there is a photo on the ICRISAT center on GE</t>
  </si>
  <si>
    <t>4km W of ICRISAT Sahelian Center</t>
  </si>
  <si>
    <t>regenerating natural veg</t>
  </si>
  <si>
    <t>Guiera senegalensis</t>
  </si>
  <si>
    <t>Sahel, SW Niger</t>
  </si>
  <si>
    <t>Cassia mimosoides, Cenchrus biflorus, Digitaria gayana, Eragrostis tremula, Mitracarpus villosus, Sida cordifolia</t>
  </si>
  <si>
    <t>herbs and grass</t>
  </si>
  <si>
    <t>annual and perennial</t>
  </si>
  <si>
    <t>&gt;3.5</t>
  </si>
  <si>
    <t>roots for G. s. are not followed below 2m (Fig.2) but water extraction by roots is still significant at 3.5m depth (Fig.5)</t>
  </si>
  <si>
    <t>2-3% slope</t>
  </si>
  <si>
    <t>This sandy soil was 2 to 5 m deep overlying a weathered laterite layer. Below this was a sequence of Continental Terminal Miocene deposits (siltstones and mudstones) with a ground-water table within an oolitic ironstone aquifer at about 32 m below the soil surface.</t>
  </si>
  <si>
    <t>sandy (2-5m deep)</t>
  </si>
  <si>
    <t>weathered laterite</t>
  </si>
  <si>
    <t>2.0 - 5.0</t>
  </si>
  <si>
    <t>maximum depth of wetting front in 1993 is 3.75 - 4.0m (Table-1)</t>
  </si>
  <si>
    <t>Carrick, 2003</t>
  </si>
  <si>
    <t>the fence can be located on GE; nearest site to the given lat-lon, striding fence, and with z close to 1100m is recorded</t>
  </si>
  <si>
    <t>Leipoldtia schultzei</t>
  </si>
  <si>
    <t>Hirpicium alienatum</t>
  </si>
  <si>
    <t>Roots that extended to a depth &gt; 30 cm were not sampled. Only one Hirpicium shrub had a few fine roots that penetrated beyond this depth.</t>
  </si>
  <si>
    <t>Vertical separation in the rooting morphologies of the three shrubs is clearly evident</t>
  </si>
  <si>
    <t>both Ruschia and Leipoldtia are predominantly shallow but lateral rooting… The horizontal extent of rooting was greatest in Ruschia</t>
  </si>
  <si>
    <t>sandy loam over loose bedrocks</t>
  </si>
  <si>
    <t>crumbling bedrock</t>
  </si>
  <si>
    <t>~ 0.3</t>
  </si>
  <si>
    <t>SW South Africa</t>
  </si>
  <si>
    <t>xeric shrubland, Namaqualand Broken Veld</t>
  </si>
  <si>
    <t>across fence of different gazing history</t>
  </si>
  <si>
    <t>small-leaf succulent shrubs</t>
  </si>
  <si>
    <t>Jobbagy &amp; Jackson, 2004</t>
  </si>
  <si>
    <t>Nippert et al., 2010</t>
  </si>
  <si>
    <t>well 1.1</t>
  </si>
  <si>
    <t>well 1.2</t>
  </si>
  <si>
    <t>well 3.1</t>
  </si>
  <si>
    <t>well 3.2</t>
  </si>
  <si>
    <t>Locations clearly marked on a map in Butler et al., 2008 (Kansas GS Open-File Report 2008-13); max rooting depth inferred from O18 and WTD time series where below a previous miminum depth diurnal cycles of WTD diminished in the drought of 2006, suggesting roots above the normal min WTD (Fig.2)</t>
  </si>
  <si>
    <t>0 - 0.5</t>
  </si>
  <si>
    <t>1.0 - 1.6</t>
  </si>
  <si>
    <t>0.5 - 1.1</t>
  </si>
  <si>
    <t>0.9 - 1.4</t>
  </si>
  <si>
    <t>S. Kansas</t>
  </si>
  <si>
    <t>floodplain</t>
  </si>
  <si>
    <t>coarse silts to medium sands</t>
  </si>
  <si>
    <t>invasive shrubs from Asia</t>
  </si>
  <si>
    <t>Five Tamarix individuals in the vicinity (within 5 m) of each well were randomly selected and repeatedly sampled over the summer.</t>
  </si>
  <si>
    <t>the most likely explanation of changes in the strength of  diel fluctuations is that Tamarix and other co-occurring plant species reduced groundwater uptake following the water table decline beyond the previously recorded low as a result of diminished access to groundwater</t>
  </si>
  <si>
    <t xml:space="preserve">The diel water table fluctuations decreased very abruptly as the water table fell past the previously recorded low position (Fig. 2), despite increasing evapotranspirative demand and relatively high rates of leaf-level gas exchange. </t>
  </si>
  <si>
    <t>groundwater uptake would be expected to decrease as the water table dropped past its previous low because the plants would not have developed a root network to extract water from greater depths</t>
  </si>
  <si>
    <t>Mundell et al., 2007</t>
  </si>
  <si>
    <t>near Roblin, Manitoba, CA</t>
  </si>
  <si>
    <t>in nearest forest to lat-lon given; the site is amongst many water-filled potholes, appears pooly drained, but drainage was not mentioned.</t>
  </si>
  <si>
    <t>Populus tremuloides Michx</t>
  </si>
  <si>
    <t>Priarie posholes</t>
  </si>
  <si>
    <t>Corylus cornuta Marsh</t>
  </si>
  <si>
    <t>beaked hazel</t>
  </si>
  <si>
    <t>native vegetation</t>
  </si>
  <si>
    <t>subxeric silty clay Orthic Gray Luvisolic soils</t>
  </si>
  <si>
    <t>Timberlake &amp; Calvert, 1993</t>
  </si>
  <si>
    <t>near Secheke, SW Zambia</t>
  </si>
  <si>
    <t>near Kitwe, N. Zambia</t>
  </si>
  <si>
    <t>Chati For. Res.-78</t>
  </si>
  <si>
    <t>Chati For. Res.-97</t>
  </si>
  <si>
    <t>Chati For. Res.-98</t>
  </si>
  <si>
    <t>Chati For. Res.-99</t>
  </si>
  <si>
    <t>Chati For. Res.-193</t>
  </si>
  <si>
    <t>Chati For. Res.-194</t>
  </si>
  <si>
    <t>Chati For. Res.-208</t>
  </si>
  <si>
    <t>Chati For. Res.-209</t>
  </si>
  <si>
    <t>Chilanga, S. Zambia</t>
  </si>
  <si>
    <t>near West Nicholson, S. Zimbabwe</t>
  </si>
  <si>
    <t>Nyamandhlovu, W. Zimbabwe</t>
  </si>
  <si>
    <t>near Harare, N-E Zimbabrwe</t>
  </si>
  <si>
    <t>Fuller For. Hwange, W. Zimbabwe</t>
  </si>
  <si>
    <t>NW Hwange, W. Zimbabwe</t>
  </si>
  <si>
    <t>C. Lupane, W. Zimbabwe</t>
  </si>
  <si>
    <t>Lupane, W. Zimbabwe</t>
  </si>
  <si>
    <t>Lupane-26</t>
  </si>
  <si>
    <t>Lupane-89</t>
  </si>
  <si>
    <t>Lupane-103</t>
  </si>
  <si>
    <t>Lupane-148</t>
  </si>
  <si>
    <t>Lupane-153</t>
  </si>
  <si>
    <t>Sasame Riv, N. Gokwe, N. Zimbabe</t>
  </si>
  <si>
    <t>Madziwadzido-11</t>
  </si>
  <si>
    <t>Madziwadzido-17</t>
  </si>
  <si>
    <t>Madziwadzido-34</t>
  </si>
  <si>
    <t>Madziwadzido-151</t>
  </si>
  <si>
    <t>C. Omay Com Ld, N. Zimbabwe</t>
  </si>
  <si>
    <t>C. Hurungwe Com Ld, N. Zimbabwe</t>
  </si>
  <si>
    <t>N. Dande Com Ld, N Zimbabwe</t>
  </si>
  <si>
    <t>Rhodesian Teak, Zambian Teak or Zambesi Redwood</t>
  </si>
  <si>
    <t>Pterocarpus lucens</t>
  </si>
  <si>
    <t>barwood</t>
  </si>
  <si>
    <t>Baphia massaiensis</t>
  </si>
  <si>
    <t xml:space="preserve">Jasmine pea, Sand camwood </t>
  </si>
  <si>
    <t>Brachystegia boehmii</t>
  </si>
  <si>
    <t>Prince of Wales feathers</t>
  </si>
  <si>
    <t>deep sandy clay</t>
  </si>
  <si>
    <t>shallow sandy clay</t>
  </si>
  <si>
    <t>Chati For Reserve no. 46, 48</t>
  </si>
  <si>
    <t>Chati For Reserve no. 47, 49</t>
  </si>
  <si>
    <t>Brachystegia florabunda</t>
  </si>
  <si>
    <t>Chati For Res 64, 67</t>
  </si>
  <si>
    <t>mean of 2 profiles (no. 46, 48) of depth (2.5, 4.1), group by soil</t>
  </si>
  <si>
    <t>mean of 2 profiles (no. 47, 49) of depth (2.5, 2.0), grouped by soil</t>
  </si>
  <si>
    <t>mean of 2 profiles (no. 64, 67) of depth (2.5, 3.7), grouped by soil</t>
  </si>
  <si>
    <t>Chati For Res 65, 68</t>
  </si>
  <si>
    <t>mean of 2 profiles (no. 65, 68) of depth (3.0, 2.7), grouped by soil</t>
  </si>
  <si>
    <t>shallow sandy clay, pooly drained</t>
  </si>
  <si>
    <t>grouped by soil</t>
  </si>
  <si>
    <t>Chati For Res 66</t>
  </si>
  <si>
    <t>Chati For Res 69</t>
  </si>
  <si>
    <t>clay</t>
  </si>
  <si>
    <t>Brachystegia longifolia</t>
  </si>
  <si>
    <t>sand, imperfectly drained</t>
  </si>
  <si>
    <t>grouped by soil and drainage; water table inferred</t>
  </si>
  <si>
    <t>Chati For Res 70</t>
  </si>
  <si>
    <t>Chati For Res 71, 72, 76</t>
  </si>
  <si>
    <t>mean of 3 profiles (no. 71, 72, 76) of depth (2.4, 3.5, 3.8), grouped by soil, but 71 roots turned horizontal at 2.3m)</t>
  </si>
  <si>
    <t>grounded by soil; roots turn horizontal</t>
  </si>
  <si>
    <t>Chati For Res 74</t>
  </si>
  <si>
    <t>Chati For Res 73, 77</t>
  </si>
  <si>
    <t>mean of 2 profiles (no. 73, 77) of depth (2.4, 2.4), grouped by soil</t>
  </si>
  <si>
    <t>grouped by soil and drainage; water table position shown in drawing</t>
  </si>
  <si>
    <t>Chati For Res 75</t>
  </si>
  <si>
    <t>mean of 3 profiles (no. 91, 93, 95) of depth (3.6, 3.3, 4.3), grouped by soil</t>
  </si>
  <si>
    <t>Chati For Res 91, 93, 95</t>
  </si>
  <si>
    <t>Chati For Res 92</t>
  </si>
  <si>
    <t>deep sandy clay, with laterite at 2.10 depth</t>
  </si>
  <si>
    <t>Chati For Res 94</t>
  </si>
  <si>
    <t>grouped by soil with barrier; 1 small root penetrated into the laterite</t>
  </si>
  <si>
    <t>Chati For Res 96</t>
  </si>
  <si>
    <t>Chati Forest Reserve, 19km west of Kitwe, legume, tree hight 17m and 19m</t>
  </si>
  <si>
    <t>Chati Forest Reserve, 19km west of Kitwe, legume, tree hight 18m and 20m</t>
  </si>
  <si>
    <t>Chati Forest Reserve, 19km west of Kitwe, legume, tree hight 14m and 17m</t>
  </si>
  <si>
    <t>Chati Forest Reserve, 19km west of Kitwe, legume, tree hight 16m and 19m</t>
  </si>
  <si>
    <t>Chati Forest Reserve, 19km west of Kitwe, legume, tree hight 17m</t>
  </si>
  <si>
    <t>Chati Forest Reserve, 19km west of Kitwe, legume, tree hight 21m</t>
  </si>
  <si>
    <t>Chati Forest Reserve, 19km west of Kitwe, legume, tree hight 15m</t>
  </si>
  <si>
    <t>Chati Forest Reserve, 19km west of Kitwe, legume, tree hight 17m, 18m, 23m</t>
  </si>
  <si>
    <t>Chati Forest Reserve, 19km west of Kitwe, legume, tree hight 18m and 24m</t>
  </si>
  <si>
    <t>Chati Forest Reserve, 19km west of Kitwe, legume, tree hight 20m</t>
  </si>
  <si>
    <t>Chati Forest Reserve, 19km west of Kitwe, legume, tree hight 25m</t>
  </si>
  <si>
    <t>Chati Forest Reserve, 19km west of Kitwe, legume, tree hight 17m, 19m, 19m</t>
  </si>
  <si>
    <t>Chati Forest Reserve, 19km west of Kitwe, legume, tree hight 18m</t>
  </si>
  <si>
    <t>Chati Forest Reserve, 19km west of Kitwe, legume, tree hight 19m</t>
  </si>
  <si>
    <t>Chati Forest Reserve, 19km west of Kitwe, legume, tree hight 26m</t>
  </si>
  <si>
    <t>Brachystegia utilis</t>
  </si>
  <si>
    <t>Chati For Res 100</t>
  </si>
  <si>
    <t>Chati For Res 101</t>
  </si>
  <si>
    <t>separated from 101: roots here turn horizontal at very shallow depth; without laterite it must be topo</t>
  </si>
  <si>
    <t>Chati For Res 142</t>
  </si>
  <si>
    <t>sand imperfectly drained</t>
  </si>
  <si>
    <t>Dialium engleranum</t>
  </si>
  <si>
    <t>Kalahari podberry</t>
  </si>
  <si>
    <t>grouped by soil but separated from profile 100</t>
  </si>
  <si>
    <t>Chati Forest Reserve, 19km west of Kitwe, legume, tree hight 11m</t>
  </si>
  <si>
    <t>imperfectly drained; roots turn horizontal; water table inferred</t>
  </si>
  <si>
    <t>Chati For Res 155</t>
  </si>
  <si>
    <t>Erythrophleum africanum</t>
  </si>
  <si>
    <t>African blackwood</t>
  </si>
  <si>
    <t>Chati Forest Reserve, 19km west of Kitwe, legume, tree hight 14m</t>
  </si>
  <si>
    <t>grouped by soil; roots turn horizonal at end</t>
  </si>
  <si>
    <t>Chati For Res 156, 157, 160</t>
  </si>
  <si>
    <t>Chati Forest Reserve, 19km west of Kitwe, legume, tree hight 15m, 15m, 18m</t>
  </si>
  <si>
    <t>mean of 3 profiles (no. 156, 157, 160) of depth (2.0, 1.9, 1.3), grouped by soil</t>
  </si>
  <si>
    <t>Chati For Res 158</t>
  </si>
  <si>
    <t>Chati For Res 159</t>
  </si>
  <si>
    <t>grouped by soil but separated from profile 158</t>
  </si>
  <si>
    <t>separated from 159: roots here turn horizontal at very shallow depth; without laterite it must be topo</t>
  </si>
  <si>
    <t>Chati For Res 161</t>
  </si>
  <si>
    <t>grouped by soil; roots turn horizontal at end</t>
  </si>
  <si>
    <t>Faurea saligna</t>
  </si>
  <si>
    <t>Chati For Res 164</t>
  </si>
  <si>
    <t>African Bean, African Beech</t>
  </si>
  <si>
    <t>Chati Forest Reserve, 19km west of Kitwe, tree hight 14m</t>
  </si>
  <si>
    <t>Hymenocardia acida</t>
  </si>
  <si>
    <t>Chati For Res 173, 174</t>
  </si>
  <si>
    <t>mean of 2 profiels (no. 173, 174) with root depth identical</t>
  </si>
  <si>
    <t>sand imperfectly drained, shallwo sandy clay</t>
  </si>
  <si>
    <t>Chati Forest Reserve, 19km west of Kitwe, tree hight 6m, 9m</t>
  </si>
  <si>
    <t>Isoberlinia angolensis</t>
  </si>
  <si>
    <t>Chati For. Res 175, 180</t>
  </si>
  <si>
    <t>Chati Forest Reserve, 19km west of Kitwe, legume, tree hight 14m and 19m</t>
  </si>
  <si>
    <t>imperfectly drained; water table inferred,; grouped by soil</t>
  </si>
  <si>
    <t>Chati Forest Reserve, 19km west of Kitwe, legume, tree hight 16m</t>
  </si>
  <si>
    <t>Chati For Res 176</t>
  </si>
  <si>
    <t>Chati For Res 177</t>
  </si>
  <si>
    <t>Chati For Res 178, 179</t>
  </si>
  <si>
    <t>Chati Forest Reserve, 19km west of Kitwe, legume, tree hight 17m, 18m</t>
  </si>
  <si>
    <t>Chati For Res 181</t>
  </si>
  <si>
    <t>Julbernardia paniculata</t>
  </si>
  <si>
    <t>muchesa</t>
  </si>
  <si>
    <t>shallow sandy clay, poorly drained</t>
  </si>
  <si>
    <t>poorly drained; grouped by soil; water table inferred</t>
  </si>
  <si>
    <t>Chati For Res 185</t>
  </si>
  <si>
    <t>Chati For Res 187, 189, 191, 192</t>
  </si>
  <si>
    <t>Chati For Res 186, 188, 190</t>
  </si>
  <si>
    <t>Chati Forest Reserve, 19km west of Kitwe, legume, tree hight 15m, 19m, 20m</t>
  </si>
  <si>
    <t>Chati Forest Reserve, 19km west of Kitwe, legume, tree hight 22m</t>
  </si>
  <si>
    <t>Chati Forest Reserve, 19km west of Kitwe, legume, tree hight 15m, 19m, 21m, 22m</t>
  </si>
  <si>
    <t>Chati Forest Reserve, 19km west of Kitwe, legume, tree hight 24m</t>
  </si>
  <si>
    <t>Marquesia macroura</t>
  </si>
  <si>
    <t>Chati Forest Reserve, 19km west of Kitwe, legume, tree hight 13m, 16m</t>
  </si>
  <si>
    <t>Chati For Res 201, 202</t>
  </si>
  <si>
    <t>Chati For Res 203, 204</t>
  </si>
  <si>
    <t>Chati Forest Reserve, 19km west of Kitwe, legume, tree hight 16m, 19m</t>
  </si>
  <si>
    <t>Monotes africanus</t>
  </si>
  <si>
    <t>semi evergreen broad-leaf</t>
  </si>
  <si>
    <t>Chati For Res 205, 207</t>
  </si>
  <si>
    <t>Chati For Res 206</t>
  </si>
  <si>
    <t>Parinari curatellifolia</t>
  </si>
  <si>
    <t xml:space="preserve">Mupundu, Mobola Plum </t>
  </si>
  <si>
    <t>Chati Forest Reserve, 19km west of Kitwe, tree hight 11m, 12m</t>
  </si>
  <si>
    <t>Chati Forest Reserve, 19km west of Kitwe, tree hight 11m</t>
  </si>
  <si>
    <t>Chati Forest Reserve, 19km west of Kitwe, tree hight 13m</t>
  </si>
  <si>
    <t>Chati For Res 212, 215</t>
  </si>
  <si>
    <t>Chati For Res 213, 216</t>
  </si>
  <si>
    <t>Chati For Res 214</t>
  </si>
  <si>
    <t>Chati For. Res 217</t>
  </si>
  <si>
    <t>Chati Forest Reserve, 19km west of Kitwe,  tree hight 11m and 12m</t>
  </si>
  <si>
    <t>Chati Forest Reserve, 19km west of Kitwe,  tree hight 12m and 14m</t>
  </si>
  <si>
    <t>Chati Forest Reserve, 19km west of Kitwe, tree hight 12m</t>
  </si>
  <si>
    <t>Chati Forest Reserve, 19km west of Kitwe, tree hight 15m</t>
  </si>
  <si>
    <t>Chati For Res 221</t>
  </si>
  <si>
    <t>Chati For Res 222</t>
  </si>
  <si>
    <t>Pericopsis angolensis</t>
  </si>
  <si>
    <t>poorly drained; grouped by soil; water table inferred; common in poorly drained areas</t>
  </si>
  <si>
    <t>imperfectly drained; grouped by soil; water table inferred; common in poorly drained areas</t>
  </si>
  <si>
    <t>Chati Forest Reserve, 19km west of Kitwe, legume, tree hight 12m</t>
  </si>
  <si>
    <t>Pseudolachnostylis maprouneifolia</t>
  </si>
  <si>
    <t xml:space="preserve">Duiker-berry, Kudu-berry </t>
  </si>
  <si>
    <t>Chati For Res 231</t>
  </si>
  <si>
    <t>Chati For Res 232</t>
  </si>
  <si>
    <t>imperfectly drained; grouped by soil; water table inferred</t>
  </si>
  <si>
    <t>Chati Forest Reserve, 19km west of Kitwe, tree hight 5m</t>
  </si>
  <si>
    <t>Chati Forest Reserve, 19km west of Kitwe, tree hight 6m</t>
  </si>
  <si>
    <t>Chati For Res 234</t>
  </si>
  <si>
    <t>Chati For Res 233</t>
  </si>
  <si>
    <t>Chati Forest Reserve, 19km west of Kitwe, tree hight 7m</t>
  </si>
  <si>
    <t>Chati For Res 246</t>
  </si>
  <si>
    <t>Chati For Res 247</t>
  </si>
  <si>
    <t>Chati For Res 248</t>
  </si>
  <si>
    <t>Strychnos innocua</t>
  </si>
  <si>
    <t>monkey orange,dull-leaved strychnos,wild orange</t>
  </si>
  <si>
    <t>Chati Forest Reserve, 19km west of Kitwe, tree hight 8m</t>
  </si>
  <si>
    <t>Chati Forest Reserve, 19km west of Kitwe, tree hight 10m</t>
  </si>
  <si>
    <t>Strychnos pungens</t>
  </si>
  <si>
    <t>quartzite</t>
  </si>
  <si>
    <t>Chati For Res 251</t>
  </si>
  <si>
    <t>Chati For Res 252</t>
  </si>
  <si>
    <t xml:space="preserve">Forest waterberry </t>
  </si>
  <si>
    <t>Chati For Res 253</t>
  </si>
  <si>
    <t>Syzygium guineense subsp. afromontanum</t>
  </si>
  <si>
    <t>Syzygium guineense subsp. macrocarpum</t>
  </si>
  <si>
    <t>A main constituent in montane evergreen forest; grouped by soil</t>
  </si>
  <si>
    <t>A main constituent in montane evergreen forest; imperfectly drained; grouped by soil; water table inferred</t>
  </si>
  <si>
    <t>waterberry</t>
  </si>
  <si>
    <t>Chati For Res 256</t>
  </si>
  <si>
    <t>Chati For Res 255, 257</t>
  </si>
  <si>
    <t>Chati Forest Reserve, 19km west of Kitwe, tree hight 5m and 9m</t>
  </si>
  <si>
    <t>Chati For Res 254</t>
  </si>
  <si>
    <t>Chati Forest Reserve, 19km west of Kitwe, tree hight 4m</t>
  </si>
  <si>
    <t>Uapaca kirkiana</t>
  </si>
  <si>
    <t>sugar plum</t>
  </si>
  <si>
    <t>Chati For Res 271</t>
  </si>
  <si>
    <t>Chati For Res 272</t>
  </si>
  <si>
    <t>Chati For Res 273</t>
  </si>
  <si>
    <t>grouped by soil; poorly drained; water table inferred</t>
  </si>
  <si>
    <t>Chati Forest Reserve, 19km west of Kitwe, tree hight 9m</t>
  </si>
  <si>
    <t>Uapaca nitida</t>
  </si>
  <si>
    <t>Narrow-leaved mahobohobo</t>
  </si>
  <si>
    <t>Chati For Res 274, 275</t>
  </si>
  <si>
    <t>Chati Forest Reserve, 19km west of Kitwe, tree hight 12m and 12m</t>
  </si>
  <si>
    <t>Acacia amythethophylla</t>
  </si>
  <si>
    <t xml:space="preserve">Large-leaved acacia </t>
  </si>
  <si>
    <t>Mt Makulu Ag Res Stn 1, 2</t>
  </si>
  <si>
    <t>clay over limestone</t>
  </si>
  <si>
    <t>limestone</t>
  </si>
  <si>
    <t>Mount Makulu Agricultural Research Station, legume, shrub hight 1.2m and 1.6m</t>
  </si>
  <si>
    <t>Acacia gerrardii</t>
  </si>
  <si>
    <t>Mt Makulu Ag Res Stn 4, 5</t>
  </si>
  <si>
    <t>Grey-haired acacia</t>
  </si>
  <si>
    <t>Mount Makulu Agricultural Research Station, legume, shrub hight 1.4m and 1.4m</t>
  </si>
  <si>
    <t>Acacia goetzei ssp. goetzei</t>
  </si>
  <si>
    <t>Mount Makulu Agricultural Research Station, legume, shrub hight 1.2m</t>
  </si>
  <si>
    <t>Mount Makulu Agricultural Research Station, legume, shrub hight 1.6m</t>
  </si>
  <si>
    <t>Acacia polyacantha</t>
  </si>
  <si>
    <t>white thorn</t>
  </si>
  <si>
    <t>Mt Makulu Ag Res Stn 14, 15, 16</t>
  </si>
  <si>
    <t>Acacia sieberiana</t>
  </si>
  <si>
    <t>Mt Makulu Ag Res Stn 7</t>
  </si>
  <si>
    <t>Mt Makulu Ag Res Stn 8</t>
  </si>
  <si>
    <t>Mt Makulu Ag Res Stn 18</t>
  </si>
  <si>
    <t>Paperbark Thorn</t>
  </si>
  <si>
    <t>Mount Makulu Agricultural Research Station, legume, shrub hight 0.9m</t>
  </si>
  <si>
    <t>Albizia amara</t>
  </si>
  <si>
    <t>Mt Makulu Ag Res Stn 20, 21</t>
  </si>
  <si>
    <t>Mount Makulu Agricultural Research Station, legume, shrub hight 1m, 0.9m, 2.1m</t>
  </si>
  <si>
    <t>Mount Makulu Agricultural Research Station, legume, shrub hight 0.5m, 1.1m</t>
  </si>
  <si>
    <t>mean of 2 profiles (no. 175, 180) with root depth (1.5, 1.7)</t>
  </si>
  <si>
    <t>mean of 2 profiles (no. 178, 179) with root depth (3.4, 2.1)</t>
  </si>
  <si>
    <t>mean of 3 profiles (no. 186, 188, 190) with root depth (1.7, 2.5, 1.8)</t>
  </si>
  <si>
    <t>mean of 4 profiles (no. 187, 189, 191, 192) with root depth (3.3, 4.6, 3.2, 3.8)</t>
  </si>
  <si>
    <t>mean of 2 profiles (no. 201, 202) with root depth (1.0, 1.8)</t>
  </si>
  <si>
    <t>mean of 2 profiles (no. 203, 204) with root depth (4.6, 3.0)</t>
  </si>
  <si>
    <t>mean of 2 profiles (no. 205, 207) with root depth (1.8, 2.8)</t>
  </si>
  <si>
    <t>mean of 2 profiles (no. 212, 215) with root depth (3.1, 2.7); common in poorly drained areas</t>
  </si>
  <si>
    <t>mean of 2 profiles (no. 213, 216) with root depth (1.8, 1.8); common in poorly drained areas; common in poorly drained areas</t>
  </si>
  <si>
    <t>mean of 2 profiles (no. 255, 257) with root depth (1.9, 1.7); imperfectly drained; water table inferred</t>
  </si>
  <si>
    <t>mean of 2 profiles (no. 274, 275) with root depth (1.9, 1.0)</t>
  </si>
  <si>
    <t>mean of 2 profiles (no. 1, 2) with root depth (3.3, 3.2); often on poor, stony soils</t>
  </si>
  <si>
    <t>mean of 3 profiles (no. 14, 15, 16) with root depth (2.1, 3.2, 3.3)</t>
  </si>
  <si>
    <t>mean of 2 profiles (no. 20, 21) with root depth (1.8, 2.4)</t>
  </si>
  <si>
    <t>Albizia versicolor</t>
  </si>
  <si>
    <t>Mt Makulu Ag Res Stn 22, 23</t>
  </si>
  <si>
    <t>Poison-pod albizia</t>
  </si>
  <si>
    <t>silk plants, silk trees, mimosa</t>
  </si>
  <si>
    <t>Mount Makulu Agricultural Research Station, legume, shrub hight 1.5m, 1.7m</t>
  </si>
  <si>
    <t>mean of 2 profiles (no. 22, 23) with root depth (3.3, 2.3); prefers well-drained soils with a high water table</t>
  </si>
  <si>
    <t>coppice</t>
  </si>
  <si>
    <t>Azanza garckeana</t>
  </si>
  <si>
    <t>Mt Makulu Ag Res Stn 24, 25</t>
  </si>
  <si>
    <t>loam over limestone</t>
  </si>
  <si>
    <t>azanza, tree hibiscus, snot apple, quarters, wild hibiscus, African chewing gum</t>
  </si>
  <si>
    <t>mean of 2 profiles (no. 24, 25) with root depth (1.6, 3.0)</t>
  </si>
  <si>
    <t>Combretum adenogonium</t>
  </si>
  <si>
    <t>Mt Makulu Ag Res Stn 115, 116</t>
  </si>
  <si>
    <t>Mount Makulu Agricultural Research Station, shrub hight 0.7m, ??m</t>
  </si>
  <si>
    <t>Mount Makulu Agricultural Research Station, shrub hight  ??m, 0.5m</t>
  </si>
  <si>
    <t xml:space="preserve">Four-leaved bushwillow </t>
  </si>
  <si>
    <t>sicklebush, Bell mimosa, Chinese lantern tree, Kalahari Christmas tree</t>
  </si>
  <si>
    <t>Mt Makulu Ag Res Stn 145, 146</t>
  </si>
  <si>
    <t>Mount Makulu Agricultural Research Station, legume, shrub hight 1m, 1.3m</t>
  </si>
  <si>
    <t>mean of 2 profiles (no. 115, 116) with root depth (1.3, 1.7)</t>
  </si>
  <si>
    <t>mean of 2 profiles (no. 145, 146) with root depth (4.2, 3.7)</t>
  </si>
  <si>
    <t>Mt Makulu Ag Res Stn 147</t>
  </si>
  <si>
    <t>Diospyros lycioides</t>
  </si>
  <si>
    <t>Mount Makulu Agricultural Research Station, shrub hight 1.3m</t>
  </si>
  <si>
    <t>bluebush, star-apple, monkey plum</t>
  </si>
  <si>
    <t>Dombeya sp.</t>
  </si>
  <si>
    <t>Mt Makulu Ag Res Stn 150</t>
  </si>
  <si>
    <t>can be evergreen</t>
  </si>
  <si>
    <t>Mount Makulu Agricultural Research Station, shrub hight 1.5m</t>
  </si>
  <si>
    <t>Mount Makulu Agricultural Research Station, shrub hight not given</t>
  </si>
  <si>
    <t>Faidherbia albida</t>
  </si>
  <si>
    <t>Mount Makulu Agricultural Research Station, legume, shrub hight not given</t>
  </si>
  <si>
    <t>Apple-ring Acacia, Ana Tree, Balanzan Tree, Winter Thorn</t>
  </si>
  <si>
    <t>grouped by soil; deep-penetrating tap root makes it highly resistant to drought</t>
  </si>
  <si>
    <t>Mt Makulu Ag Res Stn 162</t>
  </si>
  <si>
    <t>Mt Makulu Ag Res Stn 163</t>
  </si>
  <si>
    <t>Mt Makulu Ag Res Stn 165</t>
  </si>
  <si>
    <t>Mt Makulu Ag Res Stn 166</t>
  </si>
  <si>
    <t>Flueggea virosa</t>
  </si>
  <si>
    <t xml:space="preserve">white berry-bush </t>
  </si>
  <si>
    <t>Lantana camara</t>
  </si>
  <si>
    <t>big sage, wild sage, red sage, white sage,  tickberry</t>
  </si>
  <si>
    <t>coppice, native to tropical America</t>
  </si>
  <si>
    <t>invasive but shade intolerant</t>
  </si>
  <si>
    <t>Mt Makulu Ag Res Stn 196</t>
  </si>
  <si>
    <t>Mt Makulu Ag Res Stn 198, 199</t>
  </si>
  <si>
    <t>Lonchocarpus capassa</t>
  </si>
  <si>
    <t>mean of 2 profiles (no. 198, 199) with root depth (3.3, 3.5)</t>
  </si>
  <si>
    <t>Mount Makulu Agricultural Research Station, legume, shrub hight 0.8m and not give for coppice</t>
  </si>
  <si>
    <t>coppice in 199</t>
  </si>
  <si>
    <t>Apple Leaf,  Rain Tree</t>
  </si>
  <si>
    <t>Mt Makulu Ag Res Stn 200</t>
  </si>
  <si>
    <t>Mt Makulu Ag Res Stn 223</t>
  </si>
  <si>
    <t>Markhamia obtusifolia</t>
  </si>
  <si>
    <t>roots shallow and extremely wide - 4.5m</t>
  </si>
  <si>
    <t>Phyllanthus muelleranus</t>
  </si>
  <si>
    <t>loam</t>
  </si>
  <si>
    <t>growth form uncertain</t>
  </si>
  <si>
    <t>Piliostigma thonningii</t>
  </si>
  <si>
    <t>Mt Makulu Ag Res Stn 227, 228</t>
  </si>
  <si>
    <t>Mt Makulu Ag Res Stn 224</t>
  </si>
  <si>
    <t>Mount Makulu Agricultural Research Station, legume, shrub hight 0.4m, 0.5m</t>
  </si>
  <si>
    <t>mean of 2 profiles (no. 227, 228) with root depth (2.6, 2.4)</t>
  </si>
  <si>
    <t>Camel's foot tree, monkey bread, Rhodesian bauhinia, wild bauhinia</t>
  </si>
  <si>
    <t>Steganotaenia araliacea</t>
  </si>
  <si>
    <t>Mt Makulu Ag Res Stn 242, 243</t>
  </si>
  <si>
    <t>Mount Makulu Agricultural Research Station, shrub hight 2.4m, 2.6m</t>
  </si>
  <si>
    <t xml:space="preserve">Carrot-tree </t>
  </si>
  <si>
    <t>mean of 2 profiles (no. 242, 243) with root depth (1.8, 1.4)</t>
  </si>
  <si>
    <t>Terminalia mollis</t>
  </si>
  <si>
    <t xml:space="preserve">Large-leaved terminalia </t>
  </si>
  <si>
    <t>Mt Makulu Ag Res Stn 260, 261</t>
  </si>
  <si>
    <t>mean of 2 profiles (no. 260, 261) with root depth (1.8, 2.4)</t>
  </si>
  <si>
    <t>Mount Makulu Agricultural Research Station, shrub hight 0.8m, 1.2m</t>
  </si>
  <si>
    <t>Triumfetta amuletum</t>
  </si>
  <si>
    <t>Mt Makulu Ag Res Stn 269, 270</t>
  </si>
  <si>
    <t>coppice in 270</t>
  </si>
  <si>
    <t>Mount Makulu Agricultural Research Station, shrub hight 0.9m, 1.2m</t>
  </si>
  <si>
    <t>mean of 2 profiles (no. 269, 270) with root depth (2.0, 1.8); habitat: Grassland at vlei edges or in open woodlands on heavy soils subject to waterlogging;</t>
  </si>
  <si>
    <t>Ziziphus abyssinica</t>
  </si>
  <si>
    <t>Mt Makulu Ag Res Stn 276, 277</t>
  </si>
  <si>
    <t>sandy loam over linestone</t>
  </si>
  <si>
    <t xml:space="preserve">Large jujube </t>
  </si>
  <si>
    <t>Mount Makulu Agricultural Research Station, shrub hight 0.9m, ??m</t>
  </si>
  <si>
    <t>mean of 2 profiles (no. 276, 277) with root depth (2.5, 1.9)</t>
  </si>
  <si>
    <t>coarse granite sand</t>
  </si>
  <si>
    <t>Tuli Breeding Stn 113, 114</t>
  </si>
  <si>
    <t>Colophospermum mopane</t>
  </si>
  <si>
    <t>mopane, mopani, balsam tree, butterfly tree, turpentine tree</t>
  </si>
  <si>
    <t>mean of 2 profiles (no. 113, 114) with root depth (1.7, 1.5); found growing in alkaline (high lime content) soils which are shallow and not well drained</t>
  </si>
  <si>
    <t>Combretum apiculatum</t>
  </si>
  <si>
    <t xml:space="preserve">red bushwillow </t>
  </si>
  <si>
    <t>coarse granite sand, over granite</t>
  </si>
  <si>
    <t>mean of 2 profiles (no. 120, 121) with root depth (1.2, 1.0)</t>
  </si>
  <si>
    <t>Tuli Breeding Stn 120, 121</t>
  </si>
  <si>
    <t>Commiphora mollis</t>
  </si>
  <si>
    <t>Tuli Breeding Stn 138</t>
  </si>
  <si>
    <t>Velvet-Leaved Corkwood, East African Myrrh</t>
  </si>
  <si>
    <t>Commiphora mossambicensis</t>
  </si>
  <si>
    <t xml:space="preserve">Pepper-leaved corkwood </t>
  </si>
  <si>
    <t>Tuli Breeding Stn 140</t>
  </si>
  <si>
    <t>Tuli Breeding Stn 168</t>
  </si>
  <si>
    <t>Grewia monticola</t>
  </si>
  <si>
    <t xml:space="preserve">Grey raisin, silver raisin </t>
  </si>
  <si>
    <t>Tuli Breeding Stn 195</t>
  </si>
  <si>
    <t>Tuli Breeding Stn 268</t>
  </si>
  <si>
    <t>Kirkia acuminata</t>
  </si>
  <si>
    <t>white seringa</t>
  </si>
  <si>
    <t>silver cluster-leaf,  silver terminalia</t>
  </si>
  <si>
    <t>Nya Exp Stn Bongolo Frm 39</t>
  </si>
  <si>
    <t>Bauhinia petersiana ssp macrantha</t>
  </si>
  <si>
    <t xml:space="preserve">Kalahari bauhinia, Rag bush, Small white bauhinia </t>
  </si>
  <si>
    <t>kalahari sand</t>
  </si>
  <si>
    <t>Nya Exp Stn Bongolo Frm 104, 105, 106, 107</t>
  </si>
  <si>
    <t>Wild syringa</t>
  </si>
  <si>
    <t>Nyamandhlovu Experimental Station, Bobgolo Farm, 15km southwest of Nyamandhlovu, tree height 2.5m, 3m, 5m, 6m</t>
  </si>
  <si>
    <t>mean of 4 profiles (no. 104, 105, 106, 107) with root depth (1, 0.9, 0.9, 1)</t>
  </si>
  <si>
    <t>Nya Exp Stn Bongolo Frm 118, 119</t>
  </si>
  <si>
    <t>mean of 2 profiles (no. 118, 119) with root depth (1.2, 1.4)</t>
  </si>
  <si>
    <t>Nya Exp Stn Bongolo Frm 125, 126, 127</t>
  </si>
  <si>
    <t>Combretum collinum</t>
  </si>
  <si>
    <t>variable combretum, bush-willow</t>
  </si>
  <si>
    <t>mean of 3 profiles (no. 125, 126, 127) with root depth (2.7, 2.7, 2.5)</t>
  </si>
  <si>
    <t>Combretum zeyheri</t>
  </si>
  <si>
    <t>Large-Fruited Bushwillow</t>
  </si>
  <si>
    <t>Nya Exp Stn Bongolo Frm 134</t>
  </si>
  <si>
    <t>Commiphora glandulosa</t>
  </si>
  <si>
    <t>Nya Exp Stn Bongolo Frm 137</t>
  </si>
  <si>
    <t xml:space="preserve">Tall firethorn corkwood </t>
  </si>
  <si>
    <t xml:space="preserve">prefer well-drained sandy soils </t>
  </si>
  <si>
    <t>Nya Exp Stn Bongolo Frm 143, 144</t>
  </si>
  <si>
    <t>mean of 2 profiles (no. 143, 144) with root depth (1.2, 2.6)</t>
  </si>
  <si>
    <t>Dombeya rotundifolia</t>
  </si>
  <si>
    <t>South African wild pear</t>
  </si>
  <si>
    <t>Nya Exp Stn Bongolo Frm 149</t>
  </si>
  <si>
    <t>Nya Exp Stn Bongolo Frm 167</t>
  </si>
  <si>
    <t>Grawia monticola</t>
  </si>
  <si>
    <t>Grawia sp.</t>
  </si>
  <si>
    <t>Nya Exp Stn Bongolo Frm 169, 170, 171</t>
  </si>
  <si>
    <t>raisin bush</t>
  </si>
  <si>
    <t>mean of 3 profiles (no. 169, 170, 171) with root depth (0.6, 0.6, 1.1)</t>
  </si>
  <si>
    <t>Nya Exp Stn Bongolo Frm 210, 211</t>
  </si>
  <si>
    <t>mean of 2 profiles (no. 210, 211) with root depth (1.4, 1.0); found on deep sandy soil and rocky slopes</t>
  </si>
  <si>
    <t>Nya Exp Stn Bongolo Frm 229</t>
  </si>
  <si>
    <t>Nya Exp Stn Bongolo Frm 240</t>
  </si>
  <si>
    <t>Ricinodendron rautanenii</t>
  </si>
  <si>
    <t xml:space="preserve">mongongo tree </t>
  </si>
  <si>
    <t>very thick tap root; found on wooded hills and amongst sand dunes, and is associated with the Kalahari sand soil-types</t>
  </si>
  <si>
    <t>Nya Exp Stn Bongolo Frm 244, 245</t>
  </si>
  <si>
    <t>Strychnos cocculoides</t>
  </si>
  <si>
    <t xml:space="preserve">corky-bark monkey-orange </t>
  </si>
  <si>
    <t>Nya Exp Stn Bongolo Frm 249, 250</t>
  </si>
  <si>
    <t>mean of 2 profiles (no. 244, 245) with root depth (1.5, 2.5)</t>
  </si>
  <si>
    <t>max of 2 profiles (no. 249, 250) with root depth (1.3, 3.1); the first seems to a sapling</t>
  </si>
  <si>
    <t>Nya Exp Stn Bongolo Frm 265, 266, 267</t>
  </si>
  <si>
    <t>mean of 3 profiles (no. 265, 266, 267) with root depth (1.0, 1.7, 2.2)</t>
  </si>
  <si>
    <t>Herderson Res Stn 50-63</t>
  </si>
  <si>
    <t>clay loam over gravel</t>
  </si>
  <si>
    <t>Henderson Research Station,  28km north of Harare, coppice height 2.3, 4.5, 2.5, 2.5, 4, 2.5, 8, 2.8, 3.8, 2.7, 2.2, 3.9, 3.5, 3.6m</t>
  </si>
  <si>
    <t>Herderson Res Stn 79-85</t>
  </si>
  <si>
    <t>Henderson Research Station,  28km north of Harare, coppice height 1.3, 1.6, 1.6, 1.6, 3.1, 3.6, 1.7m</t>
  </si>
  <si>
    <t>mean of 7 profiles (no. 79-85) with root depth (2.8, 2.1, 1.5, 1.3, 1.6, 1.5, 2.3)</t>
  </si>
  <si>
    <t xml:space="preserve"> Siwela Village, near Fuller Forest, N.W. Hwange Communal Land, coppice height 4.5m</t>
  </si>
  <si>
    <t xml:space="preserve"> Siwela Village, near Fuller Forest, N.W. Hwange Communal Land, shrub height 3.5m</t>
  </si>
  <si>
    <t>Hwange Siwela Village 27</t>
  </si>
  <si>
    <t>Hwange Siwela Village 40</t>
  </si>
  <si>
    <t>Hwange Siwela Village 135</t>
  </si>
  <si>
    <t>Hwange Siwela Village 139</t>
  </si>
  <si>
    <t>Hwange Siwela Village 152</t>
  </si>
  <si>
    <t>Hwange Siwela Village 172</t>
  </si>
  <si>
    <t>Hwange Siwela Village 235</t>
  </si>
  <si>
    <t xml:space="preserve"> Siwela Village, near Fuller Forest, N.W. Hwange Communal Land, tree height 3m</t>
  </si>
  <si>
    <t xml:space="preserve"> Siwela Village, near Fuller Forest, N.W. Hwange Communal Land, tree height 2m</t>
  </si>
  <si>
    <t xml:space="preserve"> Siwela Village, near Fuller Forest, N.W. Hwange Communal Land, coppice height 2.5m</t>
  </si>
  <si>
    <t xml:space="preserve"> Siwela Village, near Fuller Forest, N.W. Hwange Communal Land, legume, tree height 6m</t>
  </si>
  <si>
    <t>Pterocarpus angolensis</t>
  </si>
  <si>
    <t>Occurring almost exclusively on Kalahari sand in open woodland and dry forest; an evergreen with shallow roots in sand -&gt; depending on GW?</t>
  </si>
  <si>
    <t>Wild teak</t>
  </si>
  <si>
    <t xml:space="preserve"> Siwela Village, near Fuller Forest, N.W. Hwange Communal Land, coppice height 3m</t>
  </si>
  <si>
    <t>Hwange Siwela Village 239</t>
  </si>
  <si>
    <t xml:space="preserve"> Siwela Village, near Fuller Forest, N.W. Hwange Communal Land, coppice height 1.5m</t>
  </si>
  <si>
    <t>Combretum hereroense</t>
  </si>
  <si>
    <t xml:space="preserve">Mouse-eared combretum, Russet bushwillow </t>
  </si>
  <si>
    <t>vertisol</t>
  </si>
  <si>
    <t>Mtopi, N.W. Hwange Communal Land, shrub height 3.5m</t>
  </si>
  <si>
    <t>vertisol - high shinking clay content, deep cracks and vertical mixing</t>
  </si>
  <si>
    <t>Mtopi, N.W. Hwange Communal Land, shrub height 5m</t>
  </si>
  <si>
    <t>Acacia nigrescens</t>
  </si>
  <si>
    <t>consolidated karoo sands (gully)</t>
  </si>
  <si>
    <t>gully</t>
  </si>
  <si>
    <t>Knobthorn</t>
  </si>
  <si>
    <t>Benzies Bridge, C. Lupane Communal Land, legume, tree height 1.7m</t>
  </si>
  <si>
    <t>Benzies Bridge 86, 87, 88</t>
  </si>
  <si>
    <t>Benzies Bridge, C. Lupane Communal Land, legume, tree height 2.5m, 4m, 9m</t>
  </si>
  <si>
    <t>max of 3 profiles (no. 86, 87, 88) with root depth (1.9, 2.8, 2.9) for the first 2 are likely saplings</t>
  </si>
  <si>
    <t>Benzies Bridge, C. Lupane Communal Land, tree height 3m</t>
  </si>
  <si>
    <t>Benzies Bridge, C. Lupane Communal Land, legume, tree height 5m</t>
  </si>
  <si>
    <t>riverine</t>
  </si>
  <si>
    <t>consolidated sandy loam (riverine)</t>
  </si>
  <si>
    <t>river bank</t>
  </si>
  <si>
    <t>consolidated sands (rive bank)</t>
  </si>
  <si>
    <t>Benzies Bridge, C. Lupane Communal Land, tree height 2m</t>
  </si>
  <si>
    <t>Benzies Bridge, C. Lupane Communal Land, tree height 3.5m</t>
  </si>
  <si>
    <t>Combretum imberbe</t>
  </si>
  <si>
    <t>Leadwood</t>
  </si>
  <si>
    <t>Benzies Bridge, C. Lupane Communal Land, tree height 7m</t>
  </si>
  <si>
    <t>Mtopi 132</t>
  </si>
  <si>
    <t>Mtopi 226</t>
  </si>
  <si>
    <t>Benzies Bridge 9</t>
  </si>
  <si>
    <t>Benzies Bridge 102</t>
  </si>
  <si>
    <t>Benzies Bridge 110</t>
  </si>
  <si>
    <t>Benzies Bridge 117</t>
  </si>
  <si>
    <t>Benzies Bridge 131</t>
  </si>
  <si>
    <t>Benzies Bridge 133</t>
  </si>
  <si>
    <t>Benzies Bridge 136</t>
  </si>
  <si>
    <t>Benzies Bridge 154</t>
  </si>
  <si>
    <t>Benzies Bridge 218</t>
  </si>
  <si>
    <t>Benzies Bridge 225</t>
  </si>
  <si>
    <t>Benzies Bridge 262</t>
  </si>
  <si>
    <t>Benzies Bridge, C. Lupane Communal Land, legume, tree height 7m</t>
  </si>
  <si>
    <t>consolidated sands</t>
  </si>
  <si>
    <t>Peltophorum africanum</t>
  </si>
  <si>
    <t>Weeping wattle, Rhodesian blackwood, African blackwood, African wattle, African false wattle, Rhodesian wattle, Rhodesian black wattle</t>
  </si>
  <si>
    <t>Benzies Bridge, C. Lupane Communal Land, tree height 4m</t>
  </si>
  <si>
    <t>Benzies Bridge, C. Lupane Communal Land, legume, tree height 4m</t>
  </si>
  <si>
    <t>tap root truncated at 1.3m but dash lines suggests much deeper</t>
  </si>
  <si>
    <t>Benzies Bridge 263</t>
  </si>
  <si>
    <t>Benzies Bridge 264</t>
  </si>
  <si>
    <t>consolidates sands (poorly drained)</t>
  </si>
  <si>
    <t>poorly-drained</t>
  </si>
  <si>
    <t>consolidated loamy sand (gully)</t>
  </si>
  <si>
    <t>Benzies Bridge, C. Lupane Communal Land, tree height 5m</t>
  </si>
  <si>
    <t>Lupane (7km north-east), Lupane Communal Land, tree height 3.5m</t>
  </si>
  <si>
    <t>Lupane (7km north-east), Lupane Communal Land, legume, tree height 8m</t>
  </si>
  <si>
    <t>Lupane (7km north-east), Lupane Communal Land, legume, tree height 6m</t>
  </si>
  <si>
    <t>Diplorhynchus condylocarpon</t>
  </si>
  <si>
    <t xml:space="preserve">Horn-pod tree, Wild rubber </t>
  </si>
  <si>
    <t>Lupane (7km north-east), Lupane Communal Land, tree height 2.5m</t>
  </si>
  <si>
    <t>Lupane (7km north-east), Lupane Communal Land, legume, tree height 4m</t>
  </si>
  <si>
    <t>rotting tap root noted</t>
  </si>
  <si>
    <t>tap root truncated at 2.3m, but dashed line indicates much deeper</t>
  </si>
  <si>
    <t>Julbernardia globiflora</t>
  </si>
  <si>
    <t>Mnondo</t>
  </si>
  <si>
    <t>It prefers a hot dry resting season and plenty of rain in the summer growing season</t>
  </si>
  <si>
    <t>South Gokwe Business Center, Gokwe Communal Land, tree height 7m</t>
  </si>
  <si>
    <t>South Gokwe Business Center, Gokwe Communal Land, legume, tree height 8m</t>
  </si>
  <si>
    <t>South Gokwe Business Center, Gokwe Communal Land, legume, tree height 12m</t>
  </si>
  <si>
    <t>South Gokwe Business Center, Gokwe Communal Land, tree height 5.5m</t>
  </si>
  <si>
    <t>S. Gokwe Bus. Ctr-28</t>
  </si>
  <si>
    <t>S. Gokwe Bus. Ctr-90</t>
  </si>
  <si>
    <t>S. Gokwe Bus. Ctr-184</t>
  </si>
  <si>
    <t>S. Gokwe Bus. Ctr-236</t>
  </si>
  <si>
    <t>Gokwe Business Center, Gokwe Communal Land, tree height 6m</t>
  </si>
  <si>
    <t>Mtshabi School-45</t>
  </si>
  <si>
    <t>Mtshabi School-111</t>
  </si>
  <si>
    <t>Mtshabi School-112</t>
  </si>
  <si>
    <t>Mtshabi School, 15km east of Dagamela, C. Nkayi Communal Land, legume, tree height 12m</t>
  </si>
  <si>
    <t>Mtshabi School, 15km east of Dagamela, C. Nkayi Communal Land, legume, tree height 4.5m</t>
  </si>
  <si>
    <t>tap root truncated at 1.1m but dsh lines show deeper roots</t>
  </si>
  <si>
    <t>sandy clay</t>
  </si>
  <si>
    <t>Madziwadzido, asame river, N. Gokwe Communal Land, legume, tree height 6m</t>
  </si>
  <si>
    <t>clay loam (alluvium)</t>
  </si>
  <si>
    <t>Acacia robusta ssp clavigera</t>
  </si>
  <si>
    <t>Madziwadzido, asame river, N. Gokwe Communal Land, legume, tree height 7m</t>
  </si>
  <si>
    <t xml:space="preserve">Splendid thorn </t>
  </si>
  <si>
    <t>Balanites aegyptiaca</t>
  </si>
  <si>
    <t>desert date, soap berry tree or bush, Thron tree, Egyptian myrobalan, Egyptian balsam, Zachum oil tree</t>
  </si>
  <si>
    <t>Madziwadzido, asame river, N. Gokwe Communal Land, tree height 3.5m</t>
  </si>
  <si>
    <t>Madziwadzido-108, 109</t>
  </si>
  <si>
    <t>Mean of 2 profiles (no. 108, 109) with rooting depths (0.7, 0.5); roots very shallow and wide, and parallel to ground surface</t>
  </si>
  <si>
    <t>Combretum celastroides</t>
  </si>
  <si>
    <t>Jesse-bush bushwillow, Trailing bushwillow, Zambezi jessebush</t>
  </si>
  <si>
    <t>Madziwadzido, asame river, N. Gokwe Communal Land, tree height 5m and 5.5m</t>
  </si>
  <si>
    <t>Madziwadzido-122, 123</t>
  </si>
  <si>
    <t>Mean of 2 profiles (no. 122,123) with rooting depths (0.6, 0.2); roots very shallow and wide, and parallel to ground surface</t>
  </si>
  <si>
    <t>Madziwadzido, asame river, N. Gokwe Communal Land, tree height 4m and 5m</t>
  </si>
  <si>
    <t>Combretum elaeagnoides</t>
  </si>
  <si>
    <t xml:space="preserve">Large-fruited jesse-bush combretum, Oleaster bushwillow </t>
  </si>
  <si>
    <t>Madziwadzido, asame river, N. Gokwe Communal Land, tree height 4m and 4m</t>
  </si>
  <si>
    <t>Madziwadzido-129, 130</t>
  </si>
  <si>
    <t>sand, coarse sand</t>
  </si>
  <si>
    <t>Mean of 2 profiles (no. 129,130) with rooting depths (0.5, 0.7); roots very shallow and wide, and parallel to ground surface</t>
  </si>
  <si>
    <t>Entandrophragma caudatum</t>
  </si>
  <si>
    <t xml:space="preserve">Mountain Mahogany </t>
  </si>
  <si>
    <t>Madziwadzido, asame river, N. Gokwe Communal Land, tree height 14m</t>
  </si>
  <si>
    <t>root profile incomplete?  found at low altitudes in river valleys</t>
  </si>
  <si>
    <t>Siakobvu (15km east), C. Omay Communal Land, tree height 4m</t>
  </si>
  <si>
    <t>shallow loamy sand</t>
  </si>
  <si>
    <t>Omay Siakobvu-41</t>
  </si>
  <si>
    <t>Omay Siakobvu-43</t>
  </si>
  <si>
    <t>Omay Siakobvu-220</t>
  </si>
  <si>
    <t>Omay Siakobvu-230</t>
  </si>
  <si>
    <t>tap root truncated at 1.1m but dash lines show much deeper roots</t>
  </si>
  <si>
    <t>roots grow upward; not grouped with no. 43, because no. 42 is at a different site, suggesting the 2 trees are not on the same site.</t>
  </si>
  <si>
    <t>Siakobvu (15km east), C. Omay Communal Land, legume, tree height 5m</t>
  </si>
  <si>
    <t>Omay Siakobvu-182, 183</t>
  </si>
  <si>
    <t>Siakobvu (15km east), C. Omay Communal Land, legume, tree height 5m and 9m</t>
  </si>
  <si>
    <t>Mean of 2 profiles (no. 182, 183) with rooting depths (0.4, 0.8); roots very shallow and wide, and parallel to ground surface</t>
  </si>
  <si>
    <t>Siakobvu (15km east), C. Omay Communal Land, legume, tree height 12m</t>
  </si>
  <si>
    <t>tap root truncated at 1.2m but dash lines show much deeper roots</t>
  </si>
  <si>
    <t>Siakobvu (15km east), C. Omay Communal Land, tree height 5m</t>
  </si>
  <si>
    <t>Hurungwe Magunge-6</t>
  </si>
  <si>
    <t>Hurungwe Magunge-42</t>
  </si>
  <si>
    <t>Hurungwe Magunge-44</t>
  </si>
  <si>
    <t>Hurungwe Magunge-219</t>
  </si>
  <si>
    <t>Maguenge (12km south), C. Hurungwe Communal Land, legume, tree height 3.5m</t>
  </si>
  <si>
    <t>loamy sand (poorly drained)</t>
  </si>
  <si>
    <t>poorly drained; roots horizontal; water table inferred</t>
  </si>
  <si>
    <t>Maguenge (12km south), C. Hurungwe Communal Land, legume, tree height 6m</t>
  </si>
  <si>
    <t>Maguenge (12km south), C. Hurungwe Communal Land, legume, tree height 7m</t>
  </si>
  <si>
    <t>poorly drained; roots horizontal; water table inferred; not combined with no. 42, because no. 43 is at a different site</t>
  </si>
  <si>
    <t>Maguenge (12km south), C. Hurungwe Communal Land, legume, tree height 4m</t>
  </si>
  <si>
    <t>Acacia eriocarpa</t>
  </si>
  <si>
    <t>Dande Gonono-3</t>
  </si>
  <si>
    <t>Dande Gonono-124</t>
  </si>
  <si>
    <t>Dande Gonono-128</t>
  </si>
  <si>
    <t>Dande Gonono-141</t>
  </si>
  <si>
    <t xml:space="preserve">Woolly-pod acacia </t>
  </si>
  <si>
    <t>Gonono (7km west), N. Dande Communal Land, legume, shrub height 3.5m</t>
  </si>
  <si>
    <t>S. Gokwe Bus. Ctr-241</t>
  </si>
  <si>
    <t>Dande Gonono-35, 36</t>
  </si>
  <si>
    <t>Gonono (7km west), N. Dande Communal Land, tree height 3m, 4m</t>
  </si>
  <si>
    <t>Mean of 2 profiles (no. 35, 36) with rooting depths (0.8, 0.5); roots very shallow and wide, and parallel to ground surface</t>
  </si>
  <si>
    <t>Gonono (7km west), N. Dande Communal Land, tree height 4m</t>
  </si>
  <si>
    <t>Gonono (7km west), N. Dande Communal Land, tree height 3.5m</t>
  </si>
  <si>
    <t>Commiphora ugogensis</t>
  </si>
  <si>
    <t>Gonono (7km west), N. Dande Communal Land, tree height 10m</t>
  </si>
  <si>
    <t xml:space="preserve">River corkwood </t>
  </si>
  <si>
    <t>On alluvial soils along rivers, sometimes forming thickets</t>
  </si>
  <si>
    <t>Dande Gonono-258, 259</t>
  </si>
  <si>
    <t>Terminalia brachystemma</t>
  </si>
  <si>
    <t xml:space="preserve">Kalahari cluster-leaf </t>
  </si>
  <si>
    <t>Gonono (7km west), N. Dande Communal Land, tree height 5m, 8m</t>
  </si>
  <si>
    <t>Mean of 2 profiles (no. 258, 259) with rooting depths (0.6, 0.6); in open woodland on Kalahari sand, often near around vleis</t>
  </si>
  <si>
    <t>Dande Mushumbi Pools-10</t>
  </si>
  <si>
    <t>Dande Mushumbi Pools-197</t>
  </si>
  <si>
    <t>sandy loam (alluvium)</t>
  </si>
  <si>
    <t>alluvial</t>
  </si>
  <si>
    <t>Mushumbi Pools, N. Dande Communal Land, legume, tree height 4m</t>
  </si>
  <si>
    <t>Acacia tortillis ssp spirocarpa</t>
  </si>
  <si>
    <t>Umbrella thorn</t>
  </si>
  <si>
    <t>Mushumbi Pools, N. Dande Communal Land, legume, tree height 5m</t>
  </si>
  <si>
    <t>Dande Mushumbi Pools-19</t>
  </si>
  <si>
    <t>tap root truncated at 1m but dash lines show much deeper roots</t>
  </si>
  <si>
    <t>tap root truncated at 0.7m but dash lines show much deeper roots</t>
  </si>
  <si>
    <t>Masese no. 238</t>
  </si>
  <si>
    <t>Masese no. 237</t>
  </si>
  <si>
    <t>Kalahari sand</t>
  </si>
  <si>
    <t>Karoo sand</t>
  </si>
  <si>
    <t>56km N-E of Secheke, pan-tropic, tree height 13m</t>
  </si>
  <si>
    <t>Masese no. 29-32</t>
  </si>
  <si>
    <t>Masese no. 33</t>
  </si>
  <si>
    <t>56km N-E of Secheke, legume, tree height 18m</t>
  </si>
  <si>
    <t>56km N-E of Secheke, legume, tree height 3m, 4m, 10m, 14m</t>
  </si>
  <si>
    <t>mean of 4 profiles (no. 29, 30, 31, 32, 33) of depth (3.0, 3.0, 3.4, 3.9) on same soil type (likely same site)</t>
  </si>
  <si>
    <t>1 thin, very deep tap root</t>
  </si>
  <si>
    <t>Chati For Reserve no. 37</t>
  </si>
  <si>
    <t>Chati For Reserve no. 38</t>
  </si>
  <si>
    <t>Chati Forest Reserve, 19km west of Kitwe, legume, tree height 9m</t>
  </si>
  <si>
    <t>Chati Forest Reserve, 19km west of Kitwe, legume, tree height 12m</t>
  </si>
  <si>
    <t>pooly drained</t>
  </si>
  <si>
    <t>imperfectly drained</t>
  </si>
  <si>
    <t>coppice in 227</t>
  </si>
  <si>
    <t>strong, deep tap root; all site locations from this atlas are guessed, assuming that all sites of same soil are close by; pooly drained areas are picked near dipressions</t>
  </si>
  <si>
    <t>sloping bedrock is shown in the drawing; selected the highest point in the area, with exposed bedrocks</t>
  </si>
  <si>
    <t>mean of 2 profiles (no. 4, 5) with root depth (3.8, 2.8); From http://www.zari.gov.zm/index.php?option=com_content&amp;view=article&amp;id=26&amp;Itemid=41: Mt Makulu is located 15km south of the Capital Lusaka and is 1.5km off the Lusaka - Kafue road going westwards. The station has a total area of about 550 ha out of which 90 ha is cleared for experiments while 75 ha is occupied by buildings. The total road network of the station is 12km of which 7km is tarred. The station is under region II. The soil type is mainly Makeni series.</t>
  </si>
  <si>
    <t>Tuli Breeding Station, 52km southwest of Nicholson, legume, tree height 7.5m, 8.5m</t>
  </si>
  <si>
    <t>Tuli Breeding Station, 52km southwest of Nicholson, tree height 4m, 8m</t>
  </si>
  <si>
    <t>Tuli Breeding Station, 52km southwest of Nicholson, tree height 6m</t>
  </si>
  <si>
    <t>Tuli Breeding Station, 52km southwest of Nicholson, tree height 5m</t>
  </si>
  <si>
    <t>Tuli Breeding Station, 52km southwest of Nicholson, tree height 3m</t>
  </si>
  <si>
    <t>Tuli Breeding Station, 52km southwest of Nicholson, tree height 10.5m</t>
  </si>
  <si>
    <t>Tuli station quite easy to find: regular grids of forests among small farmsteds, exactly 52km SW of West Nicholson</t>
  </si>
  <si>
    <t>Nyamandhlovu Experimental Station, Bongolo Farm, 15km southwest of Nyamandhlovu, tree height 3m, 5m</t>
  </si>
  <si>
    <t>Nyamandhlovu Experimental Station, Bongolo Farm, 15km southwest of Nyamandhlovu, shrub height 1m</t>
  </si>
  <si>
    <t>Nyamandhlovu Experimental Station, Bongolo Farm, 15km southwest of Nyamandhlovu, tree height 2.5, 3m, 5m</t>
  </si>
  <si>
    <t>Nyamandhlovu Experimental Station, Bongolo Farm, 15km southwest of Nyamandhlovu, tree height 2m</t>
  </si>
  <si>
    <t>Nyamandhlovu Experimental Station,Bongolo Farm, 15km southwest of Nyamandhlovu, tree height 4m</t>
  </si>
  <si>
    <t>Nyamandhlovu Experimental Station, Bongolo Farm, 15km southwest of Nyamandhlovu, tree height 2m, 4m</t>
  </si>
  <si>
    <t>Nyamandhlovu Experimental Station, Bongolo Farm, 15km southwest of Nyamandhlovu, tree height 2.5m</t>
  </si>
  <si>
    <t>Nyamandhlovu Experimental Station, Bongolo Farm, 15km southwest of Nyamandhlovu, tree height 2m, 2m, 3.5m</t>
  </si>
  <si>
    <t>Nyamandhlovu Experimental Station, Bongolo Farm, 15km southwest of Nyamandhlovu, tree height 2m, 3m</t>
  </si>
  <si>
    <t>Nyamandhlovu Experimental Station, Bongolo Farm, 15km southwest of Nyamandhlovu, tree height 3m</t>
  </si>
  <si>
    <t>Nyamandhlovu Experimental Station, Bongolo Farm, 15km southwest of Nyamandhlovu, tree height 5m</t>
  </si>
  <si>
    <t>Nyamandhlovu Experimental Station, Bongolo Farm, 15km southwest of Nyamandhlovu, tree height 2m, 5.5m</t>
  </si>
  <si>
    <t>Nyamandhlovu Experimental Station, Bongolo Farm, 15km southwest of Nyamandhlovu, tree height 3.5m, 4m, 5m</t>
  </si>
  <si>
    <t>mean of 14 profiles (no. 50-63) with root depth (1.5, 1.8 ,0.9, 1.4, 1.8, 2.6, 1.5, 1.9, 1.6, 1.6, 1.1, 1.5, 1.5, 1.9); many with roots grow upward</t>
  </si>
  <si>
    <t>nearest village to Fuller Forest Area is chosen</t>
  </si>
  <si>
    <t>site located by searching fo Hwange Communal Land which leads to College of Wildlife and Agr</t>
  </si>
  <si>
    <t>It is assumed to be the bridge just south of Lupane; there are indeed many gullies leading to the river</t>
  </si>
  <si>
    <t>poorly drained; water table inferred; there is indeed a swampy-looking area near the river junction</t>
  </si>
  <si>
    <t>Gokwe, N. Zimbabwe</t>
  </si>
  <si>
    <t>location for this site is picked in the woodland at the center of the city of Gokwe</t>
  </si>
  <si>
    <t>in what looks like a school ground, with rectangular buildings and trees amist farm huts and tree-lined farm plots</t>
  </si>
  <si>
    <t>Dagamela, C. Nkayi, W. Zimbabwe</t>
  </si>
  <si>
    <t>on Google it is spelled Madzivadzido, just NW of Sasame Drift (not river)</t>
  </si>
  <si>
    <t>location cannot be found by Siakobvu or Omay; closest spelling is Siabuwa, Matabeleland North, in northern Zimbabwe</t>
  </si>
  <si>
    <t>poorly drained; roots horizontal; water table inferred; a poorly drained area is selected in central Hurungew area</t>
  </si>
  <si>
    <t>0.7-1.2</t>
  </si>
  <si>
    <t>&gt;1.0</t>
  </si>
  <si>
    <t>kalahari sand, over sandy-clay loam at 1m</t>
  </si>
  <si>
    <t>630-820</t>
  </si>
  <si>
    <t>http://allafrica.com/stories/200301270661.html:  Gonono is a communicty in Guruve, the latter is easily located on GE</t>
  </si>
  <si>
    <t>Mushumbi Pools, N. Dande Communal Land, tree height 6m</t>
  </si>
  <si>
    <t>Querejeta et al., 2007</t>
  </si>
  <si>
    <t>Northern Yucatan, Mexico</t>
  </si>
  <si>
    <t>Kampepén</t>
  </si>
  <si>
    <t>Santa Cruz</t>
  </si>
  <si>
    <t>Hocabá</t>
  </si>
  <si>
    <t>mostly fall in May-Oct</t>
  </si>
  <si>
    <t>highly permeable Tertiary limestones and dolomites</t>
  </si>
  <si>
    <t>mixed agroforests</t>
  </si>
  <si>
    <t>Meteoric precipitation infiltrates quickly into the porous, permeable limestone bedrock; The seven native tree
species selected for the study included representatives of six diVerent plant families</t>
  </si>
  <si>
    <t>Spondias purpurea</t>
  </si>
  <si>
    <t>Cordia dodecandra</t>
  </si>
  <si>
    <t>Enterolobium
cyclocarpum</t>
  </si>
  <si>
    <t>Brosimum alicastrum</t>
  </si>
  <si>
    <t>Talisia olivaeformis</t>
  </si>
  <si>
    <t>Ficus cotinifolia</t>
  </si>
  <si>
    <t>Soil-Wlled cracks, crevices and cavities (from a few centimeters up to 50 cm in diameter) were found within the limestone bedrock matrix, although they were generally restricted to the upper 1–2 m of the profile.</t>
  </si>
  <si>
    <t>tree roots were mostly concentrated in the upper soil and bedrock layers and were predominantly horizontally oriented</t>
  </si>
  <si>
    <t>Dense mats of roots were found growing along cracks in the bedrock. Sascab bedrock strata in the upper 2 m of the profile were also colonized by fine roots, although more sparsely so than topsoil and soil-Wlled cavities</t>
  </si>
  <si>
    <t>Root access to greater depths appeared to be strongly hampered by the thick limestone shell overlying the water table</t>
  </si>
  <si>
    <t>the tree species investigated used little or no groundwater (0–11% on average) during the dry season.</t>
  </si>
  <si>
    <t>Albaugh et al., 2006</t>
  </si>
  <si>
    <t>Pinus taeda L.</t>
  </si>
  <si>
    <t>Loblolly pine</t>
  </si>
  <si>
    <t>Virginia Piedmont (P)</t>
  </si>
  <si>
    <t>N. Carolina Lower Coastal Plain (C)</t>
  </si>
  <si>
    <t>N. Carolina Sandhills (S)</t>
  </si>
  <si>
    <t>well drained</t>
  </si>
  <si>
    <t>clay soil</t>
  </si>
  <si>
    <t>sandy soil</t>
  </si>
  <si>
    <t>Virginia / N. Carolina, SE US</t>
  </si>
  <si>
    <t>pine plantations</t>
  </si>
  <si>
    <t>profile data available</t>
  </si>
  <si>
    <t>profile data available; extralolated beyond 2.9m</t>
  </si>
  <si>
    <t>profile data available; site moved off the water to the nearest forest</t>
  </si>
  <si>
    <t>Robinson et al., 2006</t>
  </si>
  <si>
    <t>Kalannie upper slop</t>
  </si>
  <si>
    <t>Kalannie middle slope</t>
  </si>
  <si>
    <t>Narembeen north</t>
  </si>
  <si>
    <t>Narembeen east</t>
  </si>
  <si>
    <t>Narrogin south</t>
  </si>
  <si>
    <t>Narrogin north</t>
  </si>
  <si>
    <t>Wickepin</t>
  </si>
  <si>
    <t>Woodanilling</t>
  </si>
  <si>
    <t>Newdegate</t>
  </si>
  <si>
    <t>Eucalyptus polybractea</t>
  </si>
  <si>
    <t>Eucalyptus loxophleba ssp. Lissophloia</t>
  </si>
  <si>
    <t>Eucalyptus kochii ssp. Plenissima</t>
  </si>
  <si>
    <t>Eucalyptus astringens</t>
  </si>
  <si>
    <t>Eucalyptus horistes</t>
  </si>
  <si>
    <t>upper slope</t>
  </si>
  <si>
    <t>middle slope</t>
  </si>
  <si>
    <t>summer drought</t>
  </si>
  <si>
    <t>south-west
Western Australia</t>
  </si>
  <si>
    <t xml:space="preserve">Mediterranean </t>
  </si>
  <si>
    <t>Blue mallee</t>
  </si>
  <si>
    <t>York gum</t>
  </si>
  <si>
    <t>oil mallee</t>
  </si>
  <si>
    <t>brown mallee</t>
  </si>
  <si>
    <t>uniform sand over silcrete hardpan</t>
  </si>
  <si>
    <t>silcrete hardpan</t>
  </si>
  <si>
    <t>1m gravelly sandy loam, on 3m sandy clay loam, on granite bedrock</t>
  </si>
  <si>
    <t>0.15m clay sand on 0.5-0.7m domed red mottled clay then white clay to several meters</t>
  </si>
  <si>
    <t>depth of drilling 8m</t>
  </si>
  <si>
    <t>depth of drilling 2m</t>
  </si>
  <si>
    <t>depth of drilling 5m</t>
  </si>
  <si>
    <t>depth of drilling 10m</t>
  </si>
  <si>
    <t>depth of drilling 6m</t>
  </si>
  <si>
    <t>0.5m gravelly  sandy on clay at 2–4 m then sandy clay</t>
  </si>
  <si>
    <t>pallid zone</t>
  </si>
  <si>
    <t>0.25-0.6m sandy ferricrete gravel, 0.5-1m orange mottled clay, on orange–red clay and a white pallid zone</t>
  </si>
  <si>
    <t>1.0-2.0</t>
  </si>
  <si>
    <t>rooting depth inferred from soil depth dried to wilting point</t>
  </si>
  <si>
    <t>tree belts to reduce recharge</t>
  </si>
  <si>
    <t>rooting depth inferred from soil depth dried to wilting point; location in the mid slope of a long crop field lined with trees</t>
  </si>
  <si>
    <t>Kubota et al., 2005</t>
  </si>
  <si>
    <t>central Japan</t>
  </si>
  <si>
    <t>facing NE</t>
  </si>
  <si>
    <t>Fagus crenata Blume</t>
  </si>
  <si>
    <t>Japanese beech</t>
  </si>
  <si>
    <t>the 1500m site</t>
  </si>
  <si>
    <t>the 900m site</t>
  </si>
  <si>
    <t>the 550m site</t>
  </si>
  <si>
    <t>facing N; on a river terrace in a deep valley, 10 m above the current river level.</t>
  </si>
  <si>
    <t>andesite and basalt</t>
  </si>
  <si>
    <t>moderately water-retentive brown forest soil</t>
  </si>
  <si>
    <t>moderately water-retentive brown forest soil; silty clay loam</t>
  </si>
  <si>
    <t>only regional precip given - should differ among the 3 sites of ver different elevation</t>
  </si>
  <si>
    <t>Rooting depths are assumed the same as "rooting zone depth" given here</t>
  </si>
  <si>
    <t>no soil texture given for the hiest and lowest sites, but mentioned that it is different</t>
  </si>
  <si>
    <t>Oliveira et al., 2005</t>
  </si>
  <si>
    <t>Cerrado denso</t>
  </si>
  <si>
    <t>Campo sujo</t>
  </si>
  <si>
    <t>35km S. of Brasilia, Brazil</t>
  </si>
  <si>
    <t>clayey red latossol (Oxisol)</t>
  </si>
  <si>
    <t>May-Sept</t>
  </si>
  <si>
    <t>Cerrado (grass/tree savanna)</t>
  </si>
  <si>
    <t>Campo sujo is a grassy vegetation with interspersed small shrubs (maximum height ≈ 2·5 m)… Fine roots were present in all depths sampled. We do not know the maximum rooting depth in either community</t>
  </si>
  <si>
    <t>plinthite layer</t>
  </si>
  <si>
    <t>Two adjacent ecosystems (&lt;1 km apart) were selected on the basis of contrasting density of woody plants and similarities of soil type. Cerrado denso is a semi-closed canopy vegetation type with tree cover of ≈ 70%, and tree height from 5 to 9 m… Therefore deep roots appear to be exceptionally important in providing water for vegetation, not only during the dry season but also during periods of high demand for water (early wet season–growing season) associated with below-average rainfall in the middle of the wet   season.</t>
  </si>
  <si>
    <t>Max root depth suggested to be the depth of the plinthite layer</t>
  </si>
  <si>
    <t>grasses</t>
  </si>
  <si>
    <t>sites are at Reserva Ecologica do Instituto Brasileiro de Geografia e Estatistica (RECOR-IBGE) Ecological Reserve; Significant water uptake occurs in 4-7.5m ("the lower soil compartment"), hence max rooting depth is assumed to be in the middle of this soil zone; this is one of the studies like Nepstad-1994 showing the disproportionately large roles played by the little big of deep roots</t>
  </si>
  <si>
    <t>galery forest</t>
  </si>
  <si>
    <t>open slope</t>
  </si>
  <si>
    <t>grass ecosystem</t>
  </si>
  <si>
    <t>semi-closed canopy forest</t>
  </si>
  <si>
    <t>Rawitscher, 1948</t>
  </si>
  <si>
    <t>Andira humilis</t>
  </si>
  <si>
    <t>Emas (Pirassununga), Sao Paulo, Brazil</t>
  </si>
  <si>
    <t>17-18</t>
  </si>
  <si>
    <t>a legume; details in Fig.11 and soil profiles in Fig.9</t>
  </si>
  <si>
    <t>Fig.13</t>
  </si>
  <si>
    <t>Stryphnodendron Barbatimao</t>
  </si>
  <si>
    <t>Fig. 24</t>
  </si>
  <si>
    <t>Cochlospermum insigne</t>
  </si>
  <si>
    <t>Fig. 27</t>
  </si>
  <si>
    <t>Acanthococos sp.</t>
  </si>
  <si>
    <t>Fig. 28</t>
  </si>
  <si>
    <t>Since it was necessary to know the water-content in the different layers we opened three wells reaching the ground water-table at 17-18 m. As the wells were drilled at the highest levels of the rolling land, ground-water here could not be conducted from  lsewhere and must have been derived from the excess or the summer rains in situ. The ground-water table is continuous, and the many wells that exist in the region for household purposes indicate, in comparable cases, similar depths of the same continuous ground-water. From this ground-water there drains off throughout the year, even at the end of the driest periods, water that feeds springs and streams. thus we can only present here a preliminary list of the plants of Emas, which are found to belong to the phanerophytic and often nearly evergreen part of the vegetation, generally with deep roots Even during the heaviest rains, no puddles form and no water flows over the surface of the soil. On account of their great depth the soils could not be studied merely by digging trenches and pits; wells had to be opened by professional well-diggers. The depth of the soils, as usual under humid-hot conditions, is very great; a continuous underground water level occurs at 17-18 m. The behaviour of the vegetation depends on whether the roots reach the always humid part of the soil or not.</t>
  </si>
  <si>
    <t>on a plateau</t>
  </si>
  <si>
    <t>Aristolochia Giberti</t>
  </si>
  <si>
    <t>a legume; Fig.22 - truncated at 2m but it is so strong that I would guess at least 3m</t>
  </si>
  <si>
    <t>Echinolaena sp.</t>
  </si>
  <si>
    <t>Craniolaria integrifolia</t>
  </si>
  <si>
    <t>Vernonia grandiflora</t>
  </si>
  <si>
    <t>Attalea exigua Drude</t>
  </si>
  <si>
    <t>evergreen broad-leaf, palm</t>
  </si>
  <si>
    <t>Martin and Chambers, 2002</t>
  </si>
  <si>
    <t>Central Nevada, US</t>
  </si>
  <si>
    <t>Corral Canyon</t>
  </si>
  <si>
    <t>desert reparian meadow</t>
  </si>
  <si>
    <t>Cahill Canyon</t>
  </si>
  <si>
    <t>Emigrant Canyon</t>
  </si>
  <si>
    <t>aquic cryoborolls</t>
  </si>
  <si>
    <t>aquic cryoborrols to cryaquols</t>
  </si>
  <si>
    <t>60% as snow</t>
  </si>
  <si>
    <t>0-2.4</t>
  </si>
  <si>
    <t>0-1.5</t>
  </si>
  <si>
    <t>0-1.2</t>
  </si>
  <si>
    <t>Carex nebrascensis, Poa pratensis</t>
  </si>
  <si>
    <t>Nebraska sedge, Kentucky bluegrass</t>
  </si>
  <si>
    <t>sedge grass, grass</t>
  </si>
  <si>
    <t>roots only observed to 0.45cm; values here extrapolated according to the authors' statement that root activities tracked the water table</t>
  </si>
  <si>
    <t xml:space="preserve">Large yearly and seasonal differences among water tables largely determined the rooting activity and depth in these mesic meadows and influenced treatment responses. Little rooting activity occurred within or at the surface of the water table and rooting depth increased as water table level lowered during the growing season. </t>
  </si>
  <si>
    <t>Nobel &amp; Zutta, 2005</t>
  </si>
  <si>
    <t>bimodal, late summer, then winter/early spring</t>
  </si>
  <si>
    <t xml:space="preserve">drought-deciduous </t>
  </si>
  <si>
    <t>ocotillo, flaming sward, Jacob's staff</t>
  </si>
  <si>
    <t>Agave Hill</t>
  </si>
  <si>
    <t>Southern California</t>
  </si>
  <si>
    <t>NW Sonoran Desert</t>
  </si>
  <si>
    <t>The maximum rooting depth steadily increased with plant height up to about 1.5m; No young roots were observed in the upper 3 cm of the soil but they occasionally occurred at 4 cm. Roots of F. splendens were often observed alongside or underneath rocks.</t>
  </si>
  <si>
    <t>E facing slope</t>
  </si>
  <si>
    <t>Highest occurrence on E-facing slopes</t>
  </si>
  <si>
    <t>Schmid &amp; Kazda, 2005</t>
  </si>
  <si>
    <t>near Wilhelmsburg, Austria</t>
  </si>
  <si>
    <t>Fagus sylvatica</t>
  </si>
  <si>
    <t>Picea abies</t>
  </si>
  <si>
    <t>Norway Spruce</t>
  </si>
  <si>
    <t>European beech, common beech</t>
  </si>
  <si>
    <t>4cm O, nutrient rich Cambisol
from sandstone / clayey marls)</t>
  </si>
  <si>
    <t>Maximum root density is reached in 10–20 cm depth in the beech stand. Roots were also sparsely distributed at the maximum investigation depth of 1 m.</t>
  </si>
  <si>
    <t>maximum abundance for the roots between 2 mm and 5 mm diameter (small roots) was found in the uppermost 10 cm of the profile. Roots were also sparsely distributed at the maximum investigation depth of 1 m.</t>
  </si>
  <si>
    <t>mean slope of 10% with aspect NNE</t>
  </si>
  <si>
    <t>Moreno-Chacon &amp; Lusk, 2004</t>
  </si>
  <si>
    <t>Nothofagus dombeyi</t>
  </si>
  <si>
    <t>S. C. Chile</t>
  </si>
  <si>
    <t xml:space="preserve">coihue, coigüe </t>
  </si>
  <si>
    <t>Valdivian rain forest in Parque Nacional Puyehue</t>
  </si>
  <si>
    <t>10% in summer months</t>
  </si>
  <si>
    <t>fertile, well drained, derived from recent volcanic ash</t>
  </si>
  <si>
    <t>fine root biomass of N. dombeyi declined significantly more steeply with depth than
that of its associates did, the average contribution of N. dombeyi to total fine root biomass decreasing from 29% in the uppermost 10 cm, to little more than 1% at 70–80 cm.</t>
  </si>
  <si>
    <t>"Parque Nacional Puyehue" helped put the site on a location more like old growth forest with clustered emergents over lower associates; study reported fine roots (&lt;2mm) only</t>
  </si>
  <si>
    <t>Restom &amp; Napstad, 2004</t>
  </si>
  <si>
    <t>Paragominas, Para, Brazil</t>
  </si>
  <si>
    <t>Davilla kunthii</t>
  </si>
  <si>
    <t>Tropical rainforest</t>
  </si>
  <si>
    <t>dry in June-Nov</t>
  </si>
  <si>
    <t>moved from given lat-lon to a forested area 7km NE of Paragominas</t>
  </si>
  <si>
    <t>secondary forest from abandoned pasture 15yrs ago</t>
  </si>
  <si>
    <t>Oxisol: 70–80% clay, 10–20% gibsite</t>
  </si>
  <si>
    <t>&gt;40</t>
  </si>
  <si>
    <t>The deepest individual excavated had roots as deep as 10 m...Deep rooting was shown to be a priority in the development of D. kunthii and may contribute to its success in establishing in regenerating seasonal forests</t>
  </si>
  <si>
    <t>Silva &amp; Rego, 2004</t>
  </si>
  <si>
    <t>Central Portugal</t>
  </si>
  <si>
    <t>Tapada Nacional de Mafra</t>
  </si>
  <si>
    <t>humic cambissols derived from sandstone</t>
  </si>
  <si>
    <t>Jun-Aug only 3.1%</t>
  </si>
  <si>
    <t>Serra da Malcata Natural Park</t>
  </si>
  <si>
    <t>schist lithossols</t>
  </si>
  <si>
    <t>Arbutus unedo</t>
  </si>
  <si>
    <t>mean of 2 specimen</t>
  </si>
  <si>
    <t>Chamaespartium tridentatum</t>
  </si>
  <si>
    <t>Cistus crispus</t>
  </si>
  <si>
    <t>Cistus ladanifer</t>
  </si>
  <si>
    <t>Cistus salvifolius</t>
  </si>
  <si>
    <t>mean of 3 specimen</t>
  </si>
  <si>
    <t>Crataegus monogyna</t>
  </si>
  <si>
    <t>Cytisus multiflorus</t>
  </si>
  <si>
    <t>Cytisus striatus</t>
  </si>
  <si>
    <t>Daphne gnidium</t>
  </si>
  <si>
    <t>Erica australis</t>
  </si>
  <si>
    <t>Erica lusitanica</t>
  </si>
  <si>
    <t>Erica scoparia</t>
  </si>
  <si>
    <t>Erica umbellata</t>
  </si>
  <si>
    <t>Lavandula luisieri</t>
  </si>
  <si>
    <t>mean of 4 specimen</t>
  </si>
  <si>
    <t>Myrtus communis</t>
  </si>
  <si>
    <t>Quercus pyrenaica</t>
  </si>
  <si>
    <t>Ulex jussiaei</t>
  </si>
  <si>
    <t>Mediterranean shrubland</t>
  </si>
  <si>
    <t>site moved slightly onto the natural preserve/park "Tapada Nacional de Mafra"; mean of 9 specimen</t>
  </si>
  <si>
    <t>tree or shrub</t>
  </si>
  <si>
    <t>lenga beech</t>
  </si>
  <si>
    <t>Antarctic Beech</t>
  </si>
  <si>
    <t>bunch grass, cushion shrub</t>
  </si>
  <si>
    <t>Piche’s tail</t>
  </si>
  <si>
    <t>herb, subshrub</t>
  </si>
  <si>
    <t>common hawthorn, single-seeded hawthorn</t>
  </si>
  <si>
    <t>flax-leaved daphne</t>
  </si>
  <si>
    <t>Spanish and Portuguese heath</t>
  </si>
  <si>
    <t>French lavender, Spanish lavender, or topped lavender</t>
  </si>
  <si>
    <t>common myrtle</t>
  </si>
  <si>
    <t>thorny shrub</t>
  </si>
  <si>
    <t>strawberry tree</t>
  </si>
  <si>
    <t>green-stem leaf-less shrub</t>
  </si>
  <si>
    <t>gum rockrose</t>
  </si>
  <si>
    <t>white Spanish broom</t>
  </si>
  <si>
    <t>legume</t>
  </si>
  <si>
    <t>Portuguese broom</t>
  </si>
  <si>
    <t>Pyrenean oak</t>
  </si>
  <si>
    <t>Sudmeyer et al., 2004</t>
  </si>
  <si>
    <t>Esperance, Wesern Australia</t>
  </si>
  <si>
    <t>Eucalyptus globulus</t>
  </si>
  <si>
    <t>Pinus radiata</t>
  </si>
  <si>
    <t>Eucalyptus kochii</t>
  </si>
  <si>
    <t>Tasmanian blue gum</t>
  </si>
  <si>
    <t>Monterey pine</t>
  </si>
  <si>
    <t>maritime pine</t>
  </si>
  <si>
    <t>Koch’s mallee</t>
  </si>
  <si>
    <t>Site-1</t>
  </si>
  <si>
    <t>Site-2</t>
  </si>
  <si>
    <t>Site-3</t>
  </si>
  <si>
    <t>~2m tall</t>
  </si>
  <si>
    <t>3.5m tall</t>
  </si>
  <si>
    <t>2.0–3.0m tall</t>
  </si>
  <si>
    <t>10–15m tall</t>
  </si>
  <si>
    <t>16m tall</t>
  </si>
  <si>
    <t>12m tall</t>
  </si>
  <si>
    <t>14m</t>
  </si>
  <si>
    <t>9.5m tall</t>
  </si>
  <si>
    <t>17.5m tall</t>
  </si>
  <si>
    <t>17m tall</t>
  </si>
  <si>
    <t>In duplex soils, tree roots were concentrated in the sandy A horizons, with root density decreasing sharply in the clay subsoils</t>
  </si>
  <si>
    <t>duplex soil, or sand over clay at &gt;1m depth</t>
  </si>
  <si>
    <t xml:space="preserve"> duplex soil, or sand over clay at &gt;0.75m depth, mottled</t>
  </si>
  <si>
    <t xml:space="preserve"> duplex soil, or sand over  clay at &gt;0.5m depth</t>
  </si>
  <si>
    <t xml:space="preserve"> duplex soil, or sand over clay at &gt;1m depth</t>
  </si>
  <si>
    <t xml:space="preserve"> duplex soil, or sand over clay at &gt;0.75m depth</t>
  </si>
  <si>
    <t xml:space="preserve"> duplex soil, or sand over clay at &gt;0.9m depth</t>
  </si>
  <si>
    <t xml:space="preserve"> duplex soil, or sand over clay at &gt;0.6m depth</t>
  </si>
  <si>
    <t xml:space="preserve"> duplex soil, or sand over clay at &gt;0.4m depth</t>
  </si>
  <si>
    <t>In the deeper sands, the distribution of roots was relatively uniform down the soil profile</t>
  </si>
  <si>
    <t>In the clay subsoil, vertical roots were generally confined to the faces between large polyhedral peds and to relic root channels previously occupied by the native vegetation.</t>
  </si>
  <si>
    <t>Lateral roots were confined to the sandy soil horizons at all sites and for all species</t>
  </si>
  <si>
    <t>all rooting depth extrapolated from the root density figures; a 15m tall tree</t>
  </si>
  <si>
    <t>planted; root pruned</t>
  </si>
  <si>
    <t>planted</t>
  </si>
  <si>
    <t>2/3 falling in May-Oct</t>
  </si>
  <si>
    <t>He &amp; Zhang, 2003</t>
  </si>
  <si>
    <t>Inner Mongolia, China</t>
  </si>
  <si>
    <t>Research station location was found in Liu et al., 2010; chose nearest site with given elevation (&lt;1350m) and relief (&lt;10 im 300mx300m area)</t>
  </si>
  <si>
    <t>fixed sandland</t>
  </si>
  <si>
    <t>shifting sandland</t>
  </si>
  <si>
    <t>lowland</t>
  </si>
  <si>
    <t>desert due to humans</t>
  </si>
  <si>
    <t>Sabina vulgaris (Juniperus sabina)</t>
  </si>
  <si>
    <t>Savin Juniper or Savin</t>
  </si>
  <si>
    <t>1230–2650</t>
  </si>
  <si>
    <t>80% fall Jun-Sep</t>
  </si>
  <si>
    <t>dune slope</t>
  </si>
  <si>
    <t>The S. vulgaris plants in the lowland with the highest water content showed the shallowest rooting profile with ca. 90% of the roots occurring in the top 60 cm of soil, whereas the plants in the fixed sandland with the lowest water content showed the deepest rooting profile</t>
  </si>
  <si>
    <t>Kohzu et al., 2003</t>
  </si>
  <si>
    <t>northern Kyoto City, Japan</t>
  </si>
  <si>
    <t>Mizoro Site (Mizorogaike Pond)</t>
  </si>
  <si>
    <t>Miscanthus sinensis</t>
  </si>
  <si>
    <t>Menyanthes trifoliata</t>
  </si>
  <si>
    <t>Lobelia sessilifolia</t>
  </si>
  <si>
    <t>Hydrangea paniculata</t>
  </si>
  <si>
    <t>Ilex crenata</t>
  </si>
  <si>
    <t>Pinus densiflora</t>
  </si>
  <si>
    <t>Japanese red pine</t>
  </si>
  <si>
    <t>panicled hydrangea</t>
  </si>
  <si>
    <t>bog-bean, buckbean</t>
  </si>
  <si>
    <t>Japanese holly, box-leaved holly</t>
  </si>
  <si>
    <t>Chinese silver grass, Eulalia grass, maiden grass, zebra grass, Susuki grass, porcupine grass</t>
  </si>
  <si>
    <t>Phragmites australis</t>
  </si>
  <si>
    <t>common reed</t>
  </si>
  <si>
    <t>hummock in the bog</t>
  </si>
  <si>
    <t>fen</t>
  </si>
  <si>
    <t>Iris laevigata</t>
  </si>
  <si>
    <t>Bidens frondosa</t>
  </si>
  <si>
    <t>Isachne globosa</t>
  </si>
  <si>
    <t>Thus, the significance of Phragmites’ deep rooting is that nutrients from deeper soils are made accessible.</t>
  </si>
  <si>
    <t>peat</t>
  </si>
  <si>
    <t>the study site is a bog-fen system. Authors mention that the soils are water-logged, but no water table data given. The site is a pond with bogs on Google Earth. The Value of 0.2m is taken here from Fig 3 for it seems to be the mean root reach.</t>
  </si>
  <si>
    <t>Rabbit-ear iris</t>
  </si>
  <si>
    <t>bur marigold, pitchfork weed</t>
  </si>
  <si>
    <t>bloodgrass</t>
  </si>
  <si>
    <t>Rooting depth data from Fig.3</t>
  </si>
  <si>
    <t>Rose et al., 2003</t>
  </si>
  <si>
    <t>same site as Hubbert et al 2001</t>
  </si>
  <si>
    <t>Southern Sierras, CA</t>
  </si>
  <si>
    <t>Sequoia National Forest</t>
  </si>
  <si>
    <t>coarse loamy</t>
  </si>
  <si>
    <t>NE-facing footslope</t>
  </si>
  <si>
    <t>granite, fractured</t>
  </si>
  <si>
    <t>Pinus jeffreyi</t>
  </si>
  <si>
    <t>Jeffrey pine</t>
  </si>
  <si>
    <t>greenleaf manzanita</t>
  </si>
  <si>
    <t>Arctostaphylos patula</t>
  </si>
  <si>
    <t>isotope data shows root uptake above 2m</t>
  </si>
  <si>
    <t>mostly as snow in Nov-Apr</t>
  </si>
  <si>
    <t>Mediterranean woodland</t>
  </si>
  <si>
    <t>Silva &amp; Rego, 2003</t>
  </si>
  <si>
    <t>Rubus ulmifolius</t>
  </si>
  <si>
    <t>common bracken, eagle fern</t>
  </si>
  <si>
    <t>elmleaf blackberry zarzamora</t>
  </si>
  <si>
    <t>0.7 here but deeper in their 2004 study</t>
  </si>
  <si>
    <t>The same site as in their 2004 paper but reported 2 more species - recorded here. Data also used to refine rooting depth of Ulex in their 2004 paper - next block</t>
  </si>
  <si>
    <t>Angadi &amp; Entz, 2002</t>
  </si>
  <si>
    <t>Southern Manitoba, Canada</t>
  </si>
  <si>
    <t>Carman Research Station</t>
  </si>
  <si>
    <t>sunflower</t>
  </si>
  <si>
    <t>Canadian Prairie</t>
  </si>
  <si>
    <t>Many studies have reported rooting depth in sunflower beyond 2.0 m, which is deeper than many annual crops… even in the driest regions of western Canada, water from deeper soil layers is often left unused... a crop like the standard height sunflower, capable of extracting water from deeper layers, will have a distinctive advantage</t>
  </si>
  <si>
    <t>Helianthus annuns</t>
  </si>
  <si>
    <t>Winnipeg Plant Science Field Research Facility</t>
  </si>
  <si>
    <t>Sandy clay loam</t>
  </si>
  <si>
    <t>annual crop</t>
  </si>
  <si>
    <t>In sunflower, the tap root is the major channel for conducting water from deep in the soil to above ground foliage. The diameter of the tap root is an indicator of water transportation ability of the root system</t>
  </si>
  <si>
    <t xml:space="preserve">inferred from deepest soil water depletion; location picked near university campus, in an area that looks like an agriculatual experiment facility expreiment </t>
  </si>
  <si>
    <t>extrapolated from Fig. 2A.; location picked to be on an area that looks like exprerimental plots</t>
  </si>
  <si>
    <t>Archer et al., 2002</t>
  </si>
  <si>
    <t>Almeria, SE Spain</t>
  </si>
  <si>
    <t>Dry Mediterranean Shrub steppe</t>
  </si>
  <si>
    <t>Anthyllis cytisoides</t>
  </si>
  <si>
    <t>broom bush</t>
  </si>
  <si>
    <t>Retama-site</t>
  </si>
  <si>
    <t>Anthyllis-site</t>
  </si>
  <si>
    <t>lower alluvial fan</t>
  </si>
  <si>
    <t>upper alluvial fan</t>
  </si>
  <si>
    <t>alluvial loamy sands and fine sandy loams</t>
  </si>
  <si>
    <t>300-350</t>
  </si>
  <si>
    <t>mainly Sept-May</t>
  </si>
  <si>
    <t>mainly winter</t>
  </si>
  <si>
    <t>sites pinpointed using elevation (630m), upper and lower alluvial fan, on SW facing slope</t>
  </si>
  <si>
    <t>rooting depth determined by Table 4 (abundant roots, esp. at Retama site) at 1m, and Fig 7 (roots far exceed 1m depth)</t>
  </si>
  <si>
    <t>the presence of deep larger diameter roots in shrub areas form large open channels at deeper soil depths, facilitating deep-water percolation, while presence of thin shallow roots in grass areas form small open channels at shallow depths, causing water to remain within shallow depths. Over time these roots systems will alter their environment and facilitate storage and uptake of water and nutrient availability. The difference in rooting depth will decrease the competition for water between the shrub areas and grass areas
and cause differences in water distribution and availability.</t>
  </si>
  <si>
    <t>Bonal et al., 2000</t>
  </si>
  <si>
    <t>French Guiana</t>
  </si>
  <si>
    <t>DVD-site (deep vertical drainage)</t>
  </si>
  <si>
    <t>SLD-site (shallow lateral drainage)</t>
  </si>
  <si>
    <t>Eperua falcata</t>
  </si>
  <si>
    <t>Dicorynia guianensis</t>
  </si>
  <si>
    <t>lat-lon off (in the ocean), site selected to be "near Petit-Saut dam" and "altitude 30m", and from Poszwa (2002) "30 km west from Kourou"; the closest to 30m elevation is 34m in this area</t>
  </si>
  <si>
    <t>on top of small hill</t>
  </si>
  <si>
    <t>downslope of the hill</t>
  </si>
  <si>
    <t>reddish-brown
sandy-loamy to sandy horizon down to &gt;4.0 m, with a micro-aggregated structure</t>
  </si>
  <si>
    <t>clayey-silty alterite with compact base (&lt;1 m) which induces lateral drainage</t>
  </si>
  <si>
    <t xml:space="preserve">double dry Aug-Nov, Feb-Mar </t>
  </si>
  <si>
    <t>PET from Poswa (2002); WT should be very shallow but no data collected</t>
  </si>
  <si>
    <t>compact laterite</t>
  </si>
  <si>
    <t>The two species clearly differed in the vertical distribution of the rooting systems. E. falcata developed a strong tap-root which can prospect deep horizons, down to –3.5 m in the deep vertical drainage (DVD) site and –2.0 m in the superficial lateral drainage (SLD)  site. Long horizontal roots (up to 15.0 m) were found in the upper horizons. Further down, only small (&lt; 1.0 m long) lateral roots were observed.</t>
  </si>
  <si>
    <t xml:space="preserve">In D. guianensis, the rooting system densely colonised the upper horizon, with long and abundant lateral roots (up to 17 m), while depths of root prospection were lower than in E. falcata (down to 1.6 m and 1.0 m in the DVD and SLD sites, respectively). </t>
  </si>
  <si>
    <t>Roering et al., 2002</t>
  </si>
  <si>
    <t>S. Island, New Zealand</t>
  </si>
  <si>
    <t>Nothofagus</t>
  </si>
  <si>
    <t>slope of alluvial terrace</t>
  </si>
  <si>
    <t>Podocarpaceae</t>
  </si>
  <si>
    <t>soutern beech</t>
  </si>
  <si>
    <t>podocarp</t>
  </si>
  <si>
    <t>tephra on loess</t>
  </si>
  <si>
    <t>The transition from a thin, highly concentrated tephra layer at depth to less concentrated, widely distributed tephra in the upper soil may result from soil mixing and transport by biological disturbances. Along our transect, the depth to this transition is ~50 cm, coincident with the rooting depth of podocarp and Nothofagus trees that populated the region during much of the Holocene</t>
  </si>
  <si>
    <t>Fig3a indicates site elevation of 397-.392m, but the map given suggests a location at the 360m elevation range</t>
  </si>
  <si>
    <t>Castelli et al., 2000</t>
  </si>
  <si>
    <t>central Nevada</t>
  </si>
  <si>
    <t>riparian medow</t>
  </si>
  <si>
    <t>Big Creek, wet meadow</t>
  </si>
  <si>
    <t>Big Creek, mesic meadow</t>
  </si>
  <si>
    <t>Big Creek, dry meadow</t>
  </si>
  <si>
    <t>Big Creek, sage brush</t>
  </si>
  <si>
    <t>Corral Canyon, wet meadow</t>
  </si>
  <si>
    <t>Corral Canyon, mesic meadow</t>
  </si>
  <si>
    <t>Corral Canyon, dry meadow</t>
  </si>
  <si>
    <t>Corral Canyon, sage brush</t>
  </si>
  <si>
    <t>Carex nebrascensis, Juncus balticus, Alopecurus aequalis Sobol</t>
  </si>
  <si>
    <t>Poa pratensis ssp. pratensis, Juncus balticus, Agrostis stolonifera, Hordeum brachyantherum, Iris missouriensis.</t>
  </si>
  <si>
    <t>Muhlenbergia richardsonis ssp. richardsonis, Poa secunda ssp. juncifolia, Elymus trachycaulus ssp. trachycaulus (L.) Gould ex Shinn., Carex douglasii</t>
  </si>
  <si>
    <t>Artemisia tridentata Nutt. ssp. tridentata, Leymus cinereus Elymus elymoides, and P. secunda ssp. secunda</t>
  </si>
  <si>
    <t>Sporobolus flexuosus, Bouteloua eriopoda, Aristida purpurea</t>
  </si>
  <si>
    <t>San Carlos, Venezuela</t>
  </si>
  <si>
    <t>Cecropia distachya</t>
  </si>
  <si>
    <t>Method</t>
  </si>
  <si>
    <t>Colombian Amazonia, near Araracuara, Caqueta</t>
  </si>
  <si>
    <t>lowland tropical rainforest</t>
  </si>
  <si>
    <t>none</t>
  </si>
  <si>
    <t>excavation, soil blocks, root auger cores</t>
  </si>
  <si>
    <t>Cecropia ficifolia</t>
  </si>
  <si>
    <t>Cecropia sciadophylla</t>
  </si>
  <si>
    <t>secondary regrowth</t>
  </si>
  <si>
    <t>6yr old regrowth site</t>
  </si>
  <si>
    <t>14yr old regrowth site</t>
  </si>
  <si>
    <t>37yr old regrowth site</t>
  </si>
  <si>
    <t>Vismia macrophylla</t>
  </si>
  <si>
    <t>6yr and 14yr old regrowth sites</t>
  </si>
  <si>
    <t>Vismia japurensis</t>
  </si>
  <si>
    <t>Vismia glaziovii</t>
  </si>
  <si>
    <t>18yr old regrowth site</t>
  </si>
  <si>
    <t>Miconia poeppigii</t>
  </si>
  <si>
    <t>Goupia glabra</t>
  </si>
  <si>
    <t>Clathrotropis macrocarpa</t>
  </si>
  <si>
    <t>14yr and 37yr old sites</t>
  </si>
  <si>
    <t>14yr and 18yr old regrowth sites</t>
  </si>
  <si>
    <t>Brosimum rubescens</t>
  </si>
  <si>
    <t>root system characterized by the presence of distinct aerial stilt roots; all adventitious organs which develop on young saplings and later emerge at a higher level near lenticels on stem. These organs create an arch-like structure and become rooted in the soil more than 1 m away; successively acquire substantial radial growth and their total volume exceeds the volume of the original stem near the ground; Stilt roots reinforce the anchorage of trees which could be easily proved in specimens which fell down after the removal of these organs; these “invasive” roots reached 25 m in length. They do not branch except at the end where they are terminated by a cluster of fine roots. Young invasive roots show up early in tree seedlings whose taproot stops growing and remains dwarfed or can also change into an invasive root. Underground root: Their vertical structure lacks positively geotropic roots. Even the taproot does not develop into the depth, and remains either dwarfed or curved in a plagiotropic direction</t>
  </si>
  <si>
    <t>Juvenile taproots hardly penetrate below a depth of 0.3 m, but in mature trees they can reach down to 1 m; The root system in Vismia species is generally poor in branching and is characterized by geotropic laterals growing from the coarse plagiotropic skeleton roots; In the excavated trees maximum root concentration was in the upper 0.2 m.</t>
  </si>
  <si>
    <t>Older specimens often display thickened plagiotropic roots which spread on the soil surface and at their distal end (even after 7 m) curve down into the soil and serve as sinkers improving the mechanical stability of the tree. A less  ronounced taproot; forms a denser root mat of brachyrhizas growing in the humus horizon (&lt;5 cm in diameter) penetrates down to 1.2 m.</t>
  </si>
  <si>
    <t>Fig.1-3, pioneer species</t>
  </si>
  <si>
    <t>Fig.1-4. pioneer species</t>
  </si>
  <si>
    <t>Fig.1-5, pioneer species</t>
  </si>
  <si>
    <t>3 specimen (Fig.3-2,3,4), pioneer species</t>
  </si>
  <si>
    <t>2 specimen (Fig.3-5,7), pioneer species</t>
  </si>
  <si>
    <t>Fig.3-6, pioneer species</t>
  </si>
  <si>
    <t>4 specimen (Fig.5-2,3,4,5), pioneer species</t>
  </si>
  <si>
    <t>2 specimen (Fig.7-2,3), climax species</t>
  </si>
  <si>
    <t>characterized by a robust stump base and adjacent root spurs; the root skeleton is situated in the upper layer of the soil profile and consists of thick plagiotropic and positively geotropic roots (Fig. 7). Plagiotropic roots spread far beyond the crown projection (Fig. 8). Larger plagiotropic branches bear 3–4 sinkers which extend down to a depth of 0.7 m in the proximal area of the system.</t>
  </si>
  <si>
    <t>3 specimen (Fig.9-2,3,4), climax species</t>
  </si>
  <si>
    <t>Deeply penetrating taproot richly branched in its upper section dominates the root system of young saplings. With increasing age a dominant tap-root prevails (1.3 m maximum depth); Dense concentration of roots appears in the upper 30 cm.</t>
  </si>
  <si>
    <t>Fig.11-1, climax species</t>
  </si>
  <si>
    <t>A bunh of sinkers penetrates below the maximum observed in other tree species (our observations indicate 1.5 m depth). Coarse plagiotropic skeleton roots spread in the wide surroundings of the tree and create a superficial mat; A thick concentration of roots occupies a space covering an area of 20–30 m in diameter. The fine roots with numerous brachyrhizae readily occupy half-rotten stumps, fallen limbs and trunks. Rich ramification of Brosimum roots on the bank of a stream suggested their affinity to open water.</t>
  </si>
  <si>
    <t>on low terrace, 10-15m above low water level, on Caqueta floodplain</t>
  </si>
  <si>
    <t>Fig.1-2, pioneer species; lat-lon too coarse, site location guided by author desciption, 10-15m above water level, average z=160m, near the town of Araracuara, also near a road by the river, in areas with various stages of forest regeneration</t>
  </si>
  <si>
    <t>soil pit</t>
  </si>
  <si>
    <t>Aquic cryoboroll, coarse</t>
  </si>
  <si>
    <t>Aquic cumulic cryoboroll, coarse</t>
  </si>
  <si>
    <t>Pachic cryoboroll, coarse</t>
  </si>
  <si>
    <t>Haplocryoll</t>
  </si>
  <si>
    <t>Aquic cumulic haplocryoll</t>
  </si>
  <si>
    <t>Pachic haplocryoll</t>
  </si>
  <si>
    <t>Nebraska sedge</t>
  </si>
  <si>
    <t>Kentucky bluegrass</t>
  </si>
  <si>
    <t>Mat muhly</t>
  </si>
  <si>
    <t>sagebrush</t>
  </si>
  <si>
    <t>Schmid &amp; Kazda, 2001</t>
  </si>
  <si>
    <t>Yes</t>
  </si>
  <si>
    <t>trench profile wall</t>
  </si>
  <si>
    <t>European beech</t>
  </si>
  <si>
    <t>Norway spruce</t>
  </si>
  <si>
    <t xml:space="preserve">Fagus sylvatica </t>
  </si>
  <si>
    <t>pure stand</t>
  </si>
  <si>
    <t>mixed stand</t>
  </si>
  <si>
    <t>However, the root system of spruce was shallower in the mixture with beech. Beech roots reached the same rooting depth as in the pure stand but showed higher root densities in deeper soil layers... suggests a higher belowground competitive ability of beech</t>
  </si>
  <si>
    <t>compact stagnic horizon</t>
  </si>
  <si>
    <t>4cm O, clay loam, 40-60% clay, rock content 4-15%</t>
  </si>
  <si>
    <t>333 in May-Sep</t>
  </si>
  <si>
    <t>same site as the 2005 study by the same author, but in mixed stand; compitition makes  spruce roots shallower than beech</t>
  </si>
  <si>
    <t>Water saturation as indicated by signs of gleyic influence may periodically occur below 50–60 cm; Measurements of soil moisture content showed that, during the growing season, all available water from the rooting zone is utilized.</t>
  </si>
  <si>
    <t>periodic saturation below 0.6m</t>
  </si>
  <si>
    <t>Max rooting depth from Fig.2; periodic saturation below 0.6m reported in the 2001 study</t>
  </si>
  <si>
    <t>Thomas, 2000</t>
  </si>
  <si>
    <t>Neuenburg site</t>
  </si>
  <si>
    <t>Sprakensehl site</t>
  </si>
  <si>
    <t>Lappwald site</t>
  </si>
  <si>
    <t>Hakel site</t>
  </si>
  <si>
    <t>NE Germany</t>
  </si>
  <si>
    <t>NW Germany</t>
  </si>
  <si>
    <t>Quaternary clay under glacial loamy sand</t>
  </si>
  <si>
    <t>Jurassic clay under glacial loamy sand</t>
  </si>
  <si>
    <t>Glacial sand</t>
  </si>
  <si>
    <t>Limestone under loess</t>
  </si>
  <si>
    <t xml:space="preserve">English oak </t>
  </si>
  <si>
    <t>sessile oak, Cornish oak, Durmast oak</t>
  </si>
  <si>
    <t>temperate decidous forest</t>
  </si>
  <si>
    <t>185 yr old tree</t>
  </si>
  <si>
    <t>104 yr old tree</t>
  </si>
  <si>
    <t>136 yr old tree</t>
  </si>
  <si>
    <t>c 175 yr old; moved 1.7km NE to be at 200m elevation</t>
  </si>
  <si>
    <t>None of the stands was affected by groundwater; both oak species are able to root very deeply, but not intensively; The vertical root distribution did not correspond with soil water availability. Comparisons of the rooting patterns with soil water relations and soil chemistry lead to the hypothesis that under the climatic conditions of Central Europe, the vertical root distribution of Q. petraea is more influenced by the availability of nutrients, especially that of nitrogen, than by the amounts of plant-available soil water.</t>
  </si>
  <si>
    <t>flat but well drained</t>
  </si>
  <si>
    <r>
      <t>B</t>
    </r>
    <r>
      <rPr>
        <sz val="9"/>
        <color theme="1"/>
        <rFont val="Calibri"/>
        <family val="2"/>
      </rPr>
      <t>ü</t>
    </r>
    <r>
      <rPr>
        <sz val="9"/>
        <color theme="1"/>
        <rFont val="Calibri"/>
        <family val="2"/>
        <scheme val="minor"/>
      </rPr>
      <t>ttner &amp; Leuschner, 1994</t>
    </r>
  </si>
  <si>
    <t>soil cores</t>
  </si>
  <si>
    <t>Live fine roots of both species showed highest densities in the upper, less decomposed OF horizon of the organic profile… and declined sharply downwards in the profile...total fine root biomass increased from its seasonal minimum in February to the maximum in August by 50%.</t>
  </si>
  <si>
    <t>7.2cm O, on sandy, acidic, nurient poor mineral soil</t>
  </si>
  <si>
    <t>Here the nutrient poor mineral soil may have caused roots to be mostly in the thick organic layer</t>
  </si>
  <si>
    <t>Donovan et al., 1996</t>
  </si>
  <si>
    <t>Mono Lake, California</t>
  </si>
  <si>
    <t>Chrysothamnus nauseosus</t>
  </si>
  <si>
    <t>Chamisa, rubber rabbitbrush, gray rabbitbush</t>
  </si>
  <si>
    <t>Sarcobatus vermiculatus</t>
  </si>
  <si>
    <t>greasewood, seepwood, and saltbush</t>
  </si>
  <si>
    <t>Both shrub species are phreatophytic, indicating that they are generally rooted down to the capillary fringe of groundwater at depths of 2-12 m, and hence should have similar access to water.</t>
  </si>
  <si>
    <t>soil pits and cores</t>
  </si>
  <si>
    <t>to 1m</t>
  </si>
  <si>
    <t>Roots of both species penetrate much deeper than 1m and were occasionally found in augered holes at 3-5m depths</t>
  </si>
  <si>
    <t>little in Jun-Aug</t>
  </si>
  <si>
    <t>3.4 - 5.0</t>
  </si>
  <si>
    <t>2-3.6m dune sand on lake clay</t>
  </si>
  <si>
    <t>site moved 0.36km from given lat-lon (to minute) to be at 1958m elevation and at the same distance from lake shore</t>
  </si>
  <si>
    <t>2km from the closed lake</t>
  </si>
  <si>
    <t>Drexhage &amp; Gruber, 1998</t>
  </si>
  <si>
    <t xml:space="preserve">Norway spruce </t>
  </si>
  <si>
    <t>north-facing slope</t>
  </si>
  <si>
    <t>south-facing slope</t>
  </si>
  <si>
    <t>plateau site</t>
  </si>
  <si>
    <t>We defined P. fruticosa as a deep-rooted, mid-flowering species because it is a shrub with a strong taproot, which often grows deeper than 30 cm below surface</t>
  </si>
  <si>
    <t>N. Harz Mountain, Lower Saxony, Germany</t>
  </si>
  <si>
    <t>12 degree N-facing slope</t>
  </si>
  <si>
    <t>18 degree S-facing slope</t>
  </si>
  <si>
    <t>5 degree plateau above S-face slope</t>
  </si>
  <si>
    <t>Coarse textured</t>
  </si>
  <si>
    <t>Devonian sandstone</t>
  </si>
  <si>
    <t>root excavation</t>
  </si>
  <si>
    <t>The maximum depth of skeletal roots varied between 0.5 and 1.0 m on the north-facing slope and between 0.7 and 0.8 m on the southfacing
slope (Fig. 3). The maximum rooting depth measured on the plateau area was 0.8 m.</t>
  </si>
  <si>
    <t>this study focuses on structural roots only (woody skeleton roots); excavation terminated where tap roots is thinner than 5mm; annual root growth rates measured by rings</t>
  </si>
  <si>
    <t>Esler &amp; Rundel, 1999</t>
  </si>
  <si>
    <t>Namaqualand, South Africa</t>
  </si>
  <si>
    <t>Mojave Desert, Nevada</t>
  </si>
  <si>
    <t>mostly in spring</t>
  </si>
  <si>
    <t>in winter and spring</t>
  </si>
  <si>
    <t>excavation</t>
  </si>
  <si>
    <t>Augrabies, near Port Nolloth, Northern Cape Province</t>
  </si>
  <si>
    <t>the site lat-lon moved to Augrabies where roots were excavated, not the lat-lon given by author</t>
  </si>
  <si>
    <t>Stoebaria sp.</t>
  </si>
  <si>
    <t>Enarganthe actonaria</t>
  </si>
  <si>
    <t>Zygophyllum prismatocarpum</t>
  </si>
  <si>
    <t>Cephalophyllum sp.</t>
  </si>
  <si>
    <t>Ruschia sp.</t>
  </si>
  <si>
    <t>Euphorbia wallichii</t>
  </si>
  <si>
    <t>Hilaria rigida</t>
  </si>
  <si>
    <t>Opuntia ramossissima</t>
  </si>
  <si>
    <t>Thamonosma montana</t>
  </si>
  <si>
    <t>Eriogonum fasciculatum</t>
  </si>
  <si>
    <t>Acamptopappus sphaerocephalus</t>
  </si>
  <si>
    <t>Mendora spinescens</t>
  </si>
  <si>
    <t>Yucca schidigera</t>
  </si>
  <si>
    <t>Site loation taken from Cody-1986 from which root data is reproduced here</t>
  </si>
  <si>
    <t>Midhill site</t>
  </si>
  <si>
    <t>Granite Mountain site</t>
  </si>
  <si>
    <t>drawing</t>
  </si>
  <si>
    <t>granite alluvium</t>
  </si>
  <si>
    <t>level terrain</t>
  </si>
  <si>
    <t>on the side of a wash</t>
  </si>
  <si>
    <t>granite alluvium &gt;30 deep</t>
  </si>
  <si>
    <t>Root drawn from Cody-1986.  The first site is located on both sides of a wash which runs north off the Mid Hills between Mexican Water Spring and Chicken Water Spring.  The procedure was repeated at two sites near the base of the Granite Mountains… some 38 km from the Mid Hills site... The greater above-ground structural diversity in the Mojave Desert is reflected in its greater range of rooting depth and form in below-ground architecture (Figure 3).</t>
  </si>
  <si>
    <t>Roots drawn from field excavations at Augrabies, near Port Nolloth, Northern Cape Province.  Soil catenas are similar at both sites, with shallow rocky soils on the bajada (apron veld) slopes grading into deeper sandy soils below. Except in run-on situations or deep coarse
soils with high rates of infiltration, both chamaephytes and phanerophytes in the Succulent Karoo have surprisingly shallow rooting profiles... Few species in our field studies (Figure 3) have root systems extending to more than 20 cm in depth, even in relatively deep soils.</t>
  </si>
  <si>
    <t>rocky and hilly</t>
  </si>
  <si>
    <t>leaf-succulent</t>
  </si>
  <si>
    <t>clumping grass</t>
  </si>
  <si>
    <t>stem succulent</t>
  </si>
  <si>
    <t>turpentine broom</t>
  </si>
  <si>
    <t xml:space="preserve">California Buckwheat </t>
  </si>
  <si>
    <t>rayless goldenhead</t>
  </si>
  <si>
    <t>spiny menodora</t>
  </si>
  <si>
    <t>Mojave yucca or Spanish Dagger</t>
  </si>
  <si>
    <t>Roupsard et al., 1999</t>
  </si>
  <si>
    <t>7.5 - 11</t>
  </si>
  <si>
    <t>trench wall</t>
  </si>
  <si>
    <t>Acacia albida</t>
  </si>
  <si>
    <t>Burkina Faso, west Africa</t>
  </si>
  <si>
    <t>tree savanna, Sahel</t>
  </si>
  <si>
    <t>The parkland of Dossi</t>
  </si>
  <si>
    <t>&lt;50mm/mon Oct-Mar</t>
  </si>
  <si>
    <t>yes</t>
  </si>
  <si>
    <t>volcano-sedimentary, schist</t>
  </si>
  <si>
    <t>clay sand, on clay silt, on silt, rich in minerals</t>
  </si>
  <si>
    <t>Roots were distributed through the weathered rock, down to a depth of 7 m, and vanished in the vicinity of a permanent water-table. The isotopic composition of oxygen in the xylem sap (d18O) remained very close to the values recorded in the water-table during the course of the year... during early rains, d18O of sap switched towards the composition of the superficial soil layers</t>
  </si>
  <si>
    <t>Alexandre &amp; Ouedraogo, 1992</t>
  </si>
  <si>
    <t>The Watinoma Village Site</t>
  </si>
  <si>
    <t>tree savanna</t>
  </si>
  <si>
    <t>repeatedly cut and resprouted</t>
  </si>
  <si>
    <t>In Watinoma, F. albida is restricted to a plain, characterized by deep sandy soils and a high water table… Its taproot branched out at a depth of 120 cm to form secondary roots which attained a depth of 470 cm to a mottled, seasonally anaerobic horizon. At this depth, roots grew horizontally and abruptly changed direction (sometimes 90°) several times</t>
  </si>
  <si>
    <t>Google search the village name found a map; water table inferred as the mottled anaerobic horizon; root depth from Fig.1</t>
  </si>
  <si>
    <t>Rakaye Yarse, Sissili Province Sites</t>
  </si>
  <si>
    <t>1m rich sandy soil on compact clay</t>
  </si>
  <si>
    <t>compact clay</t>
  </si>
  <si>
    <t>1m</t>
  </si>
  <si>
    <t>situated in the classified forest of Nazinon in Sissili province, 100 km south of Ouagadougou</t>
  </si>
  <si>
    <t>Figure 2 is typical of the peculiar morphology of F. albida existing in this village. Stems emerged from a large horzontal root which had secondary roots at one end; these were atrophied on the upper side… Some roots successfully penetrated the clayey horizon. Their pathways were erratic, veering both horizontally and vertically in an apparently random manner. At 210 cm, a small root (3 cm in diameter) was uncovered which probably continued to greater depths.</t>
  </si>
  <si>
    <t>Dupuy &amp; Dreyfus, 1992</t>
  </si>
  <si>
    <t>South Senegal, Sudano-Guinean, western Africa</t>
  </si>
  <si>
    <t>Central Senegal, Sahel, western Africa</t>
  </si>
  <si>
    <t>Louga</t>
  </si>
  <si>
    <t>Diokaul</t>
  </si>
  <si>
    <t>Djinaki</t>
  </si>
  <si>
    <t>Kabrousse</t>
  </si>
  <si>
    <t>soil coring</t>
  </si>
  <si>
    <t>paddy fields</t>
  </si>
  <si>
    <t>root presence is inferred from rhyzobium presence in root nodules</t>
  </si>
  <si>
    <t>clearly rhizobia are more abundant in moist soil, likely because there are more roots in moist soils</t>
  </si>
  <si>
    <t>Up to now, it has been generally observed that populations of rhizobia were restricted to the upper soil horizons, mostly because studies were focused on annual crops with relatively shallow root systems. When dealing with deeply rooting trees, rhizosphere microorganisms, including Rhizobium and Bradyrhizobium species, may occur in the deep soil. In fact, Virginia et al. (14) studied the distribution of rhizobia under Prosopis glandulosa in the California Sonoran Desert and reported that population densities as high as
6.1 x 103 cells per g of soil occurred at 4 to 6 m below the ground near the water table. Our results clearly demonstrated that large Bradyrhizobium populations were found in soils at the water table level... We recently found in Kabrousse that population densities of bradyrhizobia were negligible (&lt;l/g of soil) in the soils outside the tree canopy (3a). This suggests that the presence of significant populations of bradyrhizobia depends on root activity and root products.</t>
  </si>
  <si>
    <t>Fine roots abundance seems to correlate with rhizobium abundance. The two clusters of high rhizobia populations near the surface and right above the WT may be related to the dimorphic root systems observed in deep rooted trees in seasonal climate</t>
  </si>
  <si>
    <t>farm fields</t>
  </si>
  <si>
    <t>Cote d'Ivoire, wetern Africa</t>
  </si>
  <si>
    <t>sandy, tropical ferrugineous soils</t>
  </si>
  <si>
    <t>Dec-Jan</t>
  </si>
  <si>
    <t>shrubs</t>
  </si>
  <si>
    <t>site is flat and near a large meandering river; soil water profile shows increasing water content with depth</t>
  </si>
  <si>
    <t>Hyparrhenia diplandra, Andropogon schirensis, Imperata cylindrica</t>
  </si>
  <si>
    <t>Gus sonia barteri, Crossopteryx febrifuga</t>
  </si>
  <si>
    <t>no water competition and vertical partitioning as suggested by the 2-layer model</t>
  </si>
  <si>
    <t>Lamto Reserve</t>
  </si>
  <si>
    <t>flat, near river</t>
  </si>
  <si>
    <t>water uptake by both grass and shrub species was consistently from the top soil layer in this humid savanna. Similar patterns of soil water uptake  by these two functional groups were consistent with their rooting patterns (Fig. 1 ). Both grass and shrub components
were shallow rooted and exhibited maximum root densities in the 0-10 em and 0-20 cm soil... In humid savannas, water is less limiting than in drier savannas and it can thus be assumed that nutrient availability becomes a strong constraint which influences both structure and function.</t>
  </si>
  <si>
    <t>temperate forest</t>
  </si>
  <si>
    <t>temperate wetland</t>
  </si>
  <si>
    <t>Xu et al., 2011</t>
  </si>
  <si>
    <t>Abies faxoniana</t>
  </si>
  <si>
    <t>Betula utilis</t>
  </si>
  <si>
    <t>tree, overstory</t>
  </si>
  <si>
    <t>tree, midstory</t>
  </si>
  <si>
    <t>Bashania fangiana</t>
  </si>
  <si>
    <t>Wind Break Bamboo</t>
  </si>
  <si>
    <t>grass, understory</t>
  </si>
  <si>
    <t>Himalayan birch</t>
  </si>
  <si>
    <t>Farges' fir</t>
  </si>
  <si>
    <t>81% in Jul-Sep</t>
  </si>
  <si>
    <t>20cm soil blocks to 80cm</t>
  </si>
  <si>
    <t>the deep-rooted A. faxoniana has abilities to take advantage of deep water sources derived from groundwater as reflected by the groundwater contribution to its xylem water</t>
  </si>
  <si>
    <t>B. utilis and B. fangiana were shallow rooted with 84 and 91% of their fine roots in the upper soil layers (0-40 cm and litter layer), where 40% or more of soil water comes from rain</t>
  </si>
  <si>
    <t>subalpine coniferous foret</t>
  </si>
  <si>
    <t>north facing slope</t>
  </si>
  <si>
    <t>western Sichuan province, China</t>
  </si>
  <si>
    <t>No soil information is given; not certain if reported ET is PET; sampling stopped at 80cm, but the profiles suggest deeper roots for all 3 species (Fig.5)</t>
  </si>
  <si>
    <t>Abdelkrim et al., 2014</t>
  </si>
  <si>
    <t>limestone hardpan</t>
  </si>
  <si>
    <t>excavating half tree</t>
  </si>
  <si>
    <t>tree-3, male</t>
  </si>
  <si>
    <t>Algeria, N. Africa</t>
  </si>
  <si>
    <t>Atlas Sahara</t>
  </si>
  <si>
    <t>dayas (alluvial depressions) that follow old river systems</t>
  </si>
  <si>
    <t>Pistacia atlantica</t>
  </si>
  <si>
    <t>Atlas pistachio</t>
  </si>
  <si>
    <t>no</t>
  </si>
  <si>
    <t>sandy-silt, calcareous, poorly defined horizons</t>
  </si>
  <si>
    <t>7 trees were excavated but very near one another; excavation stopped at 0.8m at the hardpan; no vertical profiles but illustration seggest roots go at least to 0.8m here.</t>
  </si>
  <si>
    <t>Coile, 1937</t>
  </si>
  <si>
    <t>Pinus taeda L</t>
  </si>
  <si>
    <t>shortleaf pine</t>
  </si>
  <si>
    <t>post oak, 
blackjack oak</t>
  </si>
  <si>
    <t>Quercus stellata Wang., Quercus marilandicaM uench</t>
  </si>
  <si>
    <t>white oak, black oak, red oak</t>
  </si>
  <si>
    <t>Q. alba L., Q. velutina LaMarck., Q. borealis Mich</t>
  </si>
  <si>
    <t>red gum, yellow poplar</t>
  </si>
  <si>
    <t>Liquidambars tyracilgua L ., Liriodendron tulipifera L.</t>
  </si>
  <si>
    <t>exavation</t>
  </si>
  <si>
    <t>max depth extrapolated from Fig.4</t>
  </si>
  <si>
    <t>Temperate mixed forest</t>
  </si>
  <si>
    <t>loam over clay</t>
  </si>
  <si>
    <t>sandy loam, clay loam, then clay</t>
  </si>
  <si>
    <t>loam, clay loam, then clay</t>
  </si>
  <si>
    <t>sandy clay loam, then sandy loam</t>
  </si>
  <si>
    <t>Duke Forest</t>
  </si>
  <si>
    <t>early cultivated, top soil loss</t>
  </si>
  <si>
    <t>The deep penetration of all roots is especially noticeable in this soil, which is characterized by stratified recent sediments and a fluctuating water table. Soil moisture and aeration are favorable for root growth</t>
  </si>
  <si>
    <t>soil developed from igneous rock, deeply weathered; The open, friable character of the red clay in the thick B horizon is conducive to good water percolation, aeration, and root development</t>
  </si>
  <si>
    <t>The clay of the B horizon is extremely plastic, and water movement through it is slow; Moisture conditions are often adverse during the growing season, and the xeric oaks characteristic of the stand have a stunted appearance</t>
  </si>
  <si>
    <t>a heavy, compact, plastic clay B horizon, the physical nature of the B horizon makes it unfavorable for root growth</t>
  </si>
  <si>
    <t>There is a preponderancoef the smallest size-classo f roots (&lt;0.1 inch in diameter) near the surface, and a dearth of roots in the C horizon.</t>
  </si>
  <si>
    <t>max depth extrapolated from Fig.4; a fluctuating water table within root reach is mentioned, but no depth data given</t>
  </si>
  <si>
    <t>North Carolina, Piedmont region</t>
  </si>
  <si>
    <t>Higgins et al., 1987</t>
  </si>
  <si>
    <t>Protea neriijolia</t>
  </si>
  <si>
    <t>Protea repens</t>
  </si>
  <si>
    <t>Leucadendron salignum</t>
  </si>
  <si>
    <t>Erica plukenetii</t>
  </si>
  <si>
    <t>Cliffortia ruscifolia</t>
  </si>
  <si>
    <t>Otholobium fruticans</t>
  </si>
  <si>
    <t>Aristea major</t>
  </si>
  <si>
    <t>Watsonia pyramidata</t>
  </si>
  <si>
    <t>Ischyrolepis gaudichaudiana</t>
  </si>
  <si>
    <t>Terraria bromoides</t>
  </si>
  <si>
    <t>&gt;3</t>
  </si>
  <si>
    <t>mean of 2 specimens</t>
  </si>
  <si>
    <t>mean of 6 specimens</t>
  </si>
  <si>
    <t>mean of 3 specimens</t>
  </si>
  <si>
    <t>mean of 4 specimens</t>
  </si>
  <si>
    <t>location moved slightly to z=400m; mean of 2 specimens</t>
  </si>
  <si>
    <t>mid-high shrub</t>
  </si>
  <si>
    <t>geophyte</t>
  </si>
  <si>
    <t>grass (graminoid)</t>
  </si>
  <si>
    <t>Re-seeder</t>
  </si>
  <si>
    <t>Resprouts from a lignotuber</t>
  </si>
  <si>
    <t>Resprouts from a rhizome</t>
  </si>
  <si>
    <t>Resprouts from a corm</t>
  </si>
  <si>
    <t>Resprouts from a creeping rhizome</t>
  </si>
  <si>
    <t>Resprouts from a stolen</t>
  </si>
  <si>
    <t>60% in May-Aug</t>
  </si>
  <si>
    <t>loamy sand, with quartzite stones in B horizon</t>
  </si>
  <si>
    <t>sandstones</t>
  </si>
  <si>
    <t>E of Cape Town, South Africa</t>
  </si>
  <si>
    <t>mountain fynbos, Mediterranean</t>
  </si>
  <si>
    <t>4m closed shrubland</t>
  </si>
  <si>
    <t>Freycon et al., 2015</t>
  </si>
  <si>
    <t>Correspondence to the cases in the conceptual model</t>
  </si>
  <si>
    <t>semi-deciduous tropical rain forest</t>
  </si>
  <si>
    <t>top of a plateau</t>
  </si>
  <si>
    <t>Central African Republic</t>
  </si>
  <si>
    <t>dry season in Nov-Mar</t>
  </si>
  <si>
    <t>central Georgia, US</t>
  </si>
  <si>
    <t>Ferralsols developed on Precambrian quartzite-sandstone</t>
  </si>
  <si>
    <t>Arenosols developed on Cretaceous sandstone</t>
  </si>
  <si>
    <t>gravel at 1-3m, on duricrust and/or weathered rocks</t>
  </si>
  <si>
    <t>weathered sandstone</t>
  </si>
  <si>
    <t>Mbaiki, profile-1</t>
  </si>
  <si>
    <t>Mbaiki, profile-2</t>
  </si>
  <si>
    <t>Ngotto, profile-1</t>
  </si>
  <si>
    <t>Ngotto, profile-2</t>
  </si>
  <si>
    <t>Entandrophragma cylindricum</t>
  </si>
  <si>
    <t>semi-deciduous tropical rain forest, more evergreen</t>
  </si>
  <si>
    <t>At Ngotto, we were obliged to stop digging at a depth of 3m, due to technical difficulties caused by the sandy soils (the pit collapsed)</t>
  </si>
  <si>
    <t>trench wall, plus soil cores</t>
  </si>
  <si>
    <t>Rooting depth was observed down to a depth of 5.20 m in the Arenosol at Ngotto 2</t>
  </si>
  <si>
    <t>emergent tree</t>
  </si>
  <si>
    <t xml:space="preserve">sapele or sapelli </t>
  </si>
  <si>
    <t>differentiating fine vs. coarse roots</t>
  </si>
  <si>
    <t xml:space="preserve">In the two topsoil profile at the Ngotto site,we observed a dense root mat; </t>
  </si>
  <si>
    <t>In the present study, wewere unable to reach themaximumrooting depth and, given the number of fine roots still found in our deepest samples, we suggest that, in Ferralsols, roots extend down to at least 10 m.</t>
  </si>
  <si>
    <t>&gt;10</t>
  </si>
  <si>
    <t>Deep rooting could also enable the roots to reach the water table, whose depth is estimated to range from 8 to 25 m (Bonsor &amp; McDonald 2011) in this region of the Central African Republic</t>
  </si>
  <si>
    <t>Rooting depth was observed down to a depth of 8m in the Ferralsol at Mbaiki 2; we found that the roots were not stopped by the gravelly or stony horizons</t>
  </si>
  <si>
    <t>Ohnuki et al., 2008</t>
  </si>
  <si>
    <t>tropical evergreen forest</t>
  </si>
  <si>
    <t>Kampong Thom Province, Central Cambodia, SE Asia</t>
  </si>
  <si>
    <t>DEF1</t>
  </si>
  <si>
    <t>flat terrace 10m above nearby streams</t>
  </si>
  <si>
    <t>2.0 - 9.4</t>
  </si>
  <si>
    <t>loamy sand, on sandy-caly loam, on clay loam, silty clay, and clay</t>
  </si>
  <si>
    <t>Dipterocarpus costatus, Anisoptera costata, andVatica odorata</t>
  </si>
  <si>
    <t>Bornyasz et al., 2005</t>
  </si>
  <si>
    <t>Southern California, US</t>
  </si>
  <si>
    <t>Quercus agrifolia</t>
  </si>
  <si>
    <t>coast live oak</t>
  </si>
  <si>
    <t>granite, highly fractured and deeply weathered</t>
  </si>
  <si>
    <t>97 - 720 (mean 355)</t>
  </si>
  <si>
    <t>Santa Margarita Ecological Reserve</t>
  </si>
  <si>
    <t>newly exposed roadcut</t>
  </si>
  <si>
    <t>base of an ESE to SE facing colluvial footslope (12% slope), near a canyon bottom</t>
  </si>
  <si>
    <t>coarse-loamy, well-drained</t>
  </si>
  <si>
    <t>0.24 - 1.0</t>
  </si>
  <si>
    <t>90% in Oct-Apr</t>
  </si>
  <si>
    <t>picked a site at 231m elevation, on the road, and near the reserve headquater; this study has the most detailed quantification of soils, fractures and rock matrix physical and chemical properties, and roots, mycorrhiza and hypha distributions</t>
  </si>
  <si>
    <t>Roots were confined to the fracture spaces within each of the weathered bedrock matrix regions. Mats consisting of roots &gt;3mm diameter were common throughout the profile, even at 4-m depth.</t>
  </si>
  <si>
    <t>Cerri and Volkoff, 1987</t>
  </si>
  <si>
    <t>Central Amazon, by Manaus</t>
  </si>
  <si>
    <t>Instituto Nacional da Amazonia Reserve</t>
  </si>
  <si>
    <t>Jul-Sep low</t>
  </si>
  <si>
    <t>pleateau with smooth concave inclination 1%</t>
  </si>
  <si>
    <t>yellow latosols, deep, well-drained acidic clays, 10-20m thick</t>
  </si>
  <si>
    <t>75% of total roots is located in the first 50 cm and 90% in the first 100 cm. Plant fragments are also found at greater depths. Thus, between 100 and 500 cm, there is 1 tC/ha of small roots. Fine roots were found in the whole profile… But the presence of deep roots suggests that there is also a direct incorporation of carbon into the soil by roots.</t>
  </si>
  <si>
    <t>3 trenches</t>
  </si>
  <si>
    <t>&gt;5</t>
  </si>
  <si>
    <t>Lamont et al., 1984</t>
  </si>
  <si>
    <t>Leucadendron laureolum</t>
  </si>
  <si>
    <t>Yellow Tulip</t>
  </si>
  <si>
    <t>small tree or shrub</t>
  </si>
  <si>
    <t>Bot River, South Africa</t>
  </si>
  <si>
    <t>Mediterranean, fynbos of Cape</t>
  </si>
  <si>
    <t>Bot River, natural stand</t>
  </si>
  <si>
    <t>sandstone</t>
  </si>
  <si>
    <t>Roots were excavated 0.35m from the base of a 1.8 m high plant about 13 years old,  until Table Mt Sandstone parent rock prevented further digging at depth 0.6m. Closer to the parent plant were four sinker roots of equal width to the taproot, all of which penetrated the sandstone.</t>
  </si>
  <si>
    <t>Humus, sand and gravel, rocks</t>
  </si>
  <si>
    <t>Bot River is the only natural setting in this study of potted experiments on cluster roots and P uptake</t>
  </si>
  <si>
    <t>Zerihun et al., 2006</t>
  </si>
  <si>
    <t xml:space="preserve">Poplar box, Bimble box </t>
  </si>
  <si>
    <t>Queens Land, NE Australia</t>
  </si>
  <si>
    <t>Oakvale, open woodland with shrubby understorey</t>
  </si>
  <si>
    <t>Roma, open woodland</t>
  </si>
  <si>
    <t>Rockhampton, open woodland</t>
  </si>
  <si>
    <t>Eucalyptus populnea, E. intertexta</t>
  </si>
  <si>
    <t>Eucalyptus populnea</t>
  </si>
  <si>
    <t>Eucalyptus populnea, E. crebra, E.hybrida</t>
  </si>
  <si>
    <t>red loamy A, light-medium clay B</t>
  </si>
  <si>
    <t>uniform medium loam or clay-loam</t>
  </si>
  <si>
    <t>sand to clay loam on yellow gray clay</t>
  </si>
  <si>
    <t>site moved from given lat-lon to be in an open woodland as described in text: "the vegetation is tall (10–27 m) woodland"</t>
  </si>
  <si>
    <t>0.75-0.8</t>
  </si>
  <si>
    <t>2 steps for coarse and fine roots (1) for each of the ten sample trees from each site, their coarse roots were fully excavated, cleaned, and size-classed (15–30, 30–50, 50–100, more than 100 mm diameter), then 40 soil core samples (to 1 m depth using a 100 mm diameter steel corer with a tungsten or diamond cutting tip for rocky subsoils) at each of the three study sites.</t>
  </si>
  <si>
    <t>site moved from given lat-lon to be in an open woodland as described in text</t>
  </si>
  <si>
    <t>"hardpan"</t>
  </si>
  <si>
    <t>the most detailed study of roots along MAP gradient, same species; unfortunately no soil water or GW conditions were mentioned; all 3 sites seem to be in topo depressions or along river channels, so GW might have played a role; max root depth projected from Fig.5 and 6</t>
  </si>
  <si>
    <t>Eamus et al., 2002</t>
  </si>
  <si>
    <t>Humpty Doo site</t>
  </si>
  <si>
    <t>Eucalyptus tetrodonta</t>
  </si>
  <si>
    <t>Erythrophleum chlorostachys</t>
  </si>
  <si>
    <t>tropical Eucalypt open forest</t>
  </si>
  <si>
    <t xml:space="preserve">Darwin Stringybark </t>
  </si>
  <si>
    <t>Cooktown Ironwood</t>
  </si>
  <si>
    <t>tree (legume)</t>
  </si>
  <si>
    <t>95% in Nov-Mar</t>
  </si>
  <si>
    <t>trench</t>
  </si>
  <si>
    <t>trench depth is 2m, but Fig.2 root biomass profiles are used to project deeper</t>
  </si>
  <si>
    <t>infertile loamy sand</t>
  </si>
  <si>
    <t>lat-lon so messed up! 120 south???? that given for Humpty Doo is way off! A forest in Hupty Doo is pocked</t>
  </si>
  <si>
    <t>Hoffmann, 1978</t>
  </si>
  <si>
    <t>near Santiago, Chile</t>
  </si>
  <si>
    <t>27° NE facing slope</t>
  </si>
  <si>
    <t>sclerophyllous shrubs</t>
  </si>
  <si>
    <t>decomposed igneous porphyritic rock</t>
  </si>
  <si>
    <t>compact, hard, clay-sand-gravel-stones, moderate permeability and infiltration capacity</t>
  </si>
  <si>
    <t xml:space="preserve">At 60cm depth further excavation proved to be nearly impossible; At this depth fine roots were rare but considerable numbers of thicker roots, mostly from Lithraea caustica, were found penetrating the deeper soil layers;  approximately five times the shoot biomass of Lithraea caustica is found below ground; intricate meshwork, and grafts were frequently observed at crossings not only between roots of the same shrub but also between individuals growing several meters apart from each other; Strong evidence for the existence of species-characteristic root depths in this experimental site is shown in Table 4; </t>
  </si>
  <si>
    <t>Lithraea caustica</t>
  </si>
  <si>
    <t>root biomass is still increasing with depth at 0.63m</t>
  </si>
  <si>
    <t>Cryptocarya alba</t>
  </si>
  <si>
    <t>Coiliguaya odorifera</t>
  </si>
  <si>
    <t>&gt; 0.6</t>
  </si>
  <si>
    <t>Baccharis rosmarinifolia</t>
  </si>
  <si>
    <t>&gt;&gt; 0.6</t>
  </si>
  <si>
    <t>Mutisia retusa</t>
  </si>
  <si>
    <t>Haplopappus sp.</t>
  </si>
  <si>
    <t>Satureja gilliesii</t>
  </si>
  <si>
    <t>Talguenea quinquenerda</t>
  </si>
  <si>
    <t>Stachys sp.</t>
  </si>
  <si>
    <t>Trichacereus chiloensis</t>
  </si>
  <si>
    <t>Mediterranean, Chilean Matorral</t>
  </si>
  <si>
    <t>The deep rooting pattern of L. caustica is very obvious. Roots with diameters &gt; 2.5 mm are concentrated in the 40-60 em level</t>
  </si>
  <si>
    <t>Cryptocarya alba is different: Most of the stronger roots were found in the 20-40 cm level</t>
  </si>
  <si>
    <t>Colliguaya odorifera is shallow rooting with most of the stronger roots growing in the upper 20 cm of the ground.</t>
  </si>
  <si>
    <t>Howard, 1925</t>
  </si>
  <si>
    <t>calcareous silt loam, 75% sand-silt</t>
  </si>
  <si>
    <t>mostly in Jun-Oct monsoon season</t>
  </si>
  <si>
    <t>1.1 - 6.1</t>
  </si>
  <si>
    <t>ridges, on old alluvium of Gangetic plain</t>
  </si>
  <si>
    <t>plum</t>
  </si>
  <si>
    <t>Prunus communis</t>
  </si>
  <si>
    <t>dimorphic roots in strongly seasonal climate with accesible GW</t>
  </si>
  <si>
    <t>the plum has 2 root systems, a swell developed superficial system in the surface soil, and a set of whip-like roots, which first grow vertically downward and then branch in the layers just above the water table; in the dry season, shallow roots turn brown and die, and root absorption is entirely confined to the deeper layers</t>
  </si>
  <si>
    <t>exposure by trenches, undistructive</t>
  </si>
  <si>
    <t>descriptive, with seasonal change</t>
  </si>
  <si>
    <t>peach</t>
  </si>
  <si>
    <t>the distribution of superficial and deep root systems, and the periodicity of root activity throughout the year agreed closely with plum; the roots were followed to 15.5 feet</t>
  </si>
  <si>
    <t>Prunus persica</t>
  </si>
  <si>
    <t>custard apple</t>
  </si>
  <si>
    <t>Anona squamosa</t>
  </si>
  <si>
    <t>same as above</t>
  </si>
  <si>
    <t>same as above; here is an example of how site conditions over-ride species differences in shaping roots</t>
  </si>
  <si>
    <t>tree experiment plots on ridges</t>
  </si>
  <si>
    <t>mango</t>
  </si>
  <si>
    <t>the root system of custard apple is very similar to that of plum and peach; in the 12 exposues make, the periodicity of root activity was found to be very like that of the plum; made use of ant tunnels; deep roots passed from caly to find sand 12-14feet, where it branches profusely</t>
  </si>
  <si>
    <t>Psidium gurava</t>
  </si>
  <si>
    <t>Mangifera indica</t>
  </si>
  <si>
    <t>Guava</t>
  </si>
  <si>
    <t>Litchi</t>
  </si>
  <si>
    <t>Nephelium litchi</t>
  </si>
  <si>
    <t>sour lime</t>
  </si>
  <si>
    <t>Citrus medica</t>
  </si>
  <si>
    <t>Loquat</t>
  </si>
  <si>
    <t>Eriobotrya japanica</t>
  </si>
  <si>
    <t>even evergrees behaved the same</t>
  </si>
  <si>
    <t>there is an abundant superficial system, which gives off numerous branches, which grows vertically downward to the level of permanent water; little activitiy in clay, but branches profusely in moist sand below; roots followed the deeper water table in a drier year</t>
  </si>
  <si>
    <t>the same as above</t>
  </si>
  <si>
    <t>mostly like the others, but the deep root system is less strongly developed; distribution of this plant suggests that it prefers sites with shallower water table; plants have no resting periods</t>
  </si>
  <si>
    <t>similar to litchi, but deep roots are even less developed; strong aversion to clay; the only species that did not penetrate the clay beds (2-3m) to reach the find sand below</t>
  </si>
  <si>
    <t>the two root system and perodicity is similar to mango; roots found 1 feet below water table at the end of wet season (water table still rising)</t>
  </si>
  <si>
    <t>Pusa, N Bihar, India, on the Gangetic plain</t>
  </si>
  <si>
    <t>subtropical monsoon forest</t>
  </si>
  <si>
    <t>forest site</t>
  </si>
  <si>
    <t>orchards and rice fields</t>
  </si>
  <si>
    <t>Dalbergia sissoo</t>
  </si>
  <si>
    <t>Indian Rosewood</t>
  </si>
  <si>
    <t>two kinds of roots occurred - a well-developed surface system which was then (dry season) dormant, and a deep system which grew down toward the level of permanent water</t>
  </si>
  <si>
    <t>Phyllanthus emblica</t>
  </si>
  <si>
    <t>Indian gooseberry</t>
  </si>
  <si>
    <t>Millingtonia hortensis</t>
  </si>
  <si>
    <t>Tree Jasmine, Indian Cork Tree</t>
  </si>
  <si>
    <t>best example of tree repairing deep roots damaged by the continued rise of water table</t>
  </si>
  <si>
    <t>the deep roots of this tree differs from others - they do not grow vertically dwon but run horizonally, then downward</t>
  </si>
  <si>
    <t>Melia azadirachta</t>
  </si>
  <si>
    <t>Indian lilac</t>
  </si>
  <si>
    <t>Ficus benghalensis</t>
  </si>
  <si>
    <t>Indian banyan, Bangal fig, Indian fig</t>
  </si>
  <si>
    <t>deep root repair observed</t>
  </si>
  <si>
    <t>sacred fig</t>
  </si>
  <si>
    <t>Ficus religiosa</t>
  </si>
  <si>
    <t>semi-evergreen, broad-leaf</t>
  </si>
  <si>
    <t>teak</t>
  </si>
  <si>
    <t>Flame of the Forest, Bastard Teak, Parrot Tree</t>
  </si>
  <si>
    <t>Butea frondosa</t>
  </si>
  <si>
    <t>all the forest trees are similar to the fruit trees with 2 root systems; the deep root system fully explains their independence of drought in hot weather and formation of flowers, leave and new shoots in dry season; the trees make full use of the water and minerals in the deep sand layers just above the water table...</t>
  </si>
  <si>
    <t>orchards</t>
  </si>
  <si>
    <t>Author: after mid monsson, a colloidal condition of the soil develops; the pore spaces near the surface become water-logged and percolation stops; the plants soon respond to the altered soil conditions; the absorbing roots in the lower layers die; the soil acts as vast reservoir of water and make up for the uneven rain; trees burst into activity in Mar-May, hot and dry part of the year, perhaps the most striking feature of vegetation in this area; when grass is planted under the trees, surficial roots are greately supressed!
the trees are planted as a matrix of 8 (species) x 25 (individuals) experimental plot; an orchard in Pusa Research Institute, N Bihar, India is chosen</t>
  </si>
  <si>
    <t>an forest in Pusa Research Institute, N Bihar, India is chosen</t>
  </si>
  <si>
    <t>Jones et al., 1996</t>
  </si>
  <si>
    <t>Monroe county, SW Alabama</t>
  </si>
  <si>
    <t>50cm soil cores</t>
  </si>
  <si>
    <t>608 - 1189</t>
  </si>
  <si>
    <t>0 - 0.35</t>
  </si>
  <si>
    <t>N and S site data lumped</t>
  </si>
  <si>
    <t>mixed broad- and needle-leaf</t>
  </si>
  <si>
    <t>When averaged over 19 mo and all sites, live-root mass was greater on higher microto- pographic positions</t>
  </si>
  <si>
    <t>periodically flooded floodplain</t>
  </si>
  <si>
    <t>Magnolia virginiana, Nyssa sylvaticavar, Acer rubrum, Liquidambar styraciflua, Liriodendron tulipifera, Pinus elliotti</t>
  </si>
  <si>
    <t>location very vague (county); no info on soil properties</t>
  </si>
  <si>
    <t>quarry wall</t>
  </si>
  <si>
    <t>Kalisz et al., 1987</t>
  </si>
  <si>
    <t>Cumberland Plateau, E. Kentucky</t>
  </si>
  <si>
    <t>well-drained stony sandy loams to silt loams</t>
  </si>
  <si>
    <t>interbed sandstone, siltstone, shale, and coal</t>
  </si>
  <si>
    <t>beech-dominated mesic sites</t>
  </si>
  <si>
    <t>soil pits</t>
  </si>
  <si>
    <t>yes, fine vs. coarse</t>
  </si>
  <si>
    <t>Fagus grandifolia, Liriodendron tulipifera,…Carya sp., Quercus rubra, …Q. s coccinea, Q. prinus, Q. velutina, Q. alba, Acer rubrum…</t>
  </si>
  <si>
    <t>The max root depths are not different among mesic, transitional, and xeric sites - more determine by bedrock depth</t>
  </si>
  <si>
    <t>Root abundance (LA; length per unit ground surface area) increased along the gradient from mesic to xeric forests (more roots in drier sites)</t>
  </si>
  <si>
    <t>beech, hickory, oak, etc.</t>
  </si>
  <si>
    <t>known as Bacia Modelo, near Manaus, where several other ecological studies are being carried out. This area is at km 60 of the Manaus-Boa Vista highway.</t>
  </si>
  <si>
    <t>Lawson et al., 1968</t>
  </si>
  <si>
    <t>mid-slope site only</t>
  </si>
  <si>
    <t>Marked concentration of tree roots was observed at a depth of 20-30 cm, i.e. beneath the zone of maximum grass root distribution. In a sample of fourteen species of trees whose roots were excavated, all were found sprouting, after fire damage, from enlarged underground stumps</t>
  </si>
  <si>
    <t>NE Ghana, Mole Reserve</t>
  </si>
  <si>
    <t>tropical tree savanna</t>
  </si>
  <si>
    <r>
      <t>midslope, 5</t>
    </r>
    <r>
      <rPr>
        <vertAlign val="superscript"/>
        <sz val="9"/>
        <color theme="1"/>
        <rFont val="Calibri"/>
        <family val="2"/>
        <scheme val="minor"/>
      </rPr>
      <t>o</t>
    </r>
    <r>
      <rPr>
        <sz val="9"/>
        <color theme="1"/>
        <rFont val="Calibri"/>
        <family val="2"/>
        <scheme val="minor"/>
      </rPr>
      <t xml:space="preserve"> slope facing N</t>
    </r>
  </si>
  <si>
    <t>From Fig.16b and 17</t>
  </si>
  <si>
    <t>frequently burnt</t>
  </si>
  <si>
    <t>sandstone, phyllites, schist</t>
  </si>
  <si>
    <t>sandy loam, on loam, on clay loam, clay, trace mottling</t>
  </si>
  <si>
    <t>1-4m</t>
  </si>
  <si>
    <t>Lewis and Burgy, 1964</t>
  </si>
  <si>
    <t>Placer County, CA</t>
  </si>
  <si>
    <t xml:space="preserve">Mediterranean woodland (chaparral) </t>
  </si>
  <si>
    <t>Well 3BN, 1961 injection site</t>
  </si>
  <si>
    <t>Well 6A, 1961 injection site</t>
  </si>
  <si>
    <t>Quercus wislizenii, Q. douglasii, Q. lobata</t>
  </si>
  <si>
    <t>Q. kellogii, Q. douglasii</t>
  </si>
  <si>
    <t>live, blue, valley oak</t>
  </si>
  <si>
    <t>black, blue oak</t>
  </si>
  <si>
    <t>Quercus wislizenii, Q. douglasii</t>
  </si>
  <si>
    <t>live, blue oak</t>
  </si>
  <si>
    <t>tritiated water in wells and retreaval in tree leaves</t>
  </si>
  <si>
    <t>Well I-B1, 1962 + 1963 injection site, hilltop</t>
  </si>
  <si>
    <t>Well I-B2, 1962 + 1963 injection site, down valley</t>
  </si>
  <si>
    <t>Well I-B3, 1962 + 1963 injection site, up valley</t>
  </si>
  <si>
    <t>metamorphosed sedimentary and igneous rock</t>
  </si>
  <si>
    <t>diamond core drill holes which penetrate the fractured and jointed metamorphic rock well into the saturated zone. These holes provide observation wells for groundwater measurements and access for the injection of tritiated water into the groundwater zone... In all the injection tests, significant amounts of tritiated water have been found in the water extracted from the fractured rock by the oak trees. Size and species of the oak trees do not influence the uptake of the injected tritiated water from the groundwater. Results of the 1962 experiment show that the oaks extend roots through the fractured rock to depths in excess of 70 ft. The number of oak trees in which the uptake of injected tritiated water has been detected indicates that all oak trees in the study area use water from the capillary zone immediately above the water table during the summera nd fall month...</t>
  </si>
  <si>
    <t>in a howllow</t>
  </si>
  <si>
    <t>near top of a SW-facing slope</t>
  </si>
  <si>
    <t>at the lower bottom of the slope above</t>
  </si>
  <si>
    <t>The 1962 and 63 injections in 3 wells formed a triangle, one near the top of the SW-facing slope (I-B1), and the other near the valley bottom (I-B2 slightly lower, and I-B3 higher); The author suggests that the capillary rise is about 5 feet, which should be deducted when estimating rooting depths; This is the only study that reached the permanent water table in fractured rocks.</t>
  </si>
  <si>
    <t>in a hill side facing NE</t>
  </si>
  <si>
    <t>at the upper bottom of the slope</t>
  </si>
  <si>
    <t>Lyford and Wilson, 1964</t>
  </si>
  <si>
    <t>red maple</t>
  </si>
  <si>
    <t>Acer rubrum</t>
  </si>
  <si>
    <t>found a map of prospect hill track showing compartments on Harvard Forest website; rooting depth from Fig.6</t>
  </si>
  <si>
    <t>fine sandy loam, free drained and friable throughout</t>
  </si>
  <si>
    <t>Prospect Hill Track, compartment-1</t>
  </si>
  <si>
    <t>very gentle SW facing slope</t>
  </si>
  <si>
    <t>Woody roots are up to 25 meters long... Each full grown root fan bears from 1 to 5 thousand, 1 mm long, bead-shaped endotrophic mycorrhizae and these probably are the major absorbing organs… Vertical woody red rnaple roots are infrequent and usually less than 1 cm in diameter. They are most numerous within 2 to 3 meters of the base of the stern where they occur as downward growing branches of horizontal roots.</t>
  </si>
  <si>
    <t xml:space="preserve">Central MA, Harvard Forest </t>
  </si>
  <si>
    <t>tritium tracer in wells and tree leaves</t>
  </si>
  <si>
    <t>Mauer and Palatova, 2012</t>
  </si>
  <si>
    <t>a mature stand near Krtny</t>
  </si>
  <si>
    <t>Krtny, E Czech Republic</t>
  </si>
  <si>
    <t>80yr old stand</t>
  </si>
  <si>
    <t>granodiorite</t>
  </si>
  <si>
    <t>cambisol, mesotrophic, haplic, fertile</t>
  </si>
  <si>
    <t>Curt et al., 2001</t>
  </si>
  <si>
    <t>0.91-1.2</t>
  </si>
  <si>
    <t>Devono-Dinatian volcanic</t>
  </si>
  <si>
    <t>&gt;1.2</t>
  </si>
  <si>
    <t>0.61-0.9</t>
  </si>
  <si>
    <t>granite/sandstone</t>
  </si>
  <si>
    <t>0.3-0.6</t>
  </si>
  <si>
    <t>13 trees</t>
  </si>
  <si>
    <t>10 trees</t>
  </si>
  <si>
    <t>14 trees</t>
  </si>
  <si>
    <t>9 trees</t>
  </si>
  <si>
    <t>eastern France</t>
  </si>
  <si>
    <t>elevation and precip linearly interpolated; location picked by elevation around the lat-long given; Max depth from Fig.1; 8 trees</t>
  </si>
  <si>
    <t>Cambisols (loamy-sand) on colluvium</t>
  </si>
  <si>
    <t>Cambisols (loamy-sand), with rounded blocks and stones</t>
  </si>
  <si>
    <t>Cambisols (loamy-sand), on formerly cultivated sub soil</t>
  </si>
  <si>
    <t>Dystric Cambisol (loamy clay), on strongly fractured stone</t>
  </si>
  <si>
    <t>Dystric Cambisol (loamy clay)</t>
  </si>
  <si>
    <t>Cambic Arenosols (sandy-gravely), Dystric Cambisol (loamy sand)</t>
  </si>
  <si>
    <t>Regosols (sandy-gravely), stone slab, visible fractured rock</t>
  </si>
  <si>
    <t>Douglas-fir seems to be a pliable and adaptive species: variation in habit and root system biomass are considerable within a study area which was presumed uniform.</t>
  </si>
  <si>
    <t>The shallowest soils (type 7) experienced a rapid linear decrease of TFR biomass according to soil depth. About 55% of TFR were located in the upper 30 cm soils corresponding to the A-horizon. A few fine roots were located deeper than 50 cm in the rock fractures.</t>
  </si>
  <si>
    <t>For type 6, the TFR biomass decreased continuously and rapidly according to soil depth, except for a light accumulation at about 50 cm depth, which probably corresponds to the presence of the fractured substratum</t>
  </si>
  <si>
    <t>Types 4 and 5 presented a comparable profile, with a fine-root concentration in the A-horizon</t>
  </si>
  <si>
    <t>The profile of type 3 resembled that of type 1, but it gained much lower values.</t>
  </si>
  <si>
    <t>The root biomass slowly decreased with soil depth for types 1 and 2. They both presented a greater amount of root at about 40 cm depth, corresponding to the B-horizon (Table 5), but the type 2 was more even.</t>
  </si>
  <si>
    <t>Eis, 1974</t>
  </si>
  <si>
    <t>Vancouver Island, Canada</t>
  </si>
  <si>
    <t>Shallow organic forest soil</t>
  </si>
  <si>
    <t>Chemainus silt loam</t>
  </si>
  <si>
    <t>western hemlock</t>
  </si>
  <si>
    <t>Tsuga heterophylla</t>
  </si>
  <si>
    <t>western red cedar</t>
  </si>
  <si>
    <t>Thuja plicata</t>
  </si>
  <si>
    <t>excavated</t>
  </si>
  <si>
    <t>hardpan of impervious till</t>
  </si>
  <si>
    <t>a high water table during winter and spring in Chemainus soils formed a barrier to root penetration</t>
  </si>
  <si>
    <t>lateral roots often crossed rock crevices, but the tap root had a tendency to penetrate into them even after it had grown horizontally for as much as 1 m.</t>
  </si>
  <si>
    <t>0.8-0.9</t>
  </si>
  <si>
    <t>The study was conducted in the Cowichan Lake ar~a on Vancouver Island, British Columbia; rootind depth is mean of 9 trees</t>
  </si>
  <si>
    <t>rootind depth is mean of 9 trees</t>
  </si>
  <si>
    <t>rootind depth is mean of 6 trees</t>
  </si>
  <si>
    <t>Mature trees on shallow organic soil (Table 1) averaged 6-9 km of fine roots.</t>
  </si>
  <si>
    <t>excessively drained</t>
  </si>
  <si>
    <t>silty loam, on gravely silty loam, frequent mottling</t>
  </si>
  <si>
    <t>mean of 9 trees; frequent mottling and the mentioning of roots restricted by winter-spring water table suggests ~1m WTD</t>
  </si>
  <si>
    <t>Bedrock of volcanic origin. Occasional deep fissures.</t>
  </si>
  <si>
    <t>~1.00</t>
  </si>
  <si>
    <t>Seasonality</t>
  </si>
  <si>
    <t>Eis, 1987</t>
  </si>
  <si>
    <t>hydraulic excavation</t>
  </si>
  <si>
    <t>Shawnigan stony sandy loam</t>
  </si>
  <si>
    <t>Sallow sandy soil on bedrock</t>
  </si>
  <si>
    <t>Tsuga heterophylla, Thuja plicata, Pseudotsuga menziesii</t>
  </si>
  <si>
    <t>western hemlock, western red cedar, Douglas-fir</t>
  </si>
  <si>
    <t>Root density decrease with depth, then increases sharply just above the bedrock; roots must go laterally and proliferate due to higher water/nutrient retention above the bedrock</t>
  </si>
  <si>
    <t>gentle slopes by valley floor</t>
  </si>
  <si>
    <t>cemented sand</t>
  </si>
  <si>
    <t>stony (20%) fine sand to loamy sand, on cobbly (50%) sand at 0.4-0.8m</t>
  </si>
  <si>
    <t>1.2m loamy sand over cobbly (50%) sand</t>
  </si>
  <si>
    <t>0.3 - 0.5</t>
  </si>
  <si>
    <t>andesite</t>
  </si>
  <si>
    <t xml:space="preserve">stony (40%) sandy loam or loamy sand, on </t>
  </si>
  <si>
    <t>rough mountain hillside</t>
  </si>
  <si>
    <t>2.3 - 3.5</t>
  </si>
  <si>
    <t>unlike the earlier study, the three species are lumped together because they have similar root penetration at any given location</t>
  </si>
  <si>
    <t>three trees (3 different species) of not too different size growing in similar soil and environment had proportionally similar rooting areas and similar depths of root penetration</t>
  </si>
  <si>
    <t>in Chemainus soil, having about 1.2 m of stone-free, fine loamy sand over the same coarse cobbly sand and with the water table at about 3.5 m depth in summer and 2. 3 min winter, had roots penetrating much deeper; On these alluvial soils, the winter water level and aeration probably limit the root penetration.</t>
  </si>
  <si>
    <t>On hillsides, root penetration is restricted by bedrock, which is seldom deeper than 60 cm below the soil surface. Even on shallow soil over bedrock, the,roots penetrated to the bedrock and into the grooves and crevices near the stump</t>
  </si>
  <si>
    <t>Originally all trees had a well-developed taproot, but with increasing age its significance diminished.</t>
  </si>
  <si>
    <t>Farrish, 1991</t>
  </si>
  <si>
    <t>temperate mix forest</t>
  </si>
  <si>
    <t>Near Ruston, N. Louisiana</t>
  </si>
  <si>
    <t>2.5km from PH-1, maintaining 6.5km radius from Ruston</t>
  </si>
  <si>
    <t>56 north of Ruston on the floodplain of Corney Creek, the latter located and traced to be 56km N of Ruston</t>
  </si>
  <si>
    <t>Pinus taeda, Quercus falcata, Acer rubrum, Liquidambar styraciflua, Quercus nigra, Prunus serotina, Sassafras albidum</t>
  </si>
  <si>
    <t>Pinus taeda, Quercus falcata, Acer rubrum, Liquidambar styraciflua</t>
  </si>
  <si>
    <t>loblolly pine, southern red oak, red maple, sweetgum, water oak, black cherry, sassafras</t>
  </si>
  <si>
    <t>loblolly pine, southern red oak, red maple, sweetgum</t>
  </si>
  <si>
    <t>water oak, sweetgum, willow oak, blackgum, red maple, white oak, overcup oak</t>
  </si>
  <si>
    <t>Quercus nigra, Liquidambar styraciflua, Quercus phellos, Nyssa sylvatica, Acer rubrum, Quercus alba, Quercus lyrata</t>
  </si>
  <si>
    <t>on fluvial floodplain of Corney Creek</t>
  </si>
  <si>
    <t>well-drained upland</t>
  </si>
  <si>
    <t>loamy sand, on clay loam, on sandy loam, strongly acidic</t>
  </si>
  <si>
    <t>loamy sand, on clay loam, on sandy loam, on clay loam, strongly acidic</t>
  </si>
  <si>
    <t>loamy sand, on silt loam, poorly-drained, mottles at &gt; 0.4m, extremely acidic</t>
  </si>
  <si>
    <t>soil coring to 0.9m</t>
  </si>
  <si>
    <t>soil coring to 1.0m</t>
  </si>
  <si>
    <t>&gt; 1.0</t>
  </si>
  <si>
    <t>6.5km SE of Ruston; this study also differentiate fine roots, and quantified changes in root distribution through a season</t>
  </si>
  <si>
    <t>There was also a significant difference in both fine root biomass and surface area among sampling dates on the two pine-hardwood sites, withith maximum fineroot concentration on 16 June and the minimum on 8 August.</t>
  </si>
  <si>
    <t>fine roots were found in the deepest sampling layer; Based on extrapolation from the data, it is estimated that 3-5% of total fine-root biomass in these soils is below 90 cm; The wet weather ended in July and by late August, with the soil drying, root biomass began to rebound slowly, continuing into the fall.</t>
  </si>
  <si>
    <t>76% of biomass and 81% of surface area was located in the upper 40 em of soil; 5-10% of total fine-root biomass below the 1 00-cm sampling depth; demonstrates the ability of these bottomland hardwood species to tolerate wet soil conditions; Live fine roots were extracted from the 90-100cm depth at every sampling time, even with the soil saturated for extended periods; by June the water table had fallen below 150 cm (data not shown) and fine-root concentrations had peaked.</t>
  </si>
  <si>
    <t>PH-1: upland mixed forest site-1</t>
  </si>
  <si>
    <t>BH: bottomland hardwood forest site</t>
  </si>
  <si>
    <t>PH-2: upland mixed forest site-2</t>
  </si>
  <si>
    <t>McQuilkin, 1935</t>
  </si>
  <si>
    <t>Pinelands, central NJ</t>
  </si>
  <si>
    <t>pine barrens of coastal plain</t>
  </si>
  <si>
    <t>Lebanon State Forest</t>
  </si>
  <si>
    <t>ridge top, excessive drainage</t>
  </si>
  <si>
    <t>lower slope, good drainage</t>
  </si>
  <si>
    <t>steep slope on water edge</t>
  </si>
  <si>
    <t>flat valley bottom</t>
  </si>
  <si>
    <t>Pinus rigida</t>
  </si>
  <si>
    <t>pitch pine</t>
  </si>
  <si>
    <t>the presence of mycorrhizae far below a permanent water table is even more remarkable than the growth of the pine roots themselves</t>
  </si>
  <si>
    <t>It is possible that conditions in the pine barrens permit a greater degree of aeration of ground water than usually occurs elsewhere. As is well known, many herbaceous plants that are intolerant of saturation will grow in water culture if properly aerated.</t>
  </si>
  <si>
    <t>this study has photos of pine seedling roots that are tap roots only in yr-1, starting lateral roots in yr-2, with lateral roots progressively getting longer, stronger, more branched, then manu sinker roots reach same depth as tap roots - the decreasing role of tap roots, and increasing role of lateral and sinker roots as the tree matures; this study also report live roots under water table</t>
  </si>
  <si>
    <t>on sterial and dry ridge top; and active mycorrhizae were collected as deep as 7 feet</t>
  </si>
  <si>
    <t>on lower but still well drained site</t>
  </si>
  <si>
    <t>Near Mount Alo, S. Pennsylvania</t>
  </si>
  <si>
    <t>Lakewood sand (coastal plain sand)</t>
  </si>
  <si>
    <t>raw, podsolized, stony, and high in clay, sticky and compact</t>
  </si>
  <si>
    <t>on high ridges in mountains</t>
  </si>
  <si>
    <t>partial excavation</t>
  </si>
  <si>
    <t>(compare to sandy coastal plains) Vertical roots were generally weaker in both thickness and length. Taproots of these trees reached depths of 3 to 3.5 feet. Laterals frequently ran closer to the soil surface than in the New Jersey sands. This probably is a result of the greater moistureretaining capacity of the clayey soil.</t>
  </si>
  <si>
    <t>Pinus echinata</t>
  </si>
  <si>
    <t>It occurs in mixture with P. rigida and the oaks, or, locally, in almost pure stands. However, it does not follow the pitch pine into low areas of poor drainage. Presumably, it cannot tolerate a high water table. The
most striking difference is in the development of the taproot. Pinus echinata produces a much more powerful and massive central shaft (fig. 17) that maintains its thickness to greater depths and displays less tendency to divide into an array of descending branches.</t>
  </si>
  <si>
    <t>Mont Alto State Forest</t>
  </si>
  <si>
    <t>site estimated to be on a ridge by the road in the state forest</t>
  </si>
  <si>
    <t>Midwood et al., 1998</t>
  </si>
  <si>
    <t>argillic horizon (claypan)</t>
  </si>
  <si>
    <t>near Alice, S. Texas</t>
  </si>
  <si>
    <t>savanna parkland</t>
  </si>
  <si>
    <t>sandy loam soil 2m deep</t>
  </si>
  <si>
    <t>&gt; 60</t>
  </si>
  <si>
    <t>1.5m corning and 2m trenches</t>
  </si>
  <si>
    <t>70% in Apr-Sept</t>
  </si>
  <si>
    <t>legume tree</t>
  </si>
  <si>
    <t>understory shrub</t>
  </si>
  <si>
    <t>Zanthoxylum fagara</t>
  </si>
  <si>
    <t>Wild Lime</t>
  </si>
  <si>
    <t>The decrease in root biomass with increasing soil depth was exponential in groves, and nearly linear in grassland patches</t>
  </si>
  <si>
    <t>sparse tree cluster site</t>
  </si>
  <si>
    <t>dense tree grove site</t>
  </si>
  <si>
    <t>Schaefferia cuneifolia</t>
  </si>
  <si>
    <t>Ziziphus obtusifolia</t>
  </si>
  <si>
    <t>Celtis pallida</t>
  </si>
  <si>
    <t>Desert Yaupon, Capul</t>
  </si>
  <si>
    <t>small thorny shrub</t>
  </si>
  <si>
    <t>Texas buckthorn</t>
  </si>
  <si>
    <t>Desert Hackberry</t>
  </si>
  <si>
    <t>Porlieria angustifolia</t>
  </si>
  <si>
    <t>Texas Guaiacum</t>
  </si>
  <si>
    <t>sandy loam over claypan</t>
  </si>
  <si>
    <t>location approximate</t>
  </si>
  <si>
    <t>while P. glandulosa roots were abundant throughout the 200 cm sampling depth, those of Z. fagara were restricted to depths above 120 cm.</t>
  </si>
  <si>
    <t>Root densities of species in discrete clusters (claypan present) were typically greater than those of the same species in groves (claypan absent), especially in the upper 80 cm of the soil profile.</t>
  </si>
  <si>
    <t xml:space="preserve"> 2H and  18O values of stem water from all plants in groves were lower than those of soil water in the upper 1.5 m of the profile, suggesting all species obtained their water from depths &gt;1.5 m.</t>
  </si>
  <si>
    <t>Groundwater (&gt;60 m below the surface) was sampled from four wells on the La Copita Research Area in January and October, 1991.</t>
  </si>
  <si>
    <t>grass patches</t>
  </si>
  <si>
    <t>location approximate; rooting depth from fig5</t>
  </si>
  <si>
    <t>location approximate; rooting depth from fig 4</t>
  </si>
  <si>
    <t>Mooney et al., 1980</t>
  </si>
  <si>
    <t>Pampa del Tamarugal, Atacama Desert, C. Chile</t>
  </si>
  <si>
    <t>&lt;1</t>
  </si>
  <si>
    <t>&gt; 3.5</t>
  </si>
  <si>
    <t>Prosopis tamarugo</t>
  </si>
  <si>
    <t>Tamarugo</t>
  </si>
  <si>
    <t>center of basin</t>
  </si>
  <si>
    <t>It is proposed that in its native habitat, where there is essentially no precipitation, establishment occurs during the rare flooding periods, with water coming as runoff from the Andes. These plants subsequently exist as phreatophytes tapping the relatively shallow ground water. The tree we observed had roots 3.5 cm in diameter penetrating straight down at a depth of over 31/2 m, which was as deep as we could reach in the excavation available. We were informed that the depth of the water table has increased in recent times, possibly because increased culture of tamarugo is lowering the water table. The tamarugo trees are centered at the lowest points in the basin. Both to the east and to the west, the higher parts of the basin, trees are not successful.</t>
  </si>
  <si>
    <t>there is a dense rooting mat that may serve as storage at night; soil above and below are much drier; reverse flow from leaf to roots has been documented</t>
  </si>
  <si>
    <t>Mordelet et al., 1997</t>
  </si>
  <si>
    <t>dry season Dec-Feb</t>
  </si>
  <si>
    <t>Hyparrhenia spp. and Andropogon spp.</t>
  </si>
  <si>
    <t>sandy, gravel/stone frequent below 0.3cm</t>
  </si>
  <si>
    <t>soil pit (0.2x0.2m)</t>
  </si>
  <si>
    <t>W African humid savanna</t>
  </si>
  <si>
    <t>Côte d’Ivoire</t>
  </si>
  <si>
    <t>burned annually</t>
  </si>
  <si>
    <t>tuft-grass, C4</t>
  </si>
  <si>
    <t>under canopy</t>
  </si>
  <si>
    <t>Bridelia ferruginea, Crossopteryx febrifuga, Cussonia barteri</t>
  </si>
  <si>
    <t>open savanna</t>
  </si>
  <si>
    <t>this study has monthlyl root profiles for 13 months</t>
  </si>
  <si>
    <t>same site as Le Roux, 1995, but with seasonal rooting profiles</t>
  </si>
  <si>
    <t>Tree density increases along a catena from a herbaceous savanna underneath a plateau to a closed plateau forest at the top (Menaut &amp; César 1979). The study was performed in the most widespread intermediate savanna, where the trees are clumped.</t>
  </si>
  <si>
    <t>on the plateau with closed canopy</t>
  </si>
  <si>
    <t>base of plateau, isolated trees</t>
  </si>
  <si>
    <t>Tree and grass root distributions widely overlapped and both were mostly located in the top 20 cm of the soil. Grass root phytomass decreased with depth whereas woody root phytomass peaked at about 10 cm depth. No time partitioning was detected.</t>
  </si>
  <si>
    <t>all max rooting depth extrapolated from the fig3</t>
  </si>
  <si>
    <t>Jonsson, 1988</t>
  </si>
  <si>
    <t>near the river Ngerengere</t>
  </si>
  <si>
    <t>sandy loams, poor in Org and N, high in P + cations</t>
  </si>
  <si>
    <t>mostly in Nov-May</t>
  </si>
  <si>
    <t>Morogoro, E. Tanzania</t>
  </si>
  <si>
    <t>farm land</t>
  </si>
  <si>
    <t>tree plantation</t>
  </si>
  <si>
    <t>maize</t>
  </si>
  <si>
    <t>Cassia siamea</t>
  </si>
  <si>
    <t>Leucaena leucocephala</t>
  </si>
  <si>
    <t>Prosopis chilensis</t>
  </si>
  <si>
    <t>kassod tree</t>
  </si>
  <si>
    <t>Forest Red Gum</t>
  </si>
  <si>
    <t>white leadtree</t>
  </si>
  <si>
    <t xml:space="preserve"> chilean mesquite </t>
  </si>
  <si>
    <t>deciduous to semi-evergreen broad-leaf</t>
  </si>
  <si>
    <t>soil coring to 1m</t>
  </si>
  <si>
    <t>2yr old tree; extralopated from fig 1</t>
  </si>
  <si>
    <t>6yr old tree; extralopated from fig 1</t>
  </si>
  <si>
    <t>2yr old tree; extralopated from fig 1; E. camoldulensis data not recorded - root mass still increasing at 1m depth</t>
  </si>
  <si>
    <t>Kerfoot, 1963</t>
  </si>
  <si>
    <t>Mbeya Peak, SW Tanzania</t>
  </si>
  <si>
    <t>Apodytes dimidiata</t>
  </si>
  <si>
    <t>umDakane, White Pear</t>
  </si>
  <si>
    <t>Mbeya Peak</t>
  </si>
  <si>
    <t>Afromontane forest</t>
  </si>
  <si>
    <t>Vertical roots and some rootlets penetrating deep weathered schist and quartz drift, depth 20 ft. Mbeya Peak, Tanganyika. No moisture stress has ever been recorded from these soils at this altitude</t>
  </si>
  <si>
    <t xml:space="preserve"> deep weathered schist and quartz drift</t>
  </si>
  <si>
    <t>Gneissic-derived sandy loam</t>
  </si>
  <si>
    <t>near Mbeya Peak</t>
  </si>
  <si>
    <t>mean of 12 pines (1, 0.75, 0.35, 1.25, 0.5, 0.85, 0.5, 0.6, 1.55, 2.45, 0.9, 1)</t>
  </si>
  <si>
    <t>Farrington et al., 1989</t>
  </si>
  <si>
    <t>Near Perth, Western Australia</t>
  </si>
  <si>
    <t>Meditarranean woodland</t>
  </si>
  <si>
    <t>90% in Apr-Oct</t>
  </si>
  <si>
    <t>sbovr dune bottom</t>
  </si>
  <si>
    <t>Banksia woodland on dune top</t>
  </si>
  <si>
    <t>Banksia woodland mid position</t>
  </si>
  <si>
    <t>Banksia woodland above wetland at dune bottom</t>
  </si>
  <si>
    <t>8.3-9.3</t>
  </si>
  <si>
    <t>10.8-12</t>
  </si>
  <si>
    <t>4.3-5.4</t>
  </si>
  <si>
    <t>Banksia attenuata, B. menziesii, Adenanthos cygnorum, ground flora</t>
  </si>
  <si>
    <t>trees, tall shrubs, ground flora</t>
  </si>
  <si>
    <t>soil coring to water table</t>
  </si>
  <si>
    <t>given lat-lon is off, SW of site in the ocean; given map is used to locate sites</t>
  </si>
  <si>
    <t>organic hardpan</t>
  </si>
  <si>
    <t>humus podzol: leached grey sandy surface, white sandy subsoil, organic hardpan</t>
  </si>
  <si>
    <t>The site is on a dune slope of Banksia woodland with a permanent water table at depths ranging from 4 to 12m depending on topography and the time of year; At the bottom of the slope where the water table becomes shallower (about 3m) there is a transition from the Banksia woodland to a native wetland community</t>
  </si>
  <si>
    <t>Core samples taken from three profiles at the top, middle and bottom of the slope showed that roots of Banksia and ground flora penetrated down to the water table in the lowest compartment where the water table fluctuated between 4.3 and 5.4 m (Fig. 6). At the other two locations further upslope, roots were prcesent down to depths of 8m, but below this depth, root abundance was very low.</t>
  </si>
  <si>
    <t>Variation in water table depth over the range present at the site (4-12m) had little effect on annual evaporation of the ground flora and the Banksia species.</t>
  </si>
  <si>
    <t>Authors note that "depth to water table, which ranged from 4 to 12m over the site, had little effect on total evaporation."  ET did not vary along WTD gradient here because (1) ET is dominated by ground cover which did not use GW, (2) All trees have equal access to GW - 12m is not very deep, or (3) The winter rain is sufficient to recharge a deep soil profile, the latter sufficient for annual ET (4) An added complexity is the species selection: Adenanthos does not like shallow WTD and is absent in lowlands, but prefers high ground, so its ET on high ground increased total ET at deep WTD. This illustrates a feedback: WTD select species, then species select ET, so WTD does not always directly select ET...</t>
  </si>
  <si>
    <t>Nie et al., 2014</t>
  </si>
  <si>
    <t>NW Guangxi province, SW China</t>
  </si>
  <si>
    <t>Mulian catchment - loose rocky soil site</t>
  </si>
  <si>
    <t>Mulian catchment - shallow soil site</t>
  </si>
  <si>
    <t>Guzhou catchment, exposed rock site</t>
  </si>
  <si>
    <t>The habitat is dominated by exposed rock with few soil patches midway to the top of hillslopes. Plants usually grow directly out of rock cracks.</t>
  </si>
  <si>
    <t>Hillslopes are characterized by steep slopes (approximately 60 %) and shallow soils (10–40 cm deep).</t>
  </si>
  <si>
    <t>dolomite</t>
  </si>
  <si>
    <t>0.1-0.4</t>
  </si>
  <si>
    <t>the three habitats were selected from midslope positions on hillslopes of similar aspects.</t>
  </si>
  <si>
    <t>Radermachera sinica</t>
  </si>
  <si>
    <t>Alchornea trewioides</t>
  </si>
  <si>
    <t>semi-deciduous broad-leaf</t>
  </si>
  <si>
    <t>thin soil (&lt;30cm), clay to clay-loam, over weakly weathered bedrock</t>
  </si>
  <si>
    <t>1m soil-rock frag mixture,  random soil patches of clay to sandy-clay</t>
  </si>
  <si>
    <t>rock outcrops, soil (loam) or soil-like materials (litter or humus) only in rock cracks and crevices</t>
  </si>
  <si>
    <t>subtropical moist forest on karst</t>
  </si>
  <si>
    <t>70-80% in May-Sept</t>
  </si>
  <si>
    <t>In all the three habitats, maximum rooting depths were no deeper than 120 and 40 cm for the tree and shrub species, respectively. Maximum radial extents were extremely large compared with maximum rooting depth, indicating that rooting characteristics were  dominated by horizontal extension rather than deep penetration</t>
  </si>
  <si>
    <t>The relatively humid climate may be the reason that roots did not penetrate deeper into fractures. Earlier findings of such were in Meditarranean climates. Here the dry season is in winter.</t>
  </si>
  <si>
    <t>steep midslope</t>
  </si>
  <si>
    <t>Zhang et al., 2014</t>
  </si>
  <si>
    <t>Gansu Province, C. China</t>
  </si>
  <si>
    <t>Chinese pine</t>
  </si>
  <si>
    <t>Pinus tabulaeformis</t>
  </si>
  <si>
    <t>80% in May-Oct</t>
  </si>
  <si>
    <t>loess with low porosity</t>
  </si>
  <si>
    <t>Generally, most roots of black locust and Chinese pine were found in the soil layer of 0–100 cm (Liu et al., 2007). Thus, the depth of root excavation in our study also reached only 100 cm.</t>
  </si>
  <si>
    <r>
      <t>on steep slopes (19</t>
    </r>
    <r>
      <rPr>
        <vertAlign val="superscript"/>
        <sz val="9"/>
        <color theme="1"/>
        <rFont val="Calibri"/>
        <family val="2"/>
        <scheme val="minor"/>
      </rPr>
      <t>o</t>
    </r>
    <r>
      <rPr>
        <sz val="9"/>
        <color theme="1"/>
        <rFont val="Calibri"/>
        <family val="2"/>
        <scheme val="minor"/>
      </rPr>
      <t>)</t>
    </r>
  </si>
  <si>
    <t>Zerihun &amp; Montagu, 2004</t>
  </si>
  <si>
    <t>coring and excavation</t>
  </si>
  <si>
    <t>20% in winter</t>
  </si>
  <si>
    <t>control plot (not P fertilized)</t>
  </si>
  <si>
    <t>Newnes Plateau, New South Wales, Australia</t>
  </si>
  <si>
    <t>sub-tropical dry forest</t>
  </si>
  <si>
    <t>sandy-clay, highly permeable, low P, 1-1.5m deep</t>
  </si>
  <si>
    <t>Prior to the establishment of the trial, the site supported native vegetation dominated by Eucalyptus spp. About 1 ha of the native vegetation was clear-felled in 1962. The cleared patch was planted with P. radiata seedlings in 1963... For every fifth core in each plot, sampling was also done down to 150 cm... completed, the second stage of sampling (excavation) was carried out to determine coarse root biomass</t>
  </si>
  <si>
    <t>exact location determined on GoogleEarth in a plantation amist native dry E forests. Fine root biomass profile of control plot (Fig8) extrapolated to obtain rooting depth.</t>
  </si>
  <si>
    <t>White &amp; Wood, 1958</t>
  </si>
  <si>
    <t>Upper Hudson Valley, NY</t>
  </si>
  <si>
    <t>evergreeen needle-leaf</t>
  </si>
  <si>
    <t>excavation of deep soil pit</t>
  </si>
  <si>
    <t>coarse sandy, excessively drained, fine sand-silt 6-10ft deep</t>
  </si>
  <si>
    <t>river terrace on glacial outwash</t>
  </si>
  <si>
    <t>No lat-lon give. Pack forest and river terrace found on GoogleEarth; max rooting depth given in fig2</t>
  </si>
  <si>
    <t>Differences in growth were found to be closely related to a deep-lying silty fine sand layer situated at varying depths under the two stands. This layer provided an ample supply of water and additional available potassium to the good stand but not to the poor.
It was concluded that chronic drought and potassium deficiency are both limiting in this stand. When the fine soil layer was not deeper than 6 feet, the tree roots absorbed adequate amounts of potassium and considerably more soil water than when the fine layer occurred deeper than 6 feet.</t>
  </si>
  <si>
    <t>Watson &amp; Tumbleson, 2002</t>
  </si>
  <si>
    <t>near New Plymouth, New Zealand</t>
  </si>
  <si>
    <r>
      <t>NE-facing slope 15</t>
    </r>
    <r>
      <rPr>
        <vertAlign val="superscript"/>
        <sz val="9"/>
        <color theme="1"/>
        <rFont val="Calibri"/>
        <family val="2"/>
        <scheme val="minor"/>
      </rPr>
      <t>o</t>
    </r>
  </si>
  <si>
    <t>coarse sandy loam with pumice, on silty loam</t>
  </si>
  <si>
    <t>one of the windiest regions in NZ…The characteristics of the soil appeared to present no restriction to root growth or root system development.</t>
  </si>
  <si>
    <t>bare root plot (vs. direct sow or cutting)</t>
  </si>
  <si>
    <t>location moved from given lat-lon to a NE-facing slope at 120m elevation</t>
  </si>
  <si>
    <t>cool wet winters</t>
  </si>
  <si>
    <t>Wallace et al., 1980</t>
  </si>
  <si>
    <t>Mojave desert, Nevada</t>
  </si>
  <si>
    <t>Lycium andersonii</t>
  </si>
  <si>
    <t>Lycium pallidum</t>
  </si>
  <si>
    <t>Ephedra nevadensis</t>
  </si>
  <si>
    <t>Ambrosia dumosa</t>
  </si>
  <si>
    <t>Krameria parvifolia</t>
  </si>
  <si>
    <t>Atriplex confertifolia</t>
  </si>
  <si>
    <t>Acamptopappus shockleyi</t>
  </si>
  <si>
    <t>goldenheads</t>
  </si>
  <si>
    <t>water-jacket, redberry desert-thorn, Anderson thornbush, Anderson's desert thorn, Anderson boxthorn, Anderson lycium, Anderson wolfberry, and squawberry</t>
  </si>
  <si>
    <t>pale wolfberry, pale desert-thorn</t>
  </si>
  <si>
    <t>Nevada ephedra</t>
  </si>
  <si>
    <t>male plants growing in dryer areas and female plants growing in wetter ones, an arrangement which is believed to increase the production of seed</t>
  </si>
  <si>
    <t xml:space="preserve">It grows from a large fibrous root system which can extend over 9 metres (30 ft) from the base of the plant. </t>
  </si>
  <si>
    <t>photosynthetic stems - no leaf</t>
  </si>
  <si>
    <t>burroweed, white bursage</t>
  </si>
  <si>
    <t>range ratany, chacate, littleleaf krameria</t>
  </si>
  <si>
    <t>chamiso, chamiza, four wing saltbush, four-wing saltbush, and fourwing saltbush</t>
  </si>
  <si>
    <t>shadscale</t>
  </si>
  <si>
    <t>Rock Valley site</t>
  </si>
  <si>
    <t>Frenchman Flat site</t>
  </si>
  <si>
    <t>Lower stems of K. parvifolia were usually covered with about 10 cm of blow sand because of the catchment nature of the shmb, so that roots actually were not as close to the surface as indicated.</t>
  </si>
  <si>
    <t>Lycium andersonii roots were more uniformly distributed throughout the root zone than most other species</t>
  </si>
  <si>
    <t>Mercury Valley site</t>
  </si>
  <si>
    <t>The surface soils of the northern Mojave Desert are low in both large and fine roots, and this probably is related to high soil surface temperatures and low soil moisture of the summer months.</t>
  </si>
  <si>
    <t>Rock valley site is assumed unless there are indications of otherwise</t>
  </si>
  <si>
    <t>This is another paper suggesting that rainfall penetration depth determines rooting depth</t>
  </si>
  <si>
    <t>Case-1</t>
  </si>
  <si>
    <t>Vance &amp; Nadkarni, 1992</t>
  </si>
  <si>
    <t>WC Costa Rica, Monteverde Cloud Forest Reserve</t>
  </si>
  <si>
    <t>loam, on sandy-loam, on clay-loam</t>
  </si>
  <si>
    <t>About 5% of the below-ground fine roots and 13% of the below-ground total root biomass resided in the B2 horizon, which extended from 85 to 185 cm below the forest floor surface.</t>
  </si>
  <si>
    <t>W slope near continental divide</t>
  </si>
  <si>
    <t>moist tropical montane forest</t>
  </si>
  <si>
    <t>Beilschmeidia sp., Ficus ruerckheimii, Guurea sp., Ocotea tonduzii, Ocotea meziana, Poureria sp.</t>
  </si>
  <si>
    <t>this study also reports root biomass in the canopy, which is small by mass but important ecologically</t>
  </si>
  <si>
    <t>Teskey &amp; Hinckley, 1981</t>
  </si>
  <si>
    <t>Seasonal root growth rates correlated with T and SM… Measurement depth is 1.5m, and based on the statement to the left, max rooting depth is recorded as 1.5m.</t>
  </si>
  <si>
    <t>Ashland Wildlife Area, central Missouri</t>
  </si>
  <si>
    <t>10 deg SE-facing slope</t>
  </si>
  <si>
    <t>Quercus alba</t>
  </si>
  <si>
    <t>white oak</t>
  </si>
  <si>
    <t>silt loam, thin O, increasing clay with depth</t>
  </si>
  <si>
    <t>...roots were found at all soil depths… soil T determines first root growth and leaf budding… during growing season soil moisture is the driver for root enlongation</t>
  </si>
  <si>
    <t>Svejcar &amp; Wright, 1995</t>
  </si>
  <si>
    <t>N Sierra Nevada, near Davis Lake, CA</t>
  </si>
  <si>
    <t>Carex nebrascensi</t>
  </si>
  <si>
    <t>riparian meadow</t>
  </si>
  <si>
    <t>minirhizotron tube</t>
  </si>
  <si>
    <t>reporting seasonal root growth; max depth of root activites sampled to 0.65m (Fig.4); water table mentioned to fluctuate around 0.4m; reported elevation on Freeman Creek is now below lake surface so a point on lake edge selected.</t>
  </si>
  <si>
    <t>However, below 40 cm there was relatively little activity during any of the measurement dates. We observed that rooting activity was minimal in the water table. Active rooting in the upper 40 cm did not occur until the water table dropped below that point... Riparian graminoid species may have delayed root growth until soils are not saturated or the water table recedes</t>
  </si>
  <si>
    <t>Stringer et al., 1989</t>
  </si>
  <si>
    <t>lat-lon switched by author</t>
  </si>
  <si>
    <t>loamy colluvium over clayey residuum from shale</t>
  </si>
  <si>
    <t>tritium uptake</t>
  </si>
  <si>
    <t>Direct evidence of prolific rooting directly on the LSS (lower sandstone bed) was found during excavation of access holes for instrumentation on rows 2 and 3. Few roots were encountered in the weathered shale overlying the LSS, suggesting that trees were sending down scattered sinker roots which then proliferated in the moist zone on top of the LSS...Use of the deep water reservoir necessitated root growth through 1-1.5 m of clayey and consolidated residuum of shale.</t>
  </si>
  <si>
    <t>NE Kentucky</t>
  </si>
  <si>
    <t>gentle slope (15 deg)</t>
  </si>
  <si>
    <t>row-2</t>
  </si>
  <si>
    <t>Tectona grandis</t>
  </si>
  <si>
    <t>Tropical mixed hardwood forest</t>
  </si>
  <si>
    <t>max depth extrapolated from data in Tab-4; site moved from given lat-lon to a plantation in Rajdari area</t>
  </si>
  <si>
    <t>sandy loam, well drained</t>
  </si>
  <si>
    <t>0.3-0.75</t>
  </si>
  <si>
    <t>90% in Jul-Oct</t>
  </si>
  <si>
    <t>Fine root growth in our teak forest was characterized by a peak late in the rainy season (September), a decline in winter (January), a second peak after winter rains (February), and the least in dry summer (May).</t>
  </si>
  <si>
    <t>Rajdari</t>
  </si>
  <si>
    <t>Varanasi, N India</t>
  </si>
  <si>
    <t>Sperry &amp; Hacke, 2002</t>
  </si>
  <si>
    <t>Sand site (Skull Valley)</t>
  </si>
  <si>
    <t>Loam site (Rush Valley)</t>
  </si>
  <si>
    <t>Sandy loam (59% sand, 29% silt, 12% clay)</t>
  </si>
  <si>
    <t>Sand (87% sand, 6% silt, 7% clay), more clay at depth</t>
  </si>
  <si>
    <t>slightly undulating flats on the valley floor</t>
  </si>
  <si>
    <t>&gt; 1.55</t>
  </si>
  <si>
    <t>mostly in winter</t>
  </si>
  <si>
    <t>Chrysothamnus nauseosus, C. viscidiflorus, C. parryi, Tetradymia glabrata, Atriplexc anescens, A. confertifoli, Grayias pinosa, Sarcobatuvs ermiculatu</t>
  </si>
  <si>
    <t>Chrysothamnus nauseosus, C. viscidiflorus, Tetradymia glabrata, Atriplex canescens, A. confertifoli, Grayias pinosa, Sarcobatuvs ermiculatu</t>
  </si>
  <si>
    <t>The depth index was positive  for all species at both sites, indicating that roots extended below 1.55 m at both sites and in all species… species. There was a strong trend for shallower rooting depths at the loam versus the sand site.</t>
  </si>
  <si>
    <t>soil pits, inferred</t>
  </si>
  <si>
    <t>Great Basin, C Utah</t>
  </si>
  <si>
    <t>Great study of soil texture on plant-water relations. No direct root obs, but infered from rooting depth index: has a maximum of 1 for the deepest of root systems, dropping to approximately 0 for root systems of 1.55 m deep, and becomes negative for root systems shallower than 1.55 m.</t>
  </si>
  <si>
    <t>flat valley floor</t>
  </si>
  <si>
    <t>&gt; 1.55 (2m to guess)</t>
  </si>
  <si>
    <t>Soethe et al., 2006</t>
  </si>
  <si>
    <t>tropical montane forest</t>
  </si>
  <si>
    <t>tropical elfin forest</t>
  </si>
  <si>
    <t>Podocarpus Nat Park, S Ecuador</t>
  </si>
  <si>
    <t>3000m elevation site</t>
  </si>
  <si>
    <t>1900m elevation site</t>
  </si>
  <si>
    <t>the study focuses on structural roots for anchorage in this windy environ</t>
  </si>
  <si>
    <t>Clusia sp.</t>
  </si>
  <si>
    <t>Weinmannia loxensis</t>
  </si>
  <si>
    <t>Styrax foveolaria</t>
  </si>
  <si>
    <t>Graffenrieda emarginata</t>
  </si>
  <si>
    <t>Clethra revoluta</t>
  </si>
  <si>
    <t>Vismia tomentosa</t>
  </si>
  <si>
    <t>Clusia sp. (at 3000 m) was characterized by the development of stilt roots up to 1 m height.</t>
  </si>
  <si>
    <t>W. loxensis (at 3000 m) was the only species that had the ability to propagate by rhizomes, i.e. creeping underground stems with the ability to produce new shoots. Up to three shoots were connected by large structural rhizomes.</t>
  </si>
  <si>
    <t>Root systems of G. emarginata growing at 1900 m were characterized by vertically growing laterals similar to sinker roots. High branching frequencies resulted in a relatively small root system radius and thus in small horizontal extension of the potential root–soil plate.</t>
  </si>
  <si>
    <t>Clusia sp. (3000 m) and V. tomentosa (1900 m) were the only species forming tap roots. The vertical extension of taproots, however, was much more limited at 3000 m than at 1900 m (Figure 5). At 3000 m, the taproots penetrated only the organic surface layer. At 1900 m, vertical extension of taproots was impeded at depths of about 0.5–0.8 m in the mineral soil. Thus, all tap roots changed growth direction at certain soil depths.</t>
  </si>
  <si>
    <t>&gt; 0.5</t>
  </si>
  <si>
    <t>steep slope at 25-50 deg</t>
  </si>
  <si>
    <t>soil often water-logged, close to timber line, slope 20-50 deg</t>
  </si>
  <si>
    <t>0.3m O, on 0.4m mineral soil</t>
  </si>
  <si>
    <t>0.15m O, on &gt; 0.9m mineral soil</t>
  </si>
  <si>
    <t>all max rooting depth inferred from Fig. 5 and text such that tap roots ends/bends at bedrock surface</t>
  </si>
  <si>
    <t>perched saturation inferred from mentioned water-logging above the bedrock surface at 0.7m deep</t>
  </si>
  <si>
    <t>Slavich et al., 1999</t>
  </si>
  <si>
    <t>Atriplex nummularia</t>
  </si>
  <si>
    <t xml:space="preserve"> old man saltbush, bluegreen saltbush, giant saltbush</t>
  </si>
  <si>
    <t>Case-3, roots restricted by shallow / saline GW</t>
  </si>
  <si>
    <t>Plantation H</t>
  </si>
  <si>
    <t>elevated field</t>
  </si>
  <si>
    <t>loamy clay 1m, sandy clay at 2m</t>
  </si>
  <si>
    <t>1.6 - 2.2</t>
  </si>
  <si>
    <t>0 - 1.0</t>
  </si>
  <si>
    <t>0.3 - 1.2</t>
  </si>
  <si>
    <t>0.3m sandy loam A, light clay B</t>
  </si>
  <si>
    <t>0.2m sandy loam A, light clay B</t>
  </si>
  <si>
    <t>0.1m sandy loam A, light clay B</t>
  </si>
  <si>
    <t>gully bottom</t>
  </si>
  <si>
    <t>Plantation M-1 (depression named Green Gully)</t>
  </si>
  <si>
    <t>Plantation M-2 (depression named Green Gully)</t>
  </si>
  <si>
    <t>Plantation M-3 (depression named Green Gully)</t>
  </si>
  <si>
    <t>gully edge</t>
  </si>
  <si>
    <t>gully slope</t>
  </si>
  <si>
    <t>H isotopes in stem and soi/GW</t>
  </si>
  <si>
    <t>This species is deep rooted (Jones and Hodgkinson, 1970) and is native to the clay soils of the Riverine Plain in south-east Australia... At most times of the year the plants used shallow water sources derived mainly from rainfall. However, up to half the transpiration at the driest time of year (March) was derived from groundwater... that a moist capillary fringe comprising mainly of groundwater extends from the watertable to approximately 0.5 m from the surface.</t>
  </si>
  <si>
    <t>S. NSW, SE Astralia</t>
  </si>
  <si>
    <t>The deuterium/hydrogen ratios of the sap were similar to the water in the 0-0.5 m soil at all sampling dates and at each of the monitoring sites</t>
  </si>
  <si>
    <t>Isotope studies at both the sites indicated that the root system was most active at depths above the capillary fringe which occurred at approximately 0.5 m, and that very little water was being extracted by roots below this depth. The relatively uniform deuterium hydrogen ratio from 0.5 m to the watertable suggests that this water is derived from groundwater. Upward movement of groundwater into overlying unsaturated layers is driven both by capillary rise and periodic regional increases in groundwater pressure.</t>
  </si>
  <si>
    <t>plantation, likely irrigated</t>
  </si>
  <si>
    <t>authors think that the roots reach capillary rise 0.5m depth; authors also state "This suggested that the percentage of sap water derived from below 0.5 m, was 9, 51, 0 and 0% in January, March, June and August, respectively. Hence, given that water below 0.5 m is derived from groundwater, the maximum groundwater discharge rate would be half the March transpiration rate." ...  locations are approximate: H on a high patch, and M in a nearby depression. Green Gully is a much larger area very far to the east in the foothills of the mountains.</t>
  </si>
  <si>
    <t>Seghieri, 1995</t>
  </si>
  <si>
    <t>all in May-Oct</t>
  </si>
  <si>
    <t>Sudano-Sahelian savanna</t>
  </si>
  <si>
    <t>Maroua, extreme N Cameroon</t>
  </si>
  <si>
    <t>typical vertisol site</t>
  </si>
  <si>
    <r>
      <t>degrated vertisol site (hard</t>
    </r>
    <r>
      <rPr>
        <sz val="9"/>
        <color theme="1"/>
        <rFont val="Calibri"/>
        <family val="2"/>
      </rPr>
      <t>é</t>
    </r>
    <r>
      <rPr>
        <sz val="9"/>
        <color theme="1"/>
        <rFont val="Calibri"/>
        <family val="2"/>
        <scheme val="minor"/>
      </rPr>
      <t>)</t>
    </r>
  </si>
  <si>
    <t>sandy-clay ferruginous soil</t>
  </si>
  <si>
    <t xml:space="preserve">clay, 40-45% smectite, dry-season deep shrinkage cracks </t>
  </si>
  <si>
    <t>sandy-silt, but surface overcrusting (reducing permeability)</t>
  </si>
  <si>
    <t>anthropic degradation</t>
  </si>
  <si>
    <t>Lannea humilis</t>
  </si>
  <si>
    <t>sandy (0.4m), sandy-clay deep down, outcrops of underlying ironstone cuirass and scattered ferruginized gravel on the surface</t>
  </si>
  <si>
    <t>Acacia hockii</t>
  </si>
  <si>
    <t>Acacia seyal</t>
  </si>
  <si>
    <t>excavation to 1.5m</t>
  </si>
  <si>
    <t>max depth extrapolated from Fig.1</t>
  </si>
  <si>
    <t>As the rains fell, the drainage from the top horizons was fast and important and the infiltrated part was stocked first in the more clayey deep horizons (below 120 em). Thus, the intense drainage of the soil was favourable to high amounts of available water in deep layers from June to September or October, according to the length of the rainy season</t>
  </si>
  <si>
    <t>Red acacia</t>
  </si>
  <si>
    <t>legumous tree</t>
  </si>
  <si>
    <t>white thorn acacia</t>
  </si>
  <si>
    <t>A. seyal had a double underground system: superficial lateral roots and a taproot system. The majority of roots were superficial; it was made up of a lot of small (inferior or equal to 1 em of diameter) and dense roots which could be compared with herbaceous root systems. This upper system was developed in the principal water storage zone (down to 40 em depth). Only one big taproot constituted the deep system. Its bent form and the absence of a deep water layer in this soil suggest that this taproot had developed along a shrinkage crack. Free water was available in the cracks at the beginning of the rainy season but gradually the cracks closed with water imbibition up to saturation.</t>
  </si>
  <si>
    <t>the root system of Lannea humilis was not more than 20 em deep. Just below the tree trunk, it was deeper because the central root had grown strongly enough to reduce soil compaction and allowed water to seep deeper. Secondary roots were smaller and too  weak to grow deeply. They went back up to extract small quantities of available surface moisture, the only available soil water (Fig. 1 b). L. humilis has specialized water storage organs (bulges, Fig. 1 b). These being small widenings of the root which soak up water.</t>
  </si>
  <si>
    <t>for Acacia hockii, surface roots (down to 50 em depth) were more abundant than deep ones, but there were more deep roots than in the first two situations. In all the stations, shrubs had most of their roots in the top 40 em of soil. Upper root systems were highly developed and showed very long lateral running roots extending up to more than 10 m from the tree trunk in all the three types of soil. Consequently, trees roots and grasses roots are near to each other on a large area around trees trunks.</t>
  </si>
  <si>
    <t>In this region, a high spatial variability of soil water properties exists and free drainage is not common (Seiny-Boukar, 1990).</t>
  </si>
  <si>
    <t>"Sites were located in a small watershed, 30 km south of Maroua in the Diamare plain."</t>
  </si>
  <si>
    <t>A phenological study has shown previously, on all three stations used in this study, that populations of Acacia seyal Del. and Acacia hockii De Wild actively grew over a longer period than the rainy season while Lannea humilis (Oliv.) Engl. grew only during the
rainy season, from June to September, as the major herbaceous species</t>
  </si>
  <si>
    <t>annual grass</t>
  </si>
  <si>
    <t>a site in the village, with a few scattered plants, is assumed</t>
  </si>
  <si>
    <t>Case-4, seasonal climate, roots determined by rain penetration depth</t>
  </si>
  <si>
    <t>this study tests the Walter 2-layer hypothesis</t>
  </si>
  <si>
    <t>Scully, 1942</t>
  </si>
  <si>
    <t>E. Wisconsin</t>
  </si>
  <si>
    <t>temperate hardwood forest</t>
  </si>
  <si>
    <t>SE slope, 2.5 deg</t>
  </si>
  <si>
    <t>S slope, 4.5 deg</t>
  </si>
  <si>
    <t>SE slope, 7.5 deg</t>
  </si>
  <si>
    <t>N slope, 3.5 deg</t>
  </si>
  <si>
    <t>NW slope, 2.5 deg</t>
  </si>
  <si>
    <t>NE slope, 4.5 deg</t>
  </si>
  <si>
    <t>NW slope, 13 deg</t>
  </si>
  <si>
    <t>S slope, 2.5 deg</t>
  </si>
  <si>
    <t>SE slope, 7 deg</t>
  </si>
  <si>
    <t>A1: dark gray silt loam 4"; A2: gray-yello silt loam 5"; B1: heavy silt loam 4"; B2: reddish heavy sandy-clay 19" with hair-line fractures; C: gravelly sandy-caly or gravelly sandy-loam, with limetone rocks in upper 6"</t>
  </si>
  <si>
    <t>trench wall, partial excavation</t>
  </si>
  <si>
    <t>66mm/mon Apr-Sep</t>
  </si>
  <si>
    <t>Niagara limestone</t>
  </si>
  <si>
    <t>Only the stations in Table-6 are recorded here because the land elevation is given which helps contrain the location in the sites otehrwise not given</t>
  </si>
  <si>
    <t>Max rooting depth from Table-2 which gives number of roots in each soil horizon; where roots are found in C1 horizon it is assumed to occupy the entire horizon</t>
  </si>
  <si>
    <t>Lack of O2 is thought to be the main reason that little roots are fouond in the deeper soils, but no groundwater data is given; perched saturation likely over shallow bedrock</t>
  </si>
  <si>
    <t>Acer saccharum, Fraxinus americana, Lonicera dioica, Prunus virginiana, Quercus borealis maxima, Tilia american, Ulmus fulva, Zanthoxylum americanum</t>
  </si>
  <si>
    <t>Quercus borealis maxima, Viburnum acerifolium, Acer saccharum, Carya cordiformis, Fraxinus americana, Ostrya virginiana, Quercus alga</t>
  </si>
  <si>
    <t>Acer saccharum, Parthenocissus quinquefolia, Carya cordiformis, Prunus virginiana, Quercus alga, Q. borealis maxima, Tilia american, Zanthoxylum americanum</t>
  </si>
  <si>
    <t>Quercus borealis maxima, Acer saccharum, Amelanchier canadensis, Ostrya virginiana, Parthenocissus quinquefolia, Quercus alga</t>
  </si>
  <si>
    <t>Acer saccharum, Quercus alga, Fraxinus americana, Hamamelis virginiana, Lonicera dioica, Ostrya virginiana, Quercus borealis maxima, Ulmus americana, U. fulva, Viburnum acerifolium</t>
  </si>
  <si>
    <t>Acer saccharum, Lonicera dioica, Quercus borealis maxima, Tilia american, Amelanchier canadensis, Fraxinus americana, Ostrya virginiana, Ribes cynosbati, Ulmus fulva, Viburnum acerifolium</t>
  </si>
  <si>
    <t>Acer saccharum, Fraxinus americana, Quercus borealis maxima, Amelanchier canadensis, Prunus serotina, Prunus virginiana, Quercus alga, Tilia american, Ulmus fulva</t>
  </si>
  <si>
    <t>Acer saccharum, Fraxinus americana, Parthenocissus quinquefolia, Quercus borealis maxima, Carya cordiformis, Ostrya virginiana, Quercus alga, Tilia american, Ulmus fulva</t>
  </si>
  <si>
    <t>Acer saccharum, Fraxinus americana, Ostrya virginiana, Prunus virginian, Quercus alga, Q. borealis maxima, Rhus radicans, Tilia american, Ulmus fulva, Vitis sp</t>
  </si>
  <si>
    <t>tree, shrub</t>
  </si>
  <si>
    <t>northern red oak</t>
  </si>
  <si>
    <t>northern red oak, maple-leaf Viburnu</t>
  </si>
  <si>
    <t>sugar maple, Virginia creeper</t>
  </si>
  <si>
    <t>tree, vine</t>
  </si>
  <si>
    <t>Acer saccharum, Quercus alba, Fraxinus americana, Lonicera dioica, Ostrya virginiana, Parthenocissus quinquefolia, Quercus borealis maxima, Tilia american, Viburnum acerifolium</t>
  </si>
  <si>
    <t>sugar maple, white oak</t>
  </si>
  <si>
    <t xml:space="preserve">sugar maple, red honey-suckle, northern red oak, American linden </t>
  </si>
  <si>
    <t>sugar maple, white ash, Virginia creeper, norterhn red oak</t>
  </si>
  <si>
    <t>sugar maple, white ash, northern red oak</t>
  </si>
  <si>
    <t>The investigation was conducted during the summers of I938, I939, and I940 at Wychwood, Lake Geneva, Walworth County, Wisconsin</t>
  </si>
  <si>
    <t>Whychwood farm is easily located on GE</t>
  </si>
  <si>
    <t>Sixteen station types were investigated by the trench method of root-dis- tribution sampling</t>
  </si>
  <si>
    <t>Root systems of herbaceous and woody seedlings in the various station types were excavated and their relation to the upper horizons noted. Large specimens of sugar maple, red oak, and white oak also were partially excavated. Root vol- umes were obtained from surface cubic-foot samples in each station type. Cicada and earthworm activity was observed.</t>
  </si>
  <si>
    <t>Greatest concentration of the smallest roots, o.i-i.o mm. in diameter, was in the A, horizon. Larger roots did not show an increase in numbers per unit horizon surface below the A horizons. Greater numbers of dead roots occurred in lower horizons</t>
  </si>
  <si>
    <t>On root number and percentage root-area basis, horizons A, A2, B,, B2, and C, generally showed successive decrease in suitability for root development</t>
  </si>
  <si>
    <t>Stations with more abundant ground cover were char- acterized by larger root numbers and smaller percentage root areas</t>
  </si>
  <si>
    <t>Earthworm and cicada activities, particularly the former, were important factors in the soil environment. Such activities were more or less uniform through- out the woodland</t>
  </si>
  <si>
    <t>Tabler, 1964</t>
  </si>
  <si>
    <t>Artemisia tridentata</t>
  </si>
  <si>
    <t>big sage brush</t>
  </si>
  <si>
    <t>NW Wyoming</t>
  </si>
  <si>
    <t>All plants studied were characterized by a woody taproot which rapidly tapered to a diameter of 2 or 3 mm within the first 6 dm of soil and a dense well-developed system of lateral roots. About 62% of the total root length was concentrated in the upper 6 dm of the soil profile. Depth of maximum penetration varied from 12.2 to 18.3 dm, and maximum radial spread from the stem ranged from 9.1 to 15.2 dm. Root penetration and depths of concentration were slightly greater on the drier ridge and west-exposure sites as compared to the more moist valley bottom and east exposure locations. Radial root spread was greatest on plants growing on sidehill sites. The general root configuration of big sagebrush would appear to allow utilization of both surface and subsurface moisture and nutrients.</t>
  </si>
  <si>
    <t>Four sites were selected: east- and west-facing slopes (of about So/a), a ridge top, and a valley bottom. All locations were within a 3-acre area. At each of these sites a trench was excavated approximately 1.2 m wide, 4.6 m long, and as deep as necessary to determine the maximum depth of root penetration.</t>
  </si>
  <si>
    <t>East exposure</t>
  </si>
  <si>
    <t>West exposure</t>
  </si>
  <si>
    <t>Ridge top</t>
  </si>
  <si>
    <t>Valley bottom</t>
  </si>
  <si>
    <t>all max rooting depth is mean of 3 plants</t>
  </si>
  <si>
    <t>E-facing slope, 8 deg</t>
  </si>
  <si>
    <t>W-facing slope, 8 deg</t>
  </si>
  <si>
    <t>ridge top</t>
  </si>
  <si>
    <t>valley bottom</t>
  </si>
  <si>
    <t>The tap-root was five and a half feet long, stocky, and a firm anchor for the little tree. From this root a few small laterals penetrated the deeper soils</t>
  </si>
  <si>
    <t>sandy coastal plain</t>
  </si>
  <si>
    <t>Figure shows max depth at 7 feet; location at the center of the National Forest</t>
  </si>
  <si>
    <t>Gemmer, 1928</t>
  </si>
  <si>
    <t>clay-loam to 0.91m, over sandy loam to 2.54m</t>
  </si>
  <si>
    <t>Sperry, 1935</t>
  </si>
  <si>
    <t>Illinoise</t>
  </si>
  <si>
    <t>The Rantoul station</t>
  </si>
  <si>
    <t>The Warrensburg station</t>
  </si>
  <si>
    <t>The Petervill station</t>
  </si>
  <si>
    <t>Lepachys pinnata</t>
  </si>
  <si>
    <t>Parthenium integrifolium</t>
  </si>
  <si>
    <t>Helianthus scaberrimus</t>
  </si>
  <si>
    <t>near the crest of an Early Wisconsin moraine</t>
  </si>
  <si>
    <t>brown silt loam, well drained and ventilated by earthworm burrows and vertical cracks</t>
  </si>
  <si>
    <t>brown silt loam</t>
  </si>
  <si>
    <t>0.55 - 1.9</t>
  </si>
  <si>
    <t>Early Wisconsin intermorainal area, 1.5 km south of a morainal ridge, poorly drained</t>
  </si>
  <si>
    <t>Early Wisconsini ntermorainal glaciation 2.75 km north of the Wisconsin terminal (Shelbyville) moraine</t>
  </si>
  <si>
    <t>a Middle Illinoisan intermorainal area, poor drainage</t>
  </si>
  <si>
    <t>black clay loam, high lime</t>
  </si>
  <si>
    <t>brown Silt Loam on Drift, well drained</t>
  </si>
  <si>
    <t>near the crest of a sand dune, a broad terrace on the east side of the Illinois River</t>
  </si>
  <si>
    <t>coarse yellow sand</t>
  </si>
  <si>
    <t>Silphium terebinthinaceum</t>
  </si>
  <si>
    <t>Silphium integrifolium</t>
  </si>
  <si>
    <t>Euphorbia corollata</t>
  </si>
  <si>
    <t>Silphium Iaciniatum</t>
  </si>
  <si>
    <t>Tradescantia reflexa</t>
  </si>
  <si>
    <t>Carex varia</t>
  </si>
  <si>
    <t>Aster multiflorus</t>
  </si>
  <si>
    <t>The Kansas station</t>
  </si>
  <si>
    <t>Pycnanthermum flexuosum</t>
  </si>
  <si>
    <t>Sisyrinchium albidum</t>
  </si>
  <si>
    <t>Liatris scariosa</t>
  </si>
  <si>
    <t>Spartina michauxiana</t>
  </si>
  <si>
    <t>Petalostcmum purpureum</t>
  </si>
  <si>
    <t>Sporobolus brevifolius</t>
  </si>
  <si>
    <t>Ambrosia psilostachya</t>
  </si>
  <si>
    <t>Aster oblongifolius</t>
  </si>
  <si>
    <t>Opuntia rafinesquii</t>
  </si>
  <si>
    <t>little bluestem, beard grass</t>
  </si>
  <si>
    <t>From 5 to 15 (or more) roots originated from the base of each plant and either ran nearly horizontally just below the soil surface for 2 or 3 dm beforet urning downwardi nto the soil, or immediatelyp enetratedo bliquelyi nto the soil at various angles to a deptho f several (3-8) dm... The ends of the main roots were found mostly between the 6 and 10 dm levels with a maximum depth of 112 cm recorded.</t>
  </si>
  <si>
    <t>big bluestem</t>
  </si>
  <si>
    <t>The tops of the plants at the Peterville station were taller (16-22 dm.) and showed more luxuriant growth than those at any other station, while the roots of the plants showed the least depth of penetration of any examined. The radial spread of the plants in the Peterville sand, however, was pronounced, as a lateral extension of 5 din. was common and a maximum of 85 cm. was found.</t>
  </si>
  <si>
    <t>The thin light colored roots were produced on very short rhizomes and had two types of branches-one very fine and short, the  larger.</t>
  </si>
  <si>
    <t>was found only at the Peterville station, in common with other western species. The longest of the numerous whitish fibrous roots was lost at a depth of 45 cm. so that it seems that the species is rather shallow-rooted</t>
  </si>
  <si>
    <t>slough grass</t>
  </si>
  <si>
    <t>was the dominant species at the Warrensburg station. Its numerous long, tough, scaly rhizomes formed an almost impenetrable mat between the 1 and 8 cm. levels, so that excavation of roots from this layer was very difficult</t>
  </si>
  <si>
    <t>western drop-seed</t>
  </si>
  <si>
    <t>early flowering sedge</t>
  </si>
  <si>
    <t xml:space="preserve">At the Rantoul station, the absorbing region occurred between the 2 and 10 dm </t>
  </si>
  <si>
    <t>had no unusual peculiarities. The maximum depth found was 83 cm. and the absorbing region lay between the 1 and 8 dm. levels.  An unidentifiesde dge (Carer sp., fig.4f) was characterized by long, horizontal, much branched second order roots. These formed an extensive absorbing region between the 1 and 9 dim. levels. A maximum depth of 103 cm. and a radial spread of 2 dm. was recorded.</t>
  </si>
  <si>
    <t>prairie spiderwort</t>
  </si>
  <si>
    <t>The greatest radial spread measured was 35 cm., while the greatest depth recorded was 156 cm. Most of the roots, however, did not extend below the 1 meter level, and only one was found below 113 cm. The absorbing region was mainly between 25 cm. and 1 m.</t>
  </si>
  <si>
    <t>blue-eyed grass</t>
  </si>
  <si>
    <t>was small and short-lived, and had a correspondingly small root system. Twenty to forty small and rather fine, brittle, brown, fibrous roots extended 10 to 15 cm. in all directions (below the horizontal) from the base of the plant.</t>
  </si>
  <si>
    <t>purple prairie clover</t>
  </si>
  <si>
    <t>flowering spurge</t>
  </si>
  <si>
    <t>pricklyp ear cactus</t>
  </si>
  <si>
    <t>Rosa humilis</t>
  </si>
  <si>
    <t>This very irregular growth resulted in an extensive root system which had a radial spread of 40 cm. (or more) and a maximum depth of 80 cm.</t>
  </si>
  <si>
    <t>have shallow lateral roots which were traced as much as 30 cm. before becoming lost among the numerous grass roots at this place. No vertical roots were found</t>
  </si>
  <si>
    <t>mountain mint</t>
  </si>
  <si>
    <t>The extensive absorbing region was found between the 20 and 100 cm. levels and a maximum penetration of 117 cm. was observed</t>
  </si>
  <si>
    <t>A radial spread of 25 cm. was found,a nd an absorbingr egiona nd maximum deptho f 10-140 cm. and 149 cm. respectively were measured at the Champaign station</t>
  </si>
  <si>
    <t>corresponding measurements at the Rantoul station were 20 cm., 10-100 cm., and 110 cm</t>
  </si>
  <si>
    <t>wild petunias</t>
  </si>
  <si>
    <t>Rueillia ciliosa</t>
  </si>
  <si>
    <t>blazing star</t>
  </si>
  <si>
    <t>At the Kansas station a maximum depth of 93 cm. was found while the absorbing region extended between the 10-90 cm. levels.</t>
  </si>
  <si>
    <t>prairie golden-rod</t>
  </si>
  <si>
    <t>penetrate obliquely for several (20-50) cm. from the rhizome before penetrating downward. The maximum depth and absorbing regions were 102 cm. and 30-90 cm. at the Rantoul station</t>
  </si>
  <si>
    <t>The maximum depth and absorbing regions were 140 cm. and 30-140 cm. at the Kansas station.</t>
  </si>
  <si>
    <t>blue aster</t>
  </si>
  <si>
    <t>found along the Illinois river which produces numerous brittle fibrous roots from a rather long and slender rhizome. The color of the roots varied from a very light to a dark brown, frequently with a strong reddish tinge. The maximum depth recorded was 70 cm., while the absorbing region seemed to lie between the 2 and 55 cm. levels</t>
  </si>
  <si>
    <t>The roots resembled those of the Solidago but both the rhizomes and the roots were more slender and more brittle than those of the goldenrod. The second order roots were longer and bore longer and more numerous third order roots. The longer root was lost at a depth of 72 cm.</t>
  </si>
  <si>
    <t>dense flowered aster</t>
  </si>
  <si>
    <t>compass plant</t>
  </si>
  <si>
    <t>had a large fleshy tap root... The entire root system was crooked and extensive. The maximum depth was 179 cm., while the absorbing region lay between 160 cm. and above 50 cm</t>
  </si>
  <si>
    <t>Prairie dock</t>
  </si>
  <si>
    <t>incompletely examined. The upper part resembled that of the compass plant, but was a darker brown and had a more wrinkled cortex. The deeper portions of the root system were never excavated.</t>
  </si>
  <si>
    <t>large tap root truncated, by extension of diameter it is estimated to be at least 1.4m</t>
  </si>
  <si>
    <t>whole-leaf rosinweed, entire-leaf rosinweed, prairie rosinweed</t>
  </si>
  <si>
    <t>a mat of many tuberous, slow-growing " rhizomes," an upright stalk being produced from each swollen portion of the mat</t>
  </si>
  <si>
    <t>The roots were well branched and clearly extensive in nature. The radial extent, absorbing region, and maximum depths measured at the Rantoul station were 140, 70-150 and 170 cm. respectively.</t>
  </si>
  <si>
    <t>wild quinine, American feverfew, eastern feverfew</t>
  </si>
  <si>
    <t>the maximum depth, 180 cm., was the greatest depth recorded at any of the five stations</t>
  </si>
  <si>
    <t>western ragweed</t>
  </si>
  <si>
    <t xml:space="preserve">a long thin (1 mm. in diameter) rhizome which was traced for 40 cm. in one case and probably extended twice that distance, judging from the spacing of these plants in the sand. Apparently only one thin tap root is produced per shoot, this root followinga remarkablys traighta nd verticalc ourse </t>
  </si>
  <si>
    <t xml:space="preserve">Carolina Rose, Sand Rose, Pasture Rose </t>
  </si>
  <si>
    <t>purple cone-flower</t>
  </si>
  <si>
    <t>had an extensive root system; twisted and crooked tap roots which were 10-12mm in diameter near the soil surface; a medium brown slightly wrinkled cortex; a deeply placed absorbing region (65 to 120 cm); and unusuallyl arge root tips. The maximum depth was 133 cm.</t>
  </si>
  <si>
    <t>The Champaign station</t>
  </si>
  <si>
    <t>prairie cone-flower</t>
  </si>
  <si>
    <t>grew in nearly all directions from the base of the plant and reached a maximum depth of 145 cm. Some of these fibrous roots were considerably thickened near the base of the plant. Both second and third order roots were frequent in the absorbing region, which was between the 3 and 140 cm. levels</t>
  </si>
  <si>
    <t>sunflowers</t>
  </si>
  <si>
    <t>unsatisfactoryd,u e to the poor locationo f the plant examined. Numerousr atherb rittlef ibrousr oots were producedo n the swollenb ase of the stem,b ut all were lost at a deptho f 88 cm. or less. It is probablet hat longer roots existed on this plant.</t>
  </si>
  <si>
    <t>The authors compared the common species with Weaver's studies on the western sie of the Mississippi ; it appears that Illinoise counterparts are shallower rooted, but more extensive. Come back to this studie when examine same species in different environments</t>
  </si>
  <si>
    <t>Author mentioned that water-logging is a key factor, citing others on this as well</t>
  </si>
  <si>
    <t>"DISCUSSION AND CONCLUSIONS - One of the most important factors affecting root configuration and penetration is that of oxygen content of the soil. This factor has been studied by Cannon ('24, '25), Howard ('18), Clements ('21), Elliott ('24), and others, and is intimately bound up with that of water table."</t>
  </si>
  <si>
    <t>succulent</t>
  </si>
  <si>
    <t>now farmland</t>
  </si>
  <si>
    <t>just below the ridge</t>
  </si>
  <si>
    <t>mid-slope</t>
  </si>
  <si>
    <t>near slope bottom</t>
  </si>
  <si>
    <t>Artemisia tridentata vaseyana</t>
  </si>
  <si>
    <t>mountain big sagebrush</t>
  </si>
  <si>
    <t>Artemisia tridentata wyomingensis</t>
  </si>
  <si>
    <t>with infiltration/recharge data (2.44m in lower positions, 0.910 on ridge)</t>
  </si>
  <si>
    <t>Soil water recharge characteristics had a strong influence on development of the big sagebrush root system. Sufficient snow accumulated at the 2 lower sites to fully recharge soil water to at least a 244-cm depth, but appreciable recharge extended only to =91 cm at the ridge location</t>
  </si>
  <si>
    <t>max depth extrapolated to max trench size</t>
  </si>
  <si>
    <t>Roots extended downward into the 183-213 cm sampling zone at lower and midslope locations, but only into the 122-152 cm sampling zone at the ridge location.</t>
  </si>
  <si>
    <t>Wyoming big sagebrush</t>
  </si>
  <si>
    <t>SC Wyoming</t>
  </si>
  <si>
    <t>2/3 as snow, 114mm Jun-Sep</t>
  </si>
  <si>
    <t>bottom slope</t>
  </si>
  <si>
    <t>Loamy-skeletal</t>
  </si>
  <si>
    <t xml:space="preserve"> Loamy-skeletal</t>
  </si>
  <si>
    <t>1.83 - 3.05</t>
  </si>
  <si>
    <t>If the roots were found to penetrate the water table they were followed down by feeling them out with one hand while simultaneously pushing the nozzle of the hose downward as close to the plant as possible. By this procedure roots as much as 18 inches below the water surface were successfully removed in theire ntirety.</t>
  </si>
  <si>
    <t>It was observed that there were many rotten or non-functioning roots below the water table or in the capillary fringe just above it. This rotting was largely accounted for by the fact that the water table in the area where this study was conducted is subject to an  annual fluctuation of approximately one foot, being highest from March to June, then dropping gradually during the season to a low point which occurs from November to February. Thus, roots which were growing in well-aerated soil in the fall, were submerged and drowned by the rise of the water table the following spring</t>
  </si>
  <si>
    <t>lead plant</t>
  </si>
  <si>
    <t>Stoeckeler, 1938</t>
  </si>
  <si>
    <t>NC North Dokota</t>
  </si>
  <si>
    <t>the root is 16" below the WT</t>
  </si>
  <si>
    <t>narrow-leaved willow</t>
  </si>
  <si>
    <t>Salix tristis</t>
  </si>
  <si>
    <t>Amorpha canescen</t>
  </si>
  <si>
    <t>sand reedgrass</t>
  </si>
  <si>
    <t>reed</t>
  </si>
  <si>
    <t xml:space="preserve">Calamovilfa longifolia </t>
  </si>
  <si>
    <t>rush</t>
  </si>
  <si>
    <t>Since a considerable portion of this area lies within the confines of old glacial Lake Souris, a high percentage of the soils consists of deep sands or gravels which are underlainb y a permanentw ater table at a depth of from 5 to 20 feet; In view of the preponderance of sandy soils in combination with a shallow water table, the area presented an excellent opportunity to use power pumps for drawing water to wash out the plants; In this particular study the roots of plants were often found penetrating to the permanent water table which lay at a depth of from 6 to 10 feet</t>
  </si>
  <si>
    <t>In almost all cases the roots of the various plants were found to end from 1 to 6 inches above the water table. However, some plants, namely, scouring rush (Equisetur fluviatileL .) and narrow-leaved willow (Salix tristisA it.), were found to have living roots as much as 12 to 18 inches below the level of the water table, which indicates that the root systems of some plants can adapt themselves to a completely saturated medium; Roots of all species which were found in the capillary fringe were observed to be markedly different from roots g rowing in the surface soil where moisture conditions were not so favorable. Those growing in the capillary fringe were always markedly thickened and were white or translucent (fig.2 ). Such roots were turgid...</t>
  </si>
  <si>
    <t>Too bad that results of only 4 plants are given</t>
  </si>
  <si>
    <t>But it mentioned that in nearly all cases roots end in the cap-fringe</t>
  </si>
  <si>
    <t>case-5, roots reach WT through deep sands</t>
  </si>
  <si>
    <t>deep dune sand</t>
  </si>
  <si>
    <t>Sherff, 1912</t>
  </si>
  <si>
    <t>Polygonum muhlenbergii</t>
  </si>
  <si>
    <t>Sagittaria latifolia</t>
  </si>
  <si>
    <t>reed swamp</t>
  </si>
  <si>
    <t>Phragmites communis</t>
  </si>
  <si>
    <t>Nymphaea advena</t>
  </si>
  <si>
    <t>In many places the soil surface itself is occupied by the stolons of Ranunculus delphinifolius</t>
  </si>
  <si>
    <t>The rhizomes of Nymphaea advena (fig. 6) are usually 5-10cm thick and lie mostly at a depth of 8-25 cm below the soil surface</t>
  </si>
  <si>
    <t>The rhizomes of Castalia odorata, while smaller, lie at a similar depth (to Nymphaea)</t>
  </si>
  <si>
    <t>Galium claytoni</t>
  </si>
  <si>
    <t>The creeping stems of Galium root upon the soil surface, the rhizomes of Acorus lie just beneath, and those of Polygonum are deepest of all</t>
  </si>
  <si>
    <t>Sium ciculaefolium</t>
  </si>
  <si>
    <t>meadow swamp</t>
  </si>
  <si>
    <t>Penthorum sedoides</t>
  </si>
  <si>
    <t>Proserpinaca palustris</t>
  </si>
  <si>
    <t>Ludwigia palustris</t>
  </si>
  <si>
    <t>meadow</t>
  </si>
  <si>
    <t>Lilium canadense</t>
  </si>
  <si>
    <t>Asclepia incarnata</t>
  </si>
  <si>
    <t>Acalypha virginica</t>
  </si>
  <si>
    <t>Eleocharis palustris</t>
  </si>
  <si>
    <t>As has already been stated, the flora of the meadow is highly diversified</t>
  </si>
  <si>
    <t>meadow depressions</t>
  </si>
  <si>
    <t>Small, apparently open depressions are numerous in the moist parts of the meadow.</t>
  </si>
  <si>
    <t>Lycopus americanus</t>
  </si>
  <si>
    <t>Viola conspersa</t>
  </si>
  <si>
    <t>Viola cucullata</t>
  </si>
  <si>
    <t>Iris versicolor</t>
  </si>
  <si>
    <t>temperate riparian meadows</t>
  </si>
  <si>
    <t>N. Illinoise near Lake Michigan, Skokie Marsh</t>
  </si>
  <si>
    <t>Sparganium eurycarpum</t>
  </si>
  <si>
    <t xml:space="preserve">giant bur-reed </t>
  </si>
  <si>
    <t>rhizomatous perennial</t>
  </si>
  <si>
    <t>smartweed</t>
  </si>
  <si>
    <t>broadleaf arrowhead, duck-potato</t>
  </si>
  <si>
    <t>tuberous perennial</t>
  </si>
  <si>
    <t>Ranunculus delphinifolium</t>
  </si>
  <si>
    <t>Monkshood</t>
  </si>
  <si>
    <t>water parsnip</t>
  </si>
  <si>
    <t>yellow pond-lily</t>
  </si>
  <si>
    <t>Castalia odorata, Nymphaea odorata?</t>
  </si>
  <si>
    <t>American hite water lily</t>
  </si>
  <si>
    <t>Clayton's Bedstraw</t>
  </si>
  <si>
    <t>Boltonia asteroides</t>
  </si>
  <si>
    <t xml:space="preserve">White doll's daisy </t>
  </si>
  <si>
    <t>stolonous perennial</t>
  </si>
  <si>
    <t>Ditch Stonecrop</t>
  </si>
  <si>
    <t xml:space="preserve">marsh mermaidweed </t>
  </si>
  <si>
    <t>marsh seedbox, water purslane</t>
  </si>
  <si>
    <t xml:space="preserve">semiaquatic perennial </t>
  </si>
  <si>
    <t>Callitriche palustris</t>
  </si>
  <si>
    <t>water-starworts</t>
  </si>
  <si>
    <t>Canada lily, wild yellow-lily, the meadow lily</t>
  </si>
  <si>
    <t>swamp milkweed, rose milkweed, swamp silkweed, white Indian hemp</t>
  </si>
  <si>
    <t>Poa pratensis</t>
  </si>
  <si>
    <t>Kentucky bluegrass, smooth meadow-grass, or common meadow-grass</t>
  </si>
  <si>
    <t>Agrostis alba</t>
  </si>
  <si>
    <t>redtop?</t>
  </si>
  <si>
    <t xml:space="preserve">Virginia threeseed mercury </t>
  </si>
  <si>
    <t>common spike-rush, creeping spike-rush, marsh spike-rush</t>
  </si>
  <si>
    <t>Water horehound, American bugleweed</t>
  </si>
  <si>
    <t>dog violet</t>
  </si>
  <si>
    <t>Hooded Blue Violet, Marsh Blue Violet, Purple Violet</t>
  </si>
  <si>
    <t>Blue Flag, Harlequin Blueflag, Larger Blue Flag, Northern Blue Flag</t>
  </si>
  <si>
    <t>black muck or partially decayed peat, 1 m or less thick over glacial clay</t>
  </si>
  <si>
    <t>along Skokie Stream</t>
  </si>
  <si>
    <t>transition from reed swamp to meadow</t>
  </si>
  <si>
    <t>depressions on meadow</t>
  </si>
  <si>
    <t>harvested and burned</t>
  </si>
  <si>
    <t>slight slope away from stream</t>
  </si>
  <si>
    <t>The depth of the water table in the reed swamp and the swamp meadow was observed each week</t>
  </si>
  <si>
    <t>0 - 1.75</t>
  </si>
  <si>
    <t>In the rest of the reed swamp and in the swamp meadow the water table during May was coincident with or above the soil surface; in early September it sank to the maximum depth of 1 m in the reed swamp and 1.75 m in the swamp meadow; and then, rising rapidly, reached the surface again by the middle of October</t>
  </si>
  <si>
    <t>And since the depth of the water table may influence the depth of the subterranean organs, the latter in turn may enter as a potent factor into the success or failure of various species</t>
  </si>
  <si>
    <t xml:space="preserve">A study of the subterranean organs of the reed swamp plants showed that in many cases the depth is roughly proportionate to the depth of the water table. YAPP (iv) arrived at a similar conclusion concerning the plants at Wicken Fen. </t>
  </si>
  <si>
    <t>the rhizomes of Polygonum Muhlenbergiiw are usually at or near the surface of the stream bed.</t>
  </si>
  <si>
    <t>the rhizomes of Phragmites( fig.5 ) shows another fact which probably is more important. They do not occupy one particular level, but rather several different levels of soil. As a result, there is formed a dense mat of rhizomes and roots, about 2.5 dm deep.</t>
  </si>
  <si>
    <t>the above are more author notes</t>
  </si>
  <si>
    <t>this study reveals vertical stratification of roots; with shallow water table and thin unsaturated soil, the roots are shallow and tightly packed.</t>
  </si>
  <si>
    <t>beautiful scaled drawings of many species; but only where the maximu depth is shown it is read from the figures.</t>
  </si>
  <si>
    <t>Case-9, humid climate, shallow WT, plant roots restricted to shallow depth, some semi-aquatic plants</t>
  </si>
  <si>
    <t>Foldats &amp; Rutkis, 1975</t>
  </si>
  <si>
    <t>manteco</t>
  </si>
  <si>
    <t>Curatella americana</t>
  </si>
  <si>
    <t>tropical savanna</t>
  </si>
  <si>
    <t>chaparro, curata or parica</t>
  </si>
  <si>
    <t>1.7 - 7.4</t>
  </si>
  <si>
    <t xml:space="preserve">"The main roots of the species run close to the soil surface and may reach 20m or more in length (Fig. 2). Lateral roots, originating from the primary roots, penetrate the soil to depths of 6m or more. Though the chaparro is considered to be an evergreen tree, nevertheless it sheds its leaves yearly." </t>
  </si>
  <si>
    <t>Case-6. Here is a study that shows how too much water can also reduce ET, by water-logging the roots. It also suggests that roots penetrate deeper when the water table is deeper, but later as the water table rises, it suffers. Another important point is that leave fall is not an intrinsic feature of the plant, but induced by rising water table. The chaprarro is an evergreen.</t>
  </si>
  <si>
    <t xml:space="preserve">The principal physical factors determining the phenology of Curatellaa mericana (chaparro) are the annual variation of the water table; The high water table during the months of August and September, and its quick rise to such levels (in 2 months), induce anaerobic conditions, and give rise to high mortality rates in most of the young absorbing roots of chaparro. This phenomenon is transmitted in the plant in the form of senescence of the leaves, visibly characterized by the chlorosis of their blades. The most active leaffall of chaparro occurs during the months of November and December... </t>
  </si>
  <si>
    <t>In the Biological Station, chaparros and mantecos live in the same macroclimate. Thus the different patterns of their annual transpiration rates (for individual leaves) are not climatically induced; the dominant control is variation in soil water table... The annual transpiration curves for both trees have two maxima and two minima. In the case of chaparros the two peaks are almost of the same magnitude, but there is a notable difference between the two in the case of mantecos. The second annual decline of transpiration rates for the two species is not the result of lack of water in soil, but is due to an excess of it, which creates anaerobic conditions and retards water uptake in the roots.</t>
  </si>
  <si>
    <t>"the root system of manteco is shallower than that of chaparro; the roots are unable to follow the descending water table as deep as the roots of chaparro, and depend more on the available water in superficial soil levels."</t>
  </si>
  <si>
    <t>high macropores, quick infiltration</t>
  </si>
  <si>
    <t>heavier soil, low macropores, higher water holding capacity</t>
  </si>
  <si>
    <t>dry season Nov-Apr</t>
  </si>
  <si>
    <t>Byrsonima crassifolia</t>
  </si>
  <si>
    <t>site 7 with WTD obs</t>
  </si>
  <si>
    <t>&lt;5</t>
  </si>
  <si>
    <t>Dawson &amp; Pate, 1996</t>
  </si>
  <si>
    <t>Sainju &amp; Good, 1993</t>
  </si>
  <si>
    <t>C. New Jersey</t>
  </si>
  <si>
    <t>oak-pine uplands</t>
  </si>
  <si>
    <t>pine-oak plains</t>
  </si>
  <si>
    <t>Gary, 1963</t>
  </si>
  <si>
    <t>Riparian forest</t>
  </si>
  <si>
    <t>Tamarix pentantra</t>
  </si>
  <si>
    <t>Baccharis glutinosa</t>
  </si>
  <si>
    <t>five-stamen Tamarisk</t>
  </si>
  <si>
    <t>arrowweed</t>
  </si>
  <si>
    <t>seep-willow baccharis</t>
  </si>
  <si>
    <t>higher bank</t>
  </si>
  <si>
    <t>lower bank</t>
  </si>
  <si>
    <t>one 17ft tall 4in diameter tree</t>
  </si>
  <si>
    <t>8 plants of 10ft tall and 1" diameter</t>
  </si>
  <si>
    <t>3 plants of 6' tall and 0.7" diameter</t>
  </si>
  <si>
    <t>lower bank (2.5' above river level)</t>
  </si>
  <si>
    <t>sandy site with 4' WTD</t>
  </si>
  <si>
    <t>Salt River, C. Arizona</t>
  </si>
  <si>
    <t>higher bank with 10' WTD</t>
  </si>
  <si>
    <t>lower bank with shallower WT</t>
  </si>
  <si>
    <t>sandy loam 3', caly 1.5', sandy loam4.5', clay 1', sand/gravel 4'</t>
  </si>
  <si>
    <t>beautiful scaled-drawings, like Sprakling and Reed; 5 trees of 11ft tall and 1.5in diameter on average</t>
  </si>
  <si>
    <t>Where the water table is deep, tamarisk produced long tap roots, and branch root development is vertical in direction. Radial or horizontal spread of the branch  roots is limited mostly to areas immediately above the ground water table and in the capillary fringe. In areas of shallow ground water with capillary zones extending to the soil surface, tap roots are also developed, and secondary roots occupy all zones of the soil profile above the water table. Horizontal development of roots is greatest under these condition. The ground-water table seems to limit the depth to which the roots penetrate, although functioning tamarisk roots were found extending more  han 2 feet into the ground-water table. Apparently root systems of mature tamarisk are capable of surviving long periods of complete soil saturation. The plants in general are capable of surviving short periods of complete inundation by water...</t>
  </si>
  <si>
    <t>evergreen or deciduous</t>
  </si>
  <si>
    <t>The plant is seldom found away from sources of perennial surface water...All seepwillow plants exhibited very definite tap root development. The greatest concentration of branch roots was contained  in the first foot of soil. No roots of seepwillow were found extending into the ground-water table. However, the plant is known to survive extended periods of complete soil saturation.</t>
  </si>
  <si>
    <t>Pluchea sericea</t>
  </si>
  <si>
    <t>rhizomatous shrub</t>
  </si>
  <si>
    <t>Lateral root development was exhibited on all plants excavated. Most arrowweed plants in a thicket seem to be connected by a common lateral root system, and extensive excavations were required to find three individual root systems not connected to other plants. Of the three root systems excavated, rebranching lateral roots reached well into the capillary fringe above the water table. The greatest concentration of roots was immediately above the water table. Small white fleshy roots commonly extended into the zone of saturation.</t>
  </si>
  <si>
    <t>clay 1', sand/gravel 2'</t>
  </si>
  <si>
    <t>introduced species</t>
  </si>
  <si>
    <t>soil pit to 1.5m deep</t>
  </si>
  <si>
    <t>Shallow depth to the water table and the compact layer limit the soil volume exploited by roots and impede vertical penetration, whereas roots develop profusely above such layers. Because of a shallow water table beneath the C horizon of pine-oak lowlands,
higher root density in this horizon associated with similar nutrient contents in this forest than the other forest types (Tables 2, 4a, b) suggests that roots proliferated with increased moisture absorption from the capillary fringe layer above the water table.</t>
  </si>
  <si>
    <t>because of the presence of a firm clay layer in the B horizon of pine-oak plains, lower root density in the B and C horizons associated with similar nutrient contents in this forest than the other forest types (Tables 2, 4a, b) suggests that the firm layer reduced root distribution in these horizons.</t>
  </si>
  <si>
    <t>evenly thru the year</t>
  </si>
  <si>
    <t xml:space="preserve">rooting depth extrapolated </t>
  </si>
  <si>
    <t>sand, firm clay layer in C</t>
  </si>
  <si>
    <t>pine-oak lowland</t>
  </si>
  <si>
    <t>pine-oak upland</t>
  </si>
  <si>
    <t>Quercus prinus, Q. velutina, Pinus echinata</t>
  </si>
  <si>
    <t>Pinus rigida, Acer rubrum, Nyssa sylavatica</t>
  </si>
  <si>
    <t>Pinus rigida, Q. velutina, Quercus alba</t>
  </si>
  <si>
    <t>chestnut oak</t>
  </si>
  <si>
    <t>the first 3 sites are within 5km of each.</t>
  </si>
  <si>
    <t>rooting depth extrapolated; this site is 13km from the other 3 sites</t>
  </si>
  <si>
    <t>Higher root density in the E horizon of oak-pine uplands as compared to the other forest types was associated with high nutrient content</t>
  </si>
  <si>
    <t>Ash et al., 1975</t>
  </si>
  <si>
    <t>C3 bunchgrass</t>
  </si>
  <si>
    <t>North Carolina</t>
  </si>
  <si>
    <t>Tidewater Research Station near Plymouth</t>
  </si>
  <si>
    <t>Piedmont Research Station near Salisbury</t>
  </si>
  <si>
    <t>drained by tiles / ditches</t>
  </si>
  <si>
    <t>loamy sand, mottled grey C horizon</t>
  </si>
  <si>
    <t>mottled fine sandy loam</t>
  </si>
  <si>
    <t>3-5% slope, well drained</t>
  </si>
  <si>
    <t>flat terrace, artificially</t>
  </si>
  <si>
    <t>soil coring to 1.65m</t>
  </si>
  <si>
    <t>with seasonal distribution - it shows that root wbiomass changes across the season in the shallow soils, not deeper layers, at least for perennial grass such as this</t>
  </si>
  <si>
    <t>Although these locations were characterized primarily by differences in soils, root biomass based on collections at depths down to 165 cm did not differ significantly between locations. Significant seasonal differences in root biomass were observed to soil depths of 45 cm. At greater depths, seasonal fluctuations in soil temperature and moisture seemed no longer of intensity sufficientt o affect root production. Vertical analysis of fescue roots reveals that root weight decreases with depth in an exponential manner. The first 30 cm of soil contained an average of 92% of all harvested roots, while 98% of the mass occurred in the upper 75 cm.</t>
  </si>
  <si>
    <t>Upper Coastal Plain Research Station near Rocky Mount</t>
  </si>
  <si>
    <t>South England, Dorset, Pools Basin</t>
  </si>
  <si>
    <t>The upper 20 cm of the soil profile contain 92% of the total root system</t>
  </si>
  <si>
    <t>heathland</t>
  </si>
  <si>
    <t>the elevation of 15m in Chapman-1967 is used to locate a heath site</t>
  </si>
  <si>
    <t>well-developed humus iron podsols</t>
  </si>
  <si>
    <t>on the heath</t>
  </si>
  <si>
    <t>Calluna vulgaris, Ulex minor</t>
  </si>
  <si>
    <t xml:space="preserve">common heather, ling; Dwarf Furze or Dwarf Gorse </t>
  </si>
  <si>
    <t>Dittmer, 1959</t>
  </si>
  <si>
    <t>Ipomoea leptophylla Torr.</t>
  </si>
  <si>
    <t>most conspicuous of the larger species on the dunes and throughout most of the area; The root forms a large tap (Fig. 2) which becomes rather bulbous about two feet or more beneath the surface. In most of the plants of this species examined the tap root grew straightd own to a depth of six feet, then forked and trailed off laterally quite some distance; This tap root is a large water storage reservoir. At the end of one week its total weight had dropped to 40 lbs. 2 oz. (from 49 ib and 4 oz) and at the end of 65 days it weighed 20 lbs. 12 oz., a loss of about 28 lbs., and it was still losing water when this paper was written; Occasionally lateral roots give rise to new plants some distance from the mother plant. A few which were dug out had no roots of their own. They were dependente ntirely on water and minerals conducted to them by the mother plant</t>
  </si>
  <si>
    <t>Salsola pestifer A. Nels.</t>
  </si>
  <si>
    <t>dune margin</t>
  </si>
  <si>
    <t>occupies much of the soil around the margins of dunes; It is characterized by a long slender tap root with relatively few large secondary roots. The longest tap root on any plant examined was 67 cm;</t>
  </si>
  <si>
    <t>caly / graval</t>
  </si>
  <si>
    <t>shallow sandy areas</t>
  </si>
  <si>
    <t>grows in shallow sandy areas where the ground is quite solidly p acked, often in caliche; The plant has a deep-penetrating tap root. The longest tap root recovered was 114 cm with 32 large laterals of which 3 gave rise to new plants 40 to 60 cm away from the mother plant. The laterals which produced new plants were 10 to 16 cm  beneath the surface in loose sand. At the base of the main plant there were 21 very small white roots from 5 to 8 cm long; sparingly branched tap root...Twenty-sevenc m of the central portion of the tap root had no laterals; very successful dunes plant and typical of most species in this habitat; it would seem to have an inadequate root system for its water needs yet it always does remarkably well.</t>
  </si>
  <si>
    <t>Croton texensis (Klotzsch) Muell.</t>
  </si>
  <si>
    <t>shifting dune sand</t>
  </si>
  <si>
    <t>on dunes</t>
  </si>
  <si>
    <t>sand with hard caliche</t>
  </si>
  <si>
    <t>found rathera bundantly on the shifting dune sands. It develops a long tap root with numerous secondaries. The latter arise fairly uniformly about every 2 cm of tap root length. The longest tap root examined was 32.2 cm with a basal diameter of 3.5 mm.</t>
  </si>
  <si>
    <t>side of 12' tall bank</t>
  </si>
  <si>
    <t>the tallest of the shrubs growing in the dune area.  The root system is characterized by an exceedingly long tap root and comparatively little branching. One plant removed from the side of a 12 foot high bank had a tap root that penetrated all strata listed in the early part of this paper and was still a comparatively large root as it continued on down. At the basal end this tap root was 3.6 cm in diametera nd at the broken distal end, 391 cm (12' 10") down, it was 0.7 cm in diameter. The remainder of the root was not recovered; The gravel layer which was present about 9 feet beneath the surface was somewhat more moist than any of the other layers. In this stratumn umerous secondary roots were produced.</t>
  </si>
  <si>
    <t>sand, graval, hard clay, then course gravel, more gravel</t>
  </si>
  <si>
    <t>The plant has a conspicuous tap root which is very deep-penetrating (Fig. 6). This root was quite fragile and difficult to remove intact. The longest we were able to dig out intact was 154cm; F. acanthicarpai s a common host plant of the parasitic seed plant, broom-rape (Orobanche inultiflora Nutt.). Often a very large broom-rape plant will be attached by but one root to a comparatively small host.</t>
  </si>
  <si>
    <t>loose dune sand</t>
  </si>
  <si>
    <t>a large tap root and several major roots arising from the base of the plant. The tap root on one medium-sized plant examined was 80.4 cm long with a basal diameter of 3.8 mm. There were 16 secondary roots arising from this root, the longest of whichw as 72.5 cm.</t>
  </si>
  <si>
    <t>compact sand-clay</t>
  </si>
  <si>
    <t>Dalea scoparia A. Gray</t>
  </si>
  <si>
    <t>grows freely in the loose sand with its long slender and sparingly-branched roots often extending over 20 feet radially from the base of the plant; The large root that grew vertically had a basal diameter of 23 mm and extended downward to a depth of 152 cm...</t>
  </si>
  <si>
    <t>Opuntia arborescens Engelm</t>
  </si>
  <si>
    <t>commonly found on the margins in the more compact sandy clay soils. It is one of the few plants not characterizedb y a prominent tap root... heavily massed in the upper 18 inches of soil, a few slender roots are occasionally found as much as 3 feet beneath the surface.</t>
  </si>
  <si>
    <t>North-Central Arizona</t>
  </si>
  <si>
    <t xml:space="preserve">bush morning-glory </t>
  </si>
  <si>
    <t xml:space="preserve">prickly Russian thistle </t>
  </si>
  <si>
    <t>solanum elaeagnifolium Cav.</t>
  </si>
  <si>
    <t>Silverleaf nightshade</t>
  </si>
  <si>
    <t xml:space="preserve">Texas croton </t>
  </si>
  <si>
    <t>&gt; 3.92</t>
  </si>
  <si>
    <t>Chrysothaminus nauseosus (Pall.) Britton (now known as Ericameria nauseosa)</t>
  </si>
  <si>
    <t>rubber rabbitbrush, gray rabbitbrush</t>
  </si>
  <si>
    <t>Franseria acanthicarpa ( Hook.) Coville</t>
  </si>
  <si>
    <t>flatspine burr ragweed, annual burrweed, annual bur-sage, western sand-bur</t>
  </si>
  <si>
    <t>Sphaeralcea parviflora A. Nels.</t>
  </si>
  <si>
    <t xml:space="preserve">small-leaf globemallow </t>
  </si>
  <si>
    <t>broom dalea</t>
  </si>
  <si>
    <t>Abrojo, Candelabrum Cactus, Cane Cactus</t>
  </si>
  <si>
    <t>Most of the work was done on the dunes in the vicinity of the Santa Ana and Zia Indian Pueblos. The elevation is about 6000 feet</t>
  </si>
  <si>
    <t>roots penetrated all hard layers</t>
  </si>
  <si>
    <t>Root systems of 13 species were examined from several sites extending along a 10 mile stretch of dunes. At least 4 plants of each species were removed for study. The roots of large plants -were exposed by digging trenches beside them and following out lateral roots near the surface wherever possible. Small plants were removed completely and the entire root system preserved in jars of F.A.A.</t>
  </si>
  <si>
    <t>The dunes extend for about 20 miles along an intermittent stream which carries considerable water in spring from melting mountain snow but during the rest of the year it has very little or no surface water flowing through it. The dune area most intensively studied is about one mile away from the river and is characterized by abundantly shifting sand over a considerable area.</t>
  </si>
  <si>
    <t>Duncan, 1935</t>
  </si>
  <si>
    <t>in abandoned fields</t>
  </si>
  <si>
    <t>limy and sandy clay or mixture</t>
  </si>
  <si>
    <t>case-7, frequent and abundant rain results in shallow roots compared to Weaver's prairie species</t>
  </si>
  <si>
    <t>Rhus copallina L.</t>
  </si>
  <si>
    <t>Rosa setigera Michaux</t>
  </si>
  <si>
    <t>Rubus allegheniensis Porter</t>
  </si>
  <si>
    <t>Populus grandidentata Michaux</t>
  </si>
  <si>
    <t>Sassafras officinale Nees &amp; Ebermaier</t>
  </si>
  <si>
    <t>Smilax rotundifolia L.</t>
  </si>
  <si>
    <t>shining sumac, winged sumac</t>
  </si>
  <si>
    <t>near Bloomingdale, Indiana</t>
  </si>
  <si>
    <t>"growth water is present in the soils nearly all times; all the roots were shallower than the deep-rooted species of the Prarie described by Weaver (32)"</t>
  </si>
  <si>
    <t>rhizomtous shrub</t>
  </si>
  <si>
    <t>propogates largely by long rhizomatous roots; laterals end with dense clusters of fine roots - competes well with grasses; shoots sent up gradually closed the canopy under which grass disappears; older, larger individuals have roots penetrate as deep as 1.42m, but those young invaders of old fields mostly depend on shallow roots.</t>
  </si>
  <si>
    <t>on edge of forests</t>
  </si>
  <si>
    <t>open pastures</t>
  </si>
  <si>
    <t>Climbing prairie rose, Climbing rose, Prairie Rose</t>
  </si>
  <si>
    <t>near the top of a grassy hillside</t>
  </si>
  <si>
    <t>old pastures, in Brown County</t>
  </si>
  <si>
    <t>old pasture on top of a flat hill, Brown County</t>
  </si>
  <si>
    <t>seven lateral roots, extending horizonally to upto 1.35m; numerous secondary laterals took a course downward, with a maximum root depth of 64cm, giving a very shallow root system</t>
  </si>
  <si>
    <t>the 5 laterals are similar to above; the tap root, the deepest of any found, extended to a depth of 1.57m; numerous lateral roots extended horizonally from the tap root.</t>
  </si>
  <si>
    <t>Allegheny blackberry, common blackberry</t>
  </si>
  <si>
    <t>forest edge</t>
  </si>
  <si>
    <t>canes biennial, roots perennial</t>
  </si>
  <si>
    <t>many branching laterals; canes arise from superficial laterals forming the crown, from which fine roots radiate out; the deepest roots penetrate to 1.03m…</t>
  </si>
  <si>
    <t>on top or side of hills</t>
  </si>
  <si>
    <t>hilltop</t>
  </si>
  <si>
    <t>large-tooth or big-tooth aspen, white poplar</t>
  </si>
  <si>
    <t>on top of ridges</t>
  </si>
  <si>
    <t>many root suckers as far as 13.1m away from parent; the vertical roots are rather shallow; near a 6yr old sucker one root was found to penetrate to a depth of 1.2m</t>
  </si>
  <si>
    <t>Sassafras, White Sassafras, Red Sassafras, or Silky Sassafras</t>
  </si>
  <si>
    <t>extensive network of lateral roots with suckers; pernicious week tree</t>
  </si>
  <si>
    <t>Symphoricarpos orbiculatus Moench</t>
  </si>
  <si>
    <t>Coralberry, Indian currant, Buckbrush</t>
  </si>
  <si>
    <t>hilly localities</t>
  </si>
  <si>
    <t>hilly sites</t>
  </si>
  <si>
    <t>stolonous shrub</t>
  </si>
  <si>
    <t>"Weaver and Kramer (32) found that this plant in Nebraska propogage mainly by rhizomes, but here it is by sotlons/runners, no rhizomes"</t>
  </si>
  <si>
    <t>produces numerous stolons or runners which root  at intervals in the course over the surface, branching into a fine network; generally the roots are shallow reaching 33cm; a larger plant had roots to 1.18m</t>
  </si>
  <si>
    <t>large climbing vine</t>
  </si>
  <si>
    <t>common greenbrier</t>
  </si>
  <si>
    <t xml:space="preserve">old pasterures </t>
  </si>
  <si>
    <t>spread by numerous rhizomes which send up shoots in intervals; feeding roots originate from shoot nodes and radiate out in all directions; the roots usually penetrate about a meter in depth but reach as deep as 1.5m</t>
  </si>
  <si>
    <t>non-glciated terrain of southern Indiana</t>
  </si>
  <si>
    <t>drawings</t>
  </si>
  <si>
    <t>coring</t>
  </si>
  <si>
    <t>excavation and cave</t>
  </si>
  <si>
    <t>O-18 and soil pit</t>
  </si>
  <si>
    <t>O-18</t>
  </si>
  <si>
    <t>uranium as tracer</t>
  </si>
  <si>
    <t>coring, and trench</t>
  </si>
  <si>
    <t>soil cores + excavation</t>
  </si>
  <si>
    <t>3D imaging</t>
  </si>
  <si>
    <t>deep sandy (85%) arenosols, &gt; 100m</t>
  </si>
  <si>
    <t>clay rich Vitric Gleysols derived from fluvial sediments</t>
  </si>
  <si>
    <t>Pavlis &amp; Jenik, 2000</t>
  </si>
  <si>
    <t>silt loam /loamy sand in A, clay loam in B, increasing fine portion with depth</t>
  </si>
  <si>
    <t>volcanic ash and tuff</t>
  </si>
  <si>
    <t>frost table</t>
  </si>
  <si>
    <t>shallow, rocky, high OM content, over a hard calcite layer</t>
  </si>
  <si>
    <t>deep, homogeneous reddish loam without stones or pebbles</t>
  </si>
  <si>
    <t>depth to bedrock estimated from the depth to C horizon (Table-6) + 6", the latter is saprolites with rock fragments</t>
  </si>
  <si>
    <t>stratas of coarse and medium sands, to strata with highb organic material and silt</t>
  </si>
  <si>
    <t>Sogn stony loam</t>
  </si>
  <si>
    <t>perennial legume</t>
  </si>
  <si>
    <t>saxaul</t>
  </si>
  <si>
    <t xml:space="preserve"> Esfand, wild rue, Syrian rue, African rue, harmel, or aspand</t>
  </si>
  <si>
    <t>1.0-3.0</t>
  </si>
  <si>
    <t>Pinus echinata Mill.</t>
  </si>
  <si>
    <t>Quercus chrysolepis</t>
  </si>
  <si>
    <t>Quercus fusiformis</t>
  </si>
  <si>
    <t>Quercus sinuata</t>
  </si>
  <si>
    <t>Phenology / Leaf Form</t>
  </si>
  <si>
    <t>Growth Form / Stature</t>
  </si>
  <si>
    <t>Species Name</t>
  </si>
  <si>
    <t>Observation Site</t>
  </si>
  <si>
    <t>Profile Data?</t>
  </si>
  <si>
    <t>Annual Ppt (mm)</t>
  </si>
  <si>
    <t>soil cores/pits</t>
  </si>
  <si>
    <t>photos</t>
  </si>
  <si>
    <t>H isotope, excavation</t>
  </si>
  <si>
    <t>some photos</t>
  </si>
  <si>
    <t>yes, + drawings</t>
  </si>
  <si>
    <t>excavation + coring</t>
  </si>
  <si>
    <t>yes + photos</t>
  </si>
  <si>
    <t>soil samples</t>
  </si>
  <si>
    <t>unclear</t>
  </si>
  <si>
    <t>rhizobia profile</t>
  </si>
  <si>
    <t>root count on quarry wall</t>
  </si>
  <si>
    <t>soil sample</t>
  </si>
  <si>
    <t>soil pit to 0.6m</t>
  </si>
  <si>
    <t>soil pits to 10m</t>
  </si>
  <si>
    <t>Follett et al., 1974</t>
  </si>
  <si>
    <t>Org C profile</t>
  </si>
  <si>
    <t>not clear</t>
  </si>
  <si>
    <t>trench wall + soil sample</t>
  </si>
  <si>
    <t>photo + drawings</t>
  </si>
  <si>
    <t>excavation + soil samples</t>
  </si>
  <si>
    <t>lithium chloride tracer</t>
  </si>
  <si>
    <t>road cut</t>
  </si>
  <si>
    <t>drawings + photos</t>
  </si>
  <si>
    <t>drawings + photo</t>
  </si>
  <si>
    <t>cave exposure + O18 + DNA</t>
  </si>
  <si>
    <t>30 - 78.6</t>
  </si>
  <si>
    <t>68 - 141</t>
  </si>
  <si>
    <t>deep well bores</t>
  </si>
  <si>
    <t>ingrowth + sequential cores</t>
  </si>
  <si>
    <t>deep soil shaft</t>
  </si>
  <si>
    <t>O and H isotopes</t>
  </si>
  <si>
    <t>naural uranium in leaf as tracer</t>
  </si>
  <si>
    <t>excavation for shallow roots, soil sampling for deep roots</t>
  </si>
  <si>
    <t>yes to 0.5m</t>
  </si>
  <si>
    <t>soil sampling</t>
  </si>
  <si>
    <t>trench wall + soil cores</t>
  </si>
  <si>
    <t>yes + drawings</t>
  </si>
  <si>
    <t>peat block sampling</t>
  </si>
  <si>
    <t>sclerophyuous scrub-heath (kwongan)</t>
  </si>
  <si>
    <t>minirhizotron</t>
  </si>
  <si>
    <t>root obs chamber + soil cores</t>
  </si>
  <si>
    <t>swamp, with shallow saline GW</t>
  </si>
  <si>
    <t>soil corning</t>
  </si>
  <si>
    <t>fitted curve</t>
  </si>
  <si>
    <t>yes to 0.8m</t>
  </si>
  <si>
    <t>Nicoll &amp; Ray, 1996</t>
  </si>
  <si>
    <t>elec. Resis. tomography, soil moisture change profile, depth of zero-change in growing season indicates max depth of water uptake</t>
  </si>
  <si>
    <t>soil water uptake profile</t>
  </si>
  <si>
    <t>diurnal well level + O18</t>
  </si>
  <si>
    <t>Haase et al., 1996</t>
  </si>
  <si>
    <t>soil coring + deep shaft sample</t>
  </si>
  <si>
    <t>Soil excavation not conducted. Lithium (Li) is released at bottom of drill holes besides trees, and its content minitored in twiggs and leaves. Trees are 1.3 to 8.1m away from the drill holes, but mosly within 5m. Tracor is taken up in one day in all trees except for one (T13) where injection was at 70m deep (sharp rise in day-3). The depth of tracer release (top of 3m-long perferated casing) is taken as rooting depth (at least that deep). It could also be upward capillary rise that brought the deep tracers to the shallower roots. In any event, these depths indicate that exploited by the roots, if indirectly.</t>
  </si>
  <si>
    <t>English oak</t>
  </si>
  <si>
    <t>open-pit mine exposure</t>
  </si>
  <si>
    <t>yes + drawings + photos</t>
  </si>
  <si>
    <t>soil/rock pits + O18/D</t>
  </si>
  <si>
    <t>no, some photos</t>
  </si>
  <si>
    <t>hand-dug well</t>
  </si>
  <si>
    <t>photo</t>
  </si>
  <si>
    <t>peat coring</t>
  </si>
  <si>
    <t>excavation by pulling</t>
  </si>
  <si>
    <t>deep wells (shafts)</t>
  </si>
  <si>
    <t>excavation + GPR</t>
  </si>
  <si>
    <t>rooting depth inferred from soil depth dried to wilting point; location on upper slope in a long crop field with lines of trees</t>
  </si>
  <si>
    <t>soil drying inferred</t>
  </si>
  <si>
    <t>river-cut banks</t>
  </si>
  <si>
    <t>soil/rock sampling + O18/D</t>
  </si>
  <si>
    <t>excavation + core + pit</t>
  </si>
  <si>
    <t>trench wall + cores</t>
  </si>
  <si>
    <t>excavation + rhizotron installation</t>
  </si>
  <si>
    <t>trench + cores</t>
  </si>
  <si>
    <t>in-growth tubes</t>
  </si>
  <si>
    <t>soil sample + O18</t>
  </si>
  <si>
    <t>soil pit + samples</t>
  </si>
  <si>
    <t>Riestenberg, 1994</t>
  </si>
  <si>
    <t>near Cincinnati, Ohio</t>
  </si>
  <si>
    <t>Delhi Site</t>
  </si>
  <si>
    <t>Spring Grove Site</t>
  </si>
  <si>
    <t>juniper</t>
  </si>
  <si>
    <t>&gt; 2.0</t>
  </si>
  <si>
    <t>from Fig 18</t>
  </si>
  <si>
    <t>&gt; 1.1</t>
  </si>
  <si>
    <t>limeston and shale</t>
  </si>
  <si>
    <t>on a 8-degree slope</t>
  </si>
  <si>
    <t>on 30-degree slope</t>
  </si>
  <si>
    <t>excavation + trench wall</t>
  </si>
  <si>
    <t>From Fig 11</t>
  </si>
  <si>
    <t>Delhi Site, Sugar maple-1</t>
  </si>
  <si>
    <t>Spring Grove Site, Sugar Maple-2</t>
  </si>
  <si>
    <t>Few roots larger than 1 cm in diameter extend through soil 2 m below the ground surface (fig. 18).</t>
  </si>
  <si>
    <t>Acer saccharum M.</t>
  </si>
  <si>
    <t>Fraxinus americana L.</t>
  </si>
  <si>
    <t>Juniperus sp.</t>
  </si>
  <si>
    <t>silty-clay colluvium</t>
  </si>
  <si>
    <t>from Fig 12 and author notes</t>
  </si>
  <si>
    <t>has a similar shallow rooting habit, even though it grew in deeper colluvium than sugar maple 1 and was not obstructed by bedrock;  The root (cross-sectional) areas of the sugar maples approach zero at a depth of 60 cm</t>
  </si>
  <si>
    <t>The branches extend to a depth of 1 m below the ground surface and then reorient horizontally; The taproot has the form of a cone, rather than the cylindrical shape of the laterals. Its branches also taper strongly as they project nearly vertically into the colluvium; The dominant vertical taproot is typical of ash trees; The root (cross-esection) areas of the sugar maples approach zero at a depth of 60 cm, but the tap root of the ash projects to a depth of 110 cm.</t>
  </si>
  <si>
    <t>from Fig 13 and auther notes</t>
  </si>
  <si>
    <t>Niiyama et al., 2010</t>
  </si>
  <si>
    <t>Malay Peninsula</t>
  </si>
  <si>
    <t>Sindora coriacea</t>
  </si>
  <si>
    <t>west-facing slope</t>
  </si>
  <si>
    <t>The maximum depth of tap roots was about 4 m, which was recorded for the second-largest individual, Sindora coriacea (Figure 2b). This site is a primary lowland dipterocarp forest immediately after selective logging at Compartment 47 in the Pasoh Forest Reserve, Negeri Sembilan, Peninsular Malaysia.</t>
  </si>
  <si>
    <t>Ultisol</t>
  </si>
  <si>
    <t>MacDougal, 1937</t>
  </si>
  <si>
    <t xml:space="preserve"> Sequoia National Park, CA</t>
  </si>
  <si>
    <t>Crescent Meadow</t>
  </si>
  <si>
    <t>Sequoia
gigante</t>
  </si>
  <si>
    <t>giant sequoia, giant redwood</t>
  </si>
  <si>
    <t>upturned root plate</t>
  </si>
  <si>
    <t>on the edge of Crescent Meadow bog</t>
  </si>
  <si>
    <t>High water level in the bog with accompanying softening of the soil was an additional factor in the overthrow of the tree; The upturned disk of soil held by the roots was about 30 ft. across with a thickness of less than 2 yds.; disk. No roots had penetrated the bottom of the pit. No evidence is available, however, to show that the roots of the redwoods ever penetrate deeply.</t>
  </si>
  <si>
    <t>Jaramello et al., 2003</t>
  </si>
  <si>
    <t>soil pits and coring</t>
  </si>
  <si>
    <t>&gt; 4000</t>
  </si>
  <si>
    <t>Primary Forests (3 sites)</t>
  </si>
  <si>
    <t>Secondary Forests (8, 20, 30yr)</t>
  </si>
  <si>
    <t>Pastures (12, 20, 28yr)</t>
  </si>
  <si>
    <t>recovering forest after clear cutting</t>
  </si>
  <si>
    <t>pasture after clear cutting</t>
  </si>
  <si>
    <t>extrapolated below 1m by plotting the mean distribution in Table-4; the plot locations are not given so the mean of 3 plots are used to represesnt rooting depth at 3 sites found on GoogleEarth matching the landuse type</t>
  </si>
  <si>
    <t>undisturbed</t>
  </si>
  <si>
    <t>conducted in the Los Tuxtlas Region in the state of Veracruz, Mexico, within the Estaci6n de Biologia Tropical Los Tuxtlas of the Universidad Nacional Aut6noma de M6xico</t>
  </si>
  <si>
    <t>Tuxtlas, SE Mexico</t>
  </si>
  <si>
    <t>Mar-May &lt; 150mm/mon</t>
  </si>
  <si>
    <t>Nectandra ambigens, Pseudolmedia oxyphyllaria, Poulsenia armata, Brosimum alicastrum; Astrocaryum mexicanum; Chamaedorea spp</t>
  </si>
  <si>
    <t>Paspalum conjugatum, Axonopus compressus, Panicum spp, Cynodon plectostachyus, Panicum maximum</t>
  </si>
  <si>
    <t>Panicum maximum, Heliocarpus appendiculatus, Lonchocalpus unifoliolatus, Ficus spp.</t>
  </si>
  <si>
    <t>well-drained, coarse-textured</t>
  </si>
  <si>
    <t>In three microplots in pasture, we only sampled to a depth of 80 cm because of the rocky substrate.</t>
  </si>
  <si>
    <t>All root size classes were present throughout the profile but some of them drastically diminished in abundance below 40-cm depth.</t>
  </si>
  <si>
    <t>secondary growth tropical rainforest</t>
  </si>
  <si>
    <t>secondary growth after logging</t>
  </si>
  <si>
    <t>Cuevas et al., 1991</t>
  </si>
  <si>
    <t>Puerto Rico</t>
  </si>
  <si>
    <t>Pine Plantation Site</t>
  </si>
  <si>
    <t>Secondary Forest Site</t>
  </si>
  <si>
    <t>plantation after crops</t>
  </si>
  <si>
    <t>secondary forest after crops</t>
  </si>
  <si>
    <t>48% clay, 31% silt, 21% sand</t>
  </si>
  <si>
    <t>33% clay, 41% silt, 26% sand</t>
  </si>
  <si>
    <t>coring + in-growth cylinders</t>
  </si>
  <si>
    <t>Tabebuia heterophylla (50%), Psidium guajava, Miconia prasina, and Casearia sylvestris (30%)</t>
  </si>
  <si>
    <t>Pinus caribaea (88%), Casearia sylvestris, Didymopanax morototoni (7%)</t>
  </si>
  <si>
    <t>values for the secondary forest were similar to those reported by Klinge and Herrera (1978) for Amazon caatinga forests in southern Venezuela.</t>
  </si>
  <si>
    <t>max depth extrapolated from live fine root biomass in Fig 7</t>
  </si>
  <si>
    <t>In both forests the majority of fine roots were in the top 10 cm of soil. Secondary forests has much greater root biomass</t>
  </si>
  <si>
    <t>no dry season</t>
  </si>
  <si>
    <t>gental (5%) SW facing slope</t>
  </si>
  <si>
    <t>Lawson et al., 1970</t>
  </si>
  <si>
    <t>S Ghana, near Kade, Agr Res C of U. Ghana</t>
  </si>
  <si>
    <t>moist semi-desiduous forest</t>
  </si>
  <si>
    <t>upper slope-Bekwai series</t>
  </si>
  <si>
    <t>middle slope-
Nzima series</t>
  </si>
  <si>
    <t>lower slope alluvium, Temang series</t>
  </si>
  <si>
    <t>2 dry season (Jan, Aug)</t>
  </si>
  <si>
    <t>soil monoliths to 0.5m</t>
  </si>
  <si>
    <t>phyllite (fine-grained metamorphic, between slate and schist)</t>
  </si>
  <si>
    <t>humus-10cm, well-drained silty clay; clay, iron concretion, gravel, stone deeper</t>
  </si>
  <si>
    <t>humus-10cm, well-drained silty clay; silt, iron concretion, gravel, stone deeper</t>
  </si>
  <si>
    <t>humus-10cm, poorly-drained sandy loam, loamy sand, mottling deeper</t>
  </si>
  <si>
    <t>WTD inferred from mottled soils and author's mentioning of shallow water table</t>
  </si>
  <si>
    <t>The three sites showed marked differences in the total quantity of roots and also showed variation in the size class distribution of the roots particularly in the surface layers (see Fig. 14). The largest quantity occurs in the middle slope, less in the upper slope and least in the bottom slope. In the upper and middle slopes at least 80-85% of the root mass occurs in the 0-10 cm zone</t>
  </si>
  <si>
    <t>some timber extraction</t>
  </si>
  <si>
    <t>potery evidence of earlier settlement</t>
  </si>
  <si>
    <t>A grey sandy light clay or loamy soil developed in local alluvium; often under standing water or with high water table; roots in the bottom slope are about 50% in the 0-10 cm layer; proponderance of swamp species</t>
  </si>
  <si>
    <t>Celtis mildbraedii, Antiaris welwitschii, Nesogordoniap apaverifera…</t>
  </si>
  <si>
    <t>Piptadeniastrumaf ricanum, Celtis mildbraedii, Triplochitonsc leroxylon</t>
  </si>
  <si>
    <t>semi-evergreen broad-leaf</t>
  </si>
  <si>
    <t>From Fig 14. Roots are deeper than show; assumed to end in the next 10cm for site 1 and 3, and next 20cm for site 2; dominant species from Table-6 and listing of swamp forests in Discussion for site 3</t>
  </si>
  <si>
    <t>Carapa procera, Ancistrophyllum and Calamu, Triplochitonsc leroxylon, Ricinodendronh eudelotii, Terminali superba</t>
  </si>
  <si>
    <t>Mensah &amp; Jenik, 1968</t>
  </si>
  <si>
    <t>A well developed tap-root was present in all mature trees excavate at both research sites; A mighty tap-root remained; We could not follow the full depth of its penetration however, but it is probable that this depth far exceeds 2 metres; At an average depth range of about 50 to 100 cm these sinkers branch into broom-shaped structures which may be a logical response to the unfavourable soil texture (lateritic gravel)  and bad aearation
aeration.</t>
  </si>
  <si>
    <t>S Ghana</t>
  </si>
  <si>
    <t>Esukawkaw Forest Reserve</t>
  </si>
  <si>
    <t>U of Ghana Agricultural Research Station in Kade</t>
  </si>
  <si>
    <t>tropical semi-deceduous forest</t>
  </si>
  <si>
    <t>Ohlorophora excelsa</t>
  </si>
  <si>
    <t>Iroko</t>
  </si>
  <si>
    <t>depth inferred from the profile (Fig 4) and statemnet that sinker roots at 0.5-1m branck into broom-shaped clusters.</t>
  </si>
  <si>
    <t>The deeper root at site-1 near Kade is chosen; depth inferred from Fig 2C and Fig 5 profile, and the statement that it goes far deeper than 2m</t>
  </si>
  <si>
    <t>Castellanos et al., 1991</t>
  </si>
  <si>
    <t>Estacion de Biologia Chamela</t>
  </si>
  <si>
    <t>tropical deciduous dry forest</t>
  </si>
  <si>
    <t>W coast Mexico, near Jalisco</t>
  </si>
  <si>
    <t>dry seaon Nov-Jun</t>
  </si>
  <si>
    <t>0.5-1</t>
  </si>
  <si>
    <t>sandy loam, low O</t>
  </si>
  <si>
    <t>Bursera excelsa, Caesalpinia eriostachys, Jatropha stanleyi</t>
  </si>
  <si>
    <t>30% SW-facing slope</t>
  </si>
  <si>
    <t>trench excavation for coarse + coring for fine</t>
  </si>
  <si>
    <t>The soil consists of a 50-100 cm deep sandy loam with low organic matter content (1-5%). Excavation proceeded to a depth of 60-80 em where a hardpan layer inhibited further downward root penetration and, at the same time, deeper excavation</t>
  </si>
  <si>
    <t>site chosen on SW-facing slope near road at the institute; max root depth from plotting profile data in Table-2, extrapolating down, and the author note of sandy-loam to 0.5-1m depth</t>
  </si>
  <si>
    <t>Prince Edward Island, Canada</t>
  </si>
  <si>
    <t>drained and aforested</t>
  </si>
  <si>
    <t>Putz &amp; Holbrook, 1989</t>
  </si>
  <si>
    <t>N Venezuela</t>
  </si>
  <si>
    <t>seasonally flooded savanna</t>
  </si>
  <si>
    <t>strangler fig</t>
  </si>
  <si>
    <t>Ficus pertusa, Ficus trigonata</t>
  </si>
  <si>
    <t>During the 6 month dry season soil cracks commonly penetrate to a depth of 50 cm and more. The level of the water table fluctuates seasonally but never drops below 1. 5- 2.5 m (Troth, 1979). Roots that penetrate the extremely dense soil down to the water table are seasonally exposed to anaerobic conditions but have access to water all year long. Trenches dug beside two Ficus pertusa trees revealed several roots at a depth of 1.8-2.0 m, the maximum depth of the excavations.</t>
  </si>
  <si>
    <t>&gt;2</t>
  </si>
  <si>
    <t>seasonally flooded, poorly drained</t>
  </si>
  <si>
    <t>poorly drained mixture of clay and sand</t>
  </si>
  <si>
    <t>1.5 - 2.5</t>
  </si>
  <si>
    <t>mostly in wet season (May-Oct)</t>
  </si>
  <si>
    <t>Fenner, 1980</t>
  </si>
  <si>
    <t>W of Tsavo Natl Park, S Kenya</t>
  </si>
  <si>
    <t>thorn bushland</t>
  </si>
  <si>
    <t>drought-deciduous broad-leaf</t>
  </si>
  <si>
    <t>deciduous broad-leaf, evergreen needle-leaf</t>
  </si>
  <si>
    <t>evergreen broad-leaf, but here flood-deciduous</t>
  </si>
  <si>
    <t>root distribution and periodicity of root activities of this evergreen resemble those of the three deciduous trees above; deep roots alone are active in hot/dry season; make use of cavities (termites, decaying roots); gradual shift of root activities from surface to deep layers observed after the rains;</t>
  </si>
  <si>
    <t>mixed deciduous/evergreen</t>
  </si>
  <si>
    <t>semi deciduous broad-leaf</t>
  </si>
  <si>
    <t>Baobab</t>
  </si>
  <si>
    <t>Adansonia digitata</t>
  </si>
  <si>
    <t>gully bank exposure</t>
  </si>
  <si>
    <t>no or little rain May-Oct</t>
  </si>
  <si>
    <t>near bottom of plain toward a river to NE</t>
  </si>
  <si>
    <t>These calculations give the following dimensions: height of tree 32.0 m; length of root 43.9 m; depth of root at termination 1.8 m; area covered by roots 0.6 hectares... Such an extensive shallow root system is probably the best adapted to exploiting the low annual rainfall, most of which falls in the form of infrequent heavy downpours... Daily shrinkage of the trunks was measured, giving an estimate of c. 400 litres daily water deficit when the trees are in leaf. Seasonal shrinkage indicates a loss of up to 1500 litres of water during dry periods.</t>
  </si>
  <si>
    <t>a study demonstrating the amazing storage capacity of Baobad; like cacti, plants with large storage have shallow and extradinarilly extensive lateral roots</t>
  </si>
  <si>
    <t>Natural site has roots &gt;10m deep, site with 50% through-fall stop at 5m; roots penetrated hardpan - rather smooth exponential decrease seen.</t>
  </si>
  <si>
    <t>Becker et al., 1999</t>
  </si>
  <si>
    <t>Tropical rainfores</t>
  </si>
  <si>
    <t>Brunei, Andulau Forest Reserve</t>
  </si>
  <si>
    <t>well-drained (but 60m elevation indicates lower slopes)</t>
  </si>
  <si>
    <t>Anisophyllea disticha</t>
  </si>
  <si>
    <t>Tarenna sp.</t>
  </si>
  <si>
    <t>Eurycoma longifolia</t>
  </si>
  <si>
    <t>Antidesma cf. leucopodum</t>
  </si>
  <si>
    <t>Ixora sp.</t>
  </si>
  <si>
    <t>&gt; 3000</t>
  </si>
  <si>
    <t>Rooting depth and the proportion of root surface area in the upper 20 cm of soil did not differ significantly between life-forms because some treelets/shrubs at Andulau were deep-rooted; all saplings studied were deep-rooted. We attribute this strong difference to the lower soil content of available nutrients at Andulau where rainfall shortage is less severe and regular than at Gigante (BCI, Panama, from an earlier study)</t>
  </si>
  <si>
    <t>An earlier study (Becker amd Castello, 1990) reported that even saplings of trees have deeper roots than mature shrubs. This study compared to that, and found there is no difference between samplings and shrubs rooting depth. The difference is that here there is more rain, shorter dry season, but the nutrient is poor, so that shrubs/treelets have equally deep roots to catch nutrients.</t>
  </si>
  <si>
    <t>Turner, 1936</t>
  </si>
  <si>
    <t>Arkansas, US</t>
  </si>
  <si>
    <t>Caddo silt-loam site, Ashley County</t>
  </si>
  <si>
    <t>Henceville fine sandy-loam site, Howard Country</t>
  </si>
  <si>
    <t>Sesquehana  fine sandy-loam site, Columbia County</t>
  </si>
  <si>
    <t>Pinus echinata Miller</t>
  </si>
  <si>
    <t>southern short-leaf pine</t>
  </si>
  <si>
    <t>fine sandy-loam</t>
  </si>
  <si>
    <t>Hanceville fine sandy loam is a soil of the Ouachita mountain r egion;</t>
  </si>
  <si>
    <t>Caddo silt loam is " flatwood"s type of soil of the lower coastal plain region; This soil is presumably loessial and recent in origin, poorly drained and its immaturity evidenced by absence of strong stratification; Caddo silt loam had more smaller roots in the two lower levels (18-36" ) than the other soils. The relatively larger percentage of cross-sectional  area of roots (96.7) in the two upper levels (0-18 in.) in the Caddo silt loam profile is doubtless associatedw ith the fact of poorer drainage and resulting poorer aeration of the lower levels (18-36 in.) of this soil. A shallow root system in this soil type would be expected.</t>
  </si>
  <si>
    <t>slope 9%</t>
  </si>
  <si>
    <t>slope 25%</t>
  </si>
  <si>
    <t>poorly drained, slope 1%</t>
  </si>
  <si>
    <t>Susquehanna fine sandy loam is a soil of the upper coastal plain region of the state</t>
  </si>
  <si>
    <t>county of sites found in Tab-1 ofTurner 1936a; Site location selected on Google Earth to be in the right county and land slope, and in evergreen forests; rooting depth extrapolated by plotting all root counts profiles (Tab-1)</t>
  </si>
  <si>
    <t>Central Amazon, near Tefe, Brazil</t>
  </si>
  <si>
    <t>Tropical floodplain forest</t>
  </si>
  <si>
    <t>Buchenavia and Symmeria spp.</t>
  </si>
  <si>
    <t>fallen</t>
  </si>
  <si>
    <t>In fallen individuals of Buchenavia and Symmeria,  we observed that primary and specialized roots hardly reached depths of more than 1 m below the ground surface. The production of deeper roots may be strongly inhibited under such unfavorable aeration conditions</t>
  </si>
  <si>
    <t>no strong dry season</t>
  </si>
  <si>
    <t>Lower Varzea site (I, II)</t>
  </si>
  <si>
    <t>This study focuses on above-ground roots, so little info given for below-ground, except 2 mentions, of which one is recorded here, the other being on active sedimentation site so roots can be 6m deep in keeping with sedimentation, with layered roots, which is not recorded here due to unstable conditions.</t>
  </si>
  <si>
    <t>sandy clay (clay 55-88%)</t>
  </si>
  <si>
    <t>lower Varzea, bank of Japura, 2/3 of yr flooded</t>
  </si>
  <si>
    <t>Westman &amp; Rogers, 1977</t>
  </si>
  <si>
    <t>Wittmann &amp; Parolin, 2005</t>
  </si>
  <si>
    <t>Weaver &amp; Cramer, 1932</t>
  </si>
  <si>
    <t>Daubenmire, 1941</t>
  </si>
  <si>
    <t>Medicine Bowel Range, Wyoming</t>
  </si>
  <si>
    <t>alpine tundra</t>
  </si>
  <si>
    <t>Polygonum viviparum Linn</t>
  </si>
  <si>
    <t>stony scree</t>
  </si>
  <si>
    <t>Lewisia has a thick fleshy tap root in whicha great quantity of starch is stored; In addition, considerable parenchyma occurred in the xylem; Rootlets possess an abundance of root hairs; no mycorhizae were observed.</t>
  </si>
  <si>
    <t>Silene acaulis Linn</t>
  </si>
  <si>
    <t>Arenaria sajanensis Willd</t>
  </si>
  <si>
    <t>Arenaria aequicaulis A. Nels.</t>
  </si>
  <si>
    <t>Many lateral branches originate from a crown about two centimeters below the ground line, and in age the plant is represented by a tuft of these branches closely crowded together. A few centimeters below the crown the tap root characteristically divides into a multitudeo f very fine rootlets. All rootlets examined bore root hairs; mycorhizae were lacking.</t>
  </si>
  <si>
    <t>scree slope, on eastern side of the range, at the tree line</t>
  </si>
  <si>
    <t>Paronychia pulvinata A. Gray</t>
  </si>
  <si>
    <t>The root system of this plant is very extensive but otherwise lacks distinctive character; Neither mycorhizane or root hairs were observed.</t>
  </si>
  <si>
    <t>Draba oligosperma Hook.</t>
  </si>
  <si>
    <t>The primary root and each of the few laterals produces a system of intricately branched, exceedingly fine rootlet</t>
  </si>
  <si>
    <t>Sedum stenopetalum Pursh</t>
  </si>
  <si>
    <t>The principal branches of this succulent-leaved species are decumbent, and in mature plants form an open, lax cushion. The main roots are long, relatively unbranched; Neither mycorhizae nor root hairs were observed in the prepared sections.</t>
  </si>
  <si>
    <t>A great many blackish, firm-textured roots which radiate symmetrically outward and downward arise from the base of a very short upright stem. The old roots are brittle and appear to be shortlived.</t>
  </si>
  <si>
    <t>Meinzer, 1927</t>
  </si>
  <si>
    <t>pickleweed</t>
  </si>
  <si>
    <t>Tooele Valley, Utah</t>
  </si>
  <si>
    <t>on low hummocks on the salt flats</t>
  </si>
  <si>
    <t>large tap root; usually preferring a slightly better drained and less saline soil</t>
  </si>
  <si>
    <t>arid valleys of the US SW</t>
  </si>
  <si>
    <t>margin of Great Salt Lake</t>
  </si>
  <si>
    <t>Allenrolfea occidentalis</t>
  </si>
  <si>
    <t>succulent alkali-resistant</t>
  </si>
  <si>
    <t>Saroobatm vermdoulatus</t>
  </si>
  <si>
    <t>succulent, deciduous</t>
  </si>
  <si>
    <t>big greasewood</t>
  </si>
  <si>
    <t>practically certain that greasewood habitually sends its well-developed taproot to considerable depths to reach the water table or the overlying capillary fringe, and that it is a true ground-water plant not only where the water table is very near the surface but also in its favorite position surrounding a shallow-water track</t>
  </si>
  <si>
    <t>location constrained by plate-I of Kearney et al. (1914) where the original data is obtained</t>
  </si>
  <si>
    <t>furhter back from the lake, above the salt falt</t>
  </si>
  <si>
    <t>Escalante Valley, Utah</t>
  </si>
  <si>
    <t>alfafa</t>
  </si>
  <si>
    <t>using EarthPoint Township KMZ on GoogleEarth</t>
  </si>
  <si>
    <t>Hendrickson alfafa farm</t>
  </si>
  <si>
    <t>Medicago sativa</t>
  </si>
  <si>
    <t xml:space="preserve">perennial forage legume </t>
  </si>
  <si>
    <t>forb</t>
  </si>
  <si>
    <t>valley edge at base of mountains</t>
  </si>
  <si>
    <t>1.92 - 2.80</t>
  </si>
  <si>
    <t xml:space="preserve">in the NE. % sec. 36, T. 28 S., R. 11 W.; The capillary fringe is 3.5 feet or a little more in thickness; During a part of the growing season a considerable portion of the root system is below the water table. In the spring and early part of the summer, when the water table
is at depths less than 8.5 feet, the growth of alfalfa plants in the immediate vicinity of the excavation is rapid and vigorous. </t>
  </si>
  <si>
    <t>alpine bistort</t>
  </si>
  <si>
    <t>Lewisia pygmaea (A. Gray) Robbins</t>
  </si>
  <si>
    <t>alpine lewisia, pygmy bitterroot</t>
  </si>
  <si>
    <t>moss campion, cushion pink</t>
  </si>
  <si>
    <t>wormleaf stonecrop</t>
  </si>
  <si>
    <t>Saxifragra romboidea</t>
  </si>
  <si>
    <t>Potentilla diversifolia</t>
  </si>
  <si>
    <t>Potentilla pinnatisecta</t>
  </si>
  <si>
    <t>Sieversia turbinata</t>
  </si>
  <si>
    <t>Trifolium parryi</t>
  </si>
  <si>
    <t>Trifolium dasyphyllum</t>
  </si>
  <si>
    <t>Androsace subumbellata</t>
  </si>
  <si>
    <t>Phlox caespitosa</t>
  </si>
  <si>
    <t>Polemonium confertum</t>
  </si>
  <si>
    <t>Eritrichium argenteum</t>
  </si>
  <si>
    <t>Erigeron compositus</t>
  </si>
  <si>
    <t>Erigeron pinnastisectus</t>
  </si>
  <si>
    <t>Rydbergia grandiflora</t>
  </si>
  <si>
    <t>Erigeron ursinus</t>
  </si>
  <si>
    <t>Achillea subalpina</t>
  </si>
  <si>
    <t>Atremisia scopulorum</t>
  </si>
  <si>
    <t>mountain meadow cinquefoil</t>
  </si>
  <si>
    <t>moist meadow</t>
  </si>
  <si>
    <t>Parry Clover</t>
  </si>
  <si>
    <t>legume forb</t>
  </si>
  <si>
    <t>Shaggy Leaf Trifolium</t>
  </si>
  <si>
    <t xml:space="preserve">pygmyflower, rockjasmine </t>
  </si>
  <si>
    <t>tufted phlox</t>
  </si>
  <si>
    <t>forb, matt forming</t>
  </si>
  <si>
    <t>Rocky Mountain Jacob's-ladder</t>
  </si>
  <si>
    <t>scree slopes and talus</t>
  </si>
  <si>
    <t xml:space="preserve">arctic alpine, forget-me-not </t>
  </si>
  <si>
    <t>dwarf mountain fleabane, cutleaf daisy</t>
  </si>
  <si>
    <t xml:space="preserve">featherleaf fleabane </t>
  </si>
  <si>
    <t>Old Man of the Mountain</t>
  </si>
  <si>
    <t>Bear River fleabane</t>
  </si>
  <si>
    <t>sunny open woodland</t>
  </si>
  <si>
    <t>forb, rhizomous</t>
  </si>
  <si>
    <t>Common yarrow</t>
  </si>
  <si>
    <t xml:space="preserve">alpine sagebrush </t>
  </si>
  <si>
    <t>leaf-succulent, storage roots</t>
  </si>
  <si>
    <t>This plant possesses a deeply imbedded, short rhizomea bout 7 mm. in diamete; Many fine wiry roots of rather uniform diameter grow out from all over the surface of the rhizome; These maina dventitious  roots bear many laterals which are short and exceedingly fine; the larger roots have a very thick cortex and possess root hairs; they are without a distinct root  ap and lack mycorhizal fungi</t>
  </si>
  <si>
    <t>likes moist sites</t>
  </si>
  <si>
    <t>leaf-succulent and evergreen</t>
  </si>
  <si>
    <t>It grows mainly in dry, gravelly localities, but also in damper places. With the cushions it produces its own, warmer climate with higher temperatures inside, when the sun shines</t>
  </si>
  <si>
    <t>spring sandwort</t>
  </si>
  <si>
    <t xml:space="preserve"> synonym of Minuartia verna (L.) Hiern. grow in otherwise inhospitable conditions such as on rocky ledges and in stony soil</t>
  </si>
  <si>
    <t>From the crown of a young plant prostrate branches arise which fork repeatedly, and all become erect at the tips, forming a compact, moss-like mat; The roots are generally restricted to the upper two decimeters of the soil. All rootlets examined bore root hairs;
mycorhizae were lacking</t>
  </si>
  <si>
    <t>rhizomatous roots; Typical habitats include moist short grassland, yards, the edges of tracks and nutrient-rich fens</t>
  </si>
  <si>
    <t>This mat plant is one of the most abundant "alpines" in the central Rockies. From the main axis of the seedling there is produced a series of nearly horizontal branches at a depth of one to two centimeters. Each of these turns upward at its tip and branches profusely to form a densely caespitose shoot mass which fits tightly against the primary mat. In this way there is formed adense, uniform mat often exceeding two decimeters in diameter, and appearing strikingly similar to a patch of moss; The root tips possess root hairs; no
mycorhizae were found</t>
  </si>
  <si>
    <t xml:space="preserve">Rocky Mountain nailwort </t>
  </si>
  <si>
    <t>scree slope</t>
  </si>
  <si>
    <t>Widespread on rocky ridges and montane slopes, often down to the foothills and valleys, in w. and c. parts of MT</t>
  </si>
  <si>
    <t>Few-seeded Draba</t>
  </si>
  <si>
    <t xml:space="preserve"> It can be found in many types of rocky habitat, such as cliffs, talus, and steep ridges. It is a succulent plant producing mats</t>
  </si>
  <si>
    <t xml:space="preserve">diamondleaf saxifrage </t>
  </si>
  <si>
    <t>Moist places in sagebrush-covered slopes to subalpine 
 meadows, in w. and c. parts of MT</t>
  </si>
  <si>
    <t>Several shoots may arise from buds at the base of the crown which is about one to two centimeterbse low the groundl ine. Each of these branches develops an adventitious tap root, which, however, never attains the length of the primary tap root. Most of the absorption is probably accomplished by the profusion of laterals in the upper two decimeters of soil. In one large specimen the tap root divided at a depth of six centimeters into seven branches of about equal size.</t>
  </si>
  <si>
    <t>The strong tap root of this species usually gives rise to two or more laterals at a depth of less than a decimeter. These branch roots diverge stronglyt o give the plant an extensive and generalizedr oot system. Old roots have a high proportion of parenchymatous tissue.</t>
  </si>
  <si>
    <t>A closely crowded row of adventitious roots arises from each of these oblique underground stems, so that each of the latter develops a more or less independent root system; The main roots characteristically penetrate ob1ique1y downward; They possess few laterals until within a decimeter or two of the ends.</t>
  </si>
  <si>
    <t>clonal roots</t>
  </si>
  <si>
    <t>The root system of this clover is both extensive and diffuse, while also beneath the ground there exists a much-branched system of subterranean stems from which shoots grow up to the surface. These secondary shoots are widely spread over the ground surface, not aggregated into a dense mat, and are generally intermingled with the shoots of neighboring plants for a considerable distance around the parent plant. Nodules are clustered into fan-shaped groups of finger-likuen its.</t>
  </si>
  <si>
    <t>N-fixing nodules</t>
  </si>
  <si>
    <t>The primaryr oot systemc onsists of a thoroughly tangled mass of root branches which turn in all directions as they elongate. With age the compact mat formed by the shoot increases to a diameter of about two decimeters, and on these older plants the prostrate branches give rise to adventitious roots. The clavate nodules are aggregated into rather diffuse i regularly branched clusters which attain a diameter of about two centimeters</t>
  </si>
  <si>
    <t>There are few annuals in the alpine tundra, but among these Androsace is one of the most abundant. It is the only annual considered in this study. At a depth of about a centimeter the tap root divides into a group of extremely fine, much branched white laterals.
Root hairs are present; mycorhizae are lacking</t>
  </si>
  <si>
    <t>This plant has a tap root which gives rise to a great many finely branched whitish laterals. Root hairs are present, and mycorhizae were lacking</t>
  </si>
  <si>
    <t>At a depth of about eight to ten centimeters the strong tap root of this  lant throws out a great abundance of laterals. A second aggregation of branches  rises at the end of the tap root which may extend to a depth of about five decimeters. A strongly developed horizontal system of subterranean stem branches is formed at a depth of four to eight centimeters</t>
  </si>
  <si>
    <t>The tap root, which is about 2 to 4 mm. in diameter, is smooth, rigid,  nd unbranched for about two centimeters, and at the lower end divides rather abruptly into a tuft of fine wiry branche; Rootlets bear root hairs, but no mycorhizae
were observed</t>
  </si>
  <si>
    <t>This plant produces a tap root which gives rise to laterals of almost equal size.; A few root hairs were found, some of which contained hyphae</t>
  </si>
  <si>
    <t>At a depth of less than a decimeter the tap root has completely divided into a diffuse system of fine laterals. Rootlets bear root hairs and, in addition, both inter- and intracellular hyphae</t>
  </si>
  <si>
    <t>This compositep ossessesa stout tap root which tapers rapidly. The thickness of the tap root in this species is largely the result of an abundance of parenchyma cells within the xylem and phloem</t>
  </si>
  <si>
    <t>From the short, erect caudex, which in older specimens becomes branched, there arise many whitish, nearlys traight roots. The latter give rise in turn to many laterals, all extending outward and downward to form a symmetrical, conical system. Rootlets bear root hairs</t>
  </si>
  <si>
    <t>From the seedlingo f this plant amaze of horizontal subterraneans tems radiates in all directions. The great abundance of branches in this systemm akes it necessary to simplify a two-plane drawing, so that the figure gives little hint of the complex tangle of stems and roots which exists. Adventitious roots appear on these subterranean stems, especially after the tips turn upward to produce aerial shoots; Rootlets bear root hairs and lack mycorhizae</t>
  </si>
  <si>
    <t>The primary root system practically disappears with age, the plant depending almost entirely upon adventitious roots. Root hairs are present; mycorhizae are lacking</t>
  </si>
  <si>
    <t>Assuming that the specimen selected for illustrationw as in each case typical of the species, the average depth of the root systemsi s about 25 centimetersw, ith a total range of 9 to 55 centimeter</t>
  </si>
  <si>
    <t>Kellman, 1990</t>
  </si>
  <si>
    <t>Veracruz, Mexico (La Mancha Biological Research Station)</t>
  </si>
  <si>
    <t>nearly all in Jun-Sept</t>
  </si>
  <si>
    <t>Eterolobium cyclocarpum, Cedrela odorata, Brosimum alicastrum, Bursera simaruba, Ficus spp; Coccoloba barbadensis, Nectandra sp.</t>
  </si>
  <si>
    <t>soil coring to 2m</t>
  </si>
  <si>
    <t>Modern Dune</t>
  </si>
  <si>
    <t>seasonal tropical forest</t>
  </si>
  <si>
    <t>1.3-1.8m</t>
  </si>
  <si>
    <t>soil coring to caliche</t>
  </si>
  <si>
    <t>dune sand, with higher clay content</t>
  </si>
  <si>
    <t>Rooting depth from Fig.3</t>
  </si>
  <si>
    <t>Fossil Dune, more weathered</t>
  </si>
  <si>
    <t xml:space="preserve">legume tree, tree, </t>
  </si>
  <si>
    <t>Guanacaste, Spanish cedar, breadnut</t>
  </si>
  <si>
    <t>evergreen broad-leaf, semi-deciduous, evergreen broad-leaf</t>
  </si>
  <si>
    <t>coastal dunes</t>
  </si>
  <si>
    <t xml:space="preserve">In the field, total fine root biomass to all depths sampled was significantly larger in the recent sand than in the weathered; These data indicate that, in weathered sand, a smaller total root biomass is highly concentrated in the uppermost soil layer while, on recent sand, a larger root biomass is more evenly distributed throughout the soil profile </t>
  </si>
  <si>
    <t>Coupland &amp; Johnson, 1965</t>
  </si>
  <si>
    <t>southern Saskatchewan</t>
  </si>
  <si>
    <t>305-308 across sites</t>
  </si>
  <si>
    <t>635-760 across sites</t>
  </si>
  <si>
    <t>Brown Soil Zone</t>
  </si>
  <si>
    <t>Dark Brown Soil Zone</t>
  </si>
  <si>
    <t>Black Soil Zone</t>
  </si>
  <si>
    <t>level</t>
  </si>
  <si>
    <t>knoll</t>
  </si>
  <si>
    <t>south slope</t>
  </si>
  <si>
    <t>north slope</t>
  </si>
  <si>
    <t>Stipa spartea var. curtiseta</t>
  </si>
  <si>
    <t>gravel subsoil</t>
  </si>
  <si>
    <t>Agropyron smithii</t>
  </si>
  <si>
    <t>Festuca scabrella</t>
  </si>
  <si>
    <t>Carex eleocharis</t>
  </si>
  <si>
    <t>Phlox hoodii</t>
  </si>
  <si>
    <t>Anemone patens var. wolfgangiana</t>
  </si>
  <si>
    <t>Gutierrezia diversifolia</t>
  </si>
  <si>
    <t>needle-and-thread grass</t>
  </si>
  <si>
    <t>Porcupine grass</t>
  </si>
  <si>
    <t>Canadian Prairies</t>
  </si>
  <si>
    <t>Two to seven white-t o cream-coloured main roots support each shoot of the bunch. Some penetrate vertically, but others descend at various oblique angles to reach positions 1 8-36 cm laterally from the central axis of the plant, before turning abruptly downward. Some of thel atter are so nearly horizontal that they reach depths of only 5 -10 cm in their lateral journey. Maximum depth is reached only by those roots that descend vertically from the crown.</t>
  </si>
  <si>
    <t>This more vigorous and more mesophytic grass occurs only in the far northern Great Plains and is most abundant in dark brown loam soils of the Canadian prairies; The mean maximum depth of penetration is similar to that of S. comata, but in the two instances where these species were studied in the same excavation S. sparteav ar. curtiseta was the deeper by 18 and 28 cm; The effect of increased southern exposure is to produce deeper roots, while the more mesic situation on lower slopes and northern exposures reduced their depth</t>
  </si>
  <si>
    <t xml:space="preserve">western wheatgrass </t>
  </si>
  <si>
    <t>sod-forming rhizomatous grass</t>
  </si>
  <si>
    <t xml:space="preserve">Excavations of eighty-seven root systems in nine Saskatchewan stands have revealed that shoots of this sod-forming grass originate from tough, wiry rhizomes; Depth of rooting varies considerably with climate, soil and topographic position (Table 1). In ordinary upland sites maximum depth was usually 120-150 cm, but in sand it was only 60-90 cm (Fig. 2). The shallower depth in sand was associated with oblique penetration of the major roots, before they descended vertically after developing laterally for 25-30 cm. </t>
  </si>
  <si>
    <t>Agropyron dasystachyum</t>
  </si>
  <si>
    <t xml:space="preserve">thickspike wheatgrass </t>
  </si>
  <si>
    <t>It occurs as a dominant principally in the moister parts of the grassland in the 'Prairie Provinces' of Canada. During the present study1 20 root systems were examined in seventeen stands. The data indicate that the root system is very similar to that of A . smithii. These two species were more deeply penetrating than any other dominant with which either was associated on loam soils</t>
  </si>
  <si>
    <t>blue grama</t>
  </si>
  <si>
    <t>It is the most xerophytic grass in the Canadian prairies, dominating in unmodified grasslands only on relatively arid sandy loam soils, but being the major species in overgrazed pasture lands. Observations of fifty root systems in thirteen locations in Saskatchewan during the present study corroborate the dense, widely spreading nature of the root system. Of particular significance in relation to its drought resistance is the occurrence of numerous, horizontally positioned roots which grow radially in all directions from the bases of stems. This characteristc is most prominent in arid sites, where these roots grow within 3 cm of the soil surface for distances as great as 40 cm. In less xeric situations the surface roots develop at a deeper level or follow an oblique course. The deeply penetrating roots usually descend obliquely or vertically from their origin. Adjustment of the root system to variations in microenvironment imposed by slopes within the dark brown soil zone corresponded to the above adjustments to climate in all respects except depth. While the plants growing in arid positions high on the knoll were more widely spreading, were more densely branched and had more roots per shoot, as compare to those plants on lower slopes, the root depth was only half as great as in the more mesic position. Horizontal roots are rare in sandy soil. Instead the roots follow vertical or somewhat obliquec ourses which restrict lateral growth to 15c m.</t>
  </si>
  <si>
    <t>discussed the influence of topo position: roots on hilltops are wider and shallower compared to roots in lower slopes</t>
  </si>
  <si>
    <t>On the basis of a study of thirty-three plants in ten stands it can be concluded that this species exhibits the least extensive root system of the major grasses of this region. The most common maximum depth was 60 cm, with the majority of the roots ending within 30 cm of the surface.
maximumd epthw as from3 3 to 75 cm</t>
  </si>
  <si>
    <t>Rough Fescue</t>
  </si>
  <si>
    <t>thep rincipal climax dominant within the black soils of Alberta, western Saskatchewan and north-central Montana; Rhizomes emerge either laterally or from underneath the crown. These radiate in all directions and give rise to new shoots usually within a few centimetres of the parent; During the present study seventeen plants were examined in six stands. The maximum depth of rooting was found to be 1.0-1.1 m in the well developed Fescue Prairie, but where moisture supply was sufficiently limiting to permit the entrance o f Mixed Prairie species, a depth of 60 cm was more usual</t>
  </si>
  <si>
    <t xml:space="preserve">needle-leaf sedge </t>
  </si>
  <si>
    <t>sedge, sod forming rhizomatous</t>
  </si>
  <si>
    <t>C. eleocharis is the most abundant sedge in the Canadian prairies; This species is a sod former with rhizomes reaching 30 cm long; Roots arise from the bases of clumps and from shoot-free nodes on the rhizomes, but the former roots penetrate more deeply. Many smaller and shorter roots grow from the bases of shoots and radiate to occupy the soil to a depth of 8-15 cm for a distance up to 25 cm from the clump.</t>
  </si>
  <si>
    <t>Stipa viridulias</t>
  </si>
  <si>
    <t>It grows under conditions of more dependable moisture supply than is usual on normal upland; the roots excavated in this northern grassland did not exceed 1.1 m in depth. Most terminated 60 -90cm below the soil surface.</t>
  </si>
  <si>
    <t xml:space="preserve">green needlegrass </t>
  </si>
  <si>
    <t>soil-topo zone inferred from author statement of moist sites</t>
  </si>
  <si>
    <t>prairie sandreed</t>
  </si>
  <si>
    <t>soil-topo zone inferred from author statement of sandy sites</t>
  </si>
  <si>
    <t>is characteristic of recently disturbed sand; propagates by tough, wiry rhizome; The roots of the five plant studied reached maximum depths of 1.4-1.8 m. It was the deepest rooted grass in sand</t>
  </si>
  <si>
    <t xml:space="preserve">a nother species on recently stabilized sand, but with extremely fine roots arising from short, stocky rhizomes. The roots are 0.5 mm or less in diameter and follow various oblique and vertical downward courses. Those of the three plants studied occupied the soil for distances as much as 25 cm laterally and 78 cm deep; Branches 15-20 cm long were abundant, except for the 5-8 cm near the rhizome. These laterals rebranched repeatedly to form a dense, sand binding network; </t>
  </si>
  <si>
    <t xml:space="preserve">fringed sagebrush, prairie sagewort, arctic sage </t>
  </si>
  <si>
    <t>woody shrub</t>
  </si>
  <si>
    <t>most abundant forb. The central axis of the plant develops a tap root system while adventitious roots are produced from the horizontal stems. The relative extent of development of the thick, deeplyp enetrating tap root and its largest branches, as compared to the mass of fibrous roots developing in the surface layers of soil, is determined apparently by habitat characteristics. In locations where moisture is often deficient near the surface of the soil, but where occasional moisture penetration to considerable depth permits establishment of deep roots, the tap root system is well developed. However, tap roots are not found where deep penetration of moisture is prevented by excessive run-off or where moisture supply in the upper layers of soil is more dependable. Tap roots were found to extend to depths as great as 1.6 m. The depth of rooting ranged from 45 to 165cm. Within the most arid areas (browns oil zone) the roots were regularly deeper than elsewhere (Table 5, Fig. 5). Within all zones, however, the more shallowly rooted plants were associated with dry, shallow eroded soils. These observations suggest sufficient plasticity of the root system to adjust to a semi-arid climate by developing tap roots in periods when moisture penetration permits, but to make use of moisture near the surface in habitats where deeper supplies are continually limiting because of run-off.</t>
  </si>
  <si>
    <t>Reporting contradicting results: roots in arid sites are deeper AND shallowers than more mesic sites. What's going on? Also mentioned that occasional deep penetration of rain water can lead to deep roots. Also mentioned the plasticity of the roots.</t>
  </si>
  <si>
    <t>spiny phlox, carpet phlox</t>
  </si>
  <si>
    <t>the second most abundant forb in the Canadian Mixed Prairie, possesses tap roots that ranged from 30 to 95 cm in depth. Depth of root penetration was greatest in the well developed soils of level areas and lower slopes (Table 5, Fig. 6). In shallow soil of slopes the roots sometimes did not exceed 30 cm in depth. In sandy soils the depth of rooting was restricted to 41 cm, but the laterals were usually much more dense and more widely spreading than in soils of finer texture</t>
  </si>
  <si>
    <t>It is puzzling that here the roots are shallower and wider in sandy soils!</t>
  </si>
  <si>
    <t>Pasque Flower</t>
  </si>
  <si>
    <t>This species has a generalized root system composed of both tap root and fibrous roots (Table 5, Fig. 7). Unlike the two forbs already discussed, the root system of this species is most extensive under the cool, mesic conditions of the Fescue Prairie and mesic micro-environments within the Mixed Prairie. The shallowest rooting occurred in arid situations caused by climatic location or topographic position.</t>
  </si>
  <si>
    <t>broom snakeweed, broomweed, snakeweed, and matchweed</t>
  </si>
  <si>
    <t>has a tap root 4-6 mm in diameter which gives rise to five to nine thinner lateral roots within a few centimetres of the soil surface. These run obliquely downward to produce a lateral spread commonly between 10 and 25 cm in the surface 30 cm of soil. The range in maximum depth was from 42 to 130 cm. Both the depth of penetration and the extent of lateral spread tended to be greater in drier climate and in exposed locations</t>
  </si>
  <si>
    <t>Haplopappus spinulosus</t>
  </si>
  <si>
    <t xml:space="preserve">acy tansyaster </t>
  </si>
  <si>
    <t>Rooting depth from Fig. 8</t>
  </si>
  <si>
    <t>a thick woody tap root 5-8 mm in diameter and dark brown in colour was found to be characteristic. It descends almost vertically and tapers to a diameter of 2 mm at a depth of 30 cm. Below this it narrows slowly. The maximum depth of rooting in four Canadian stands (eleven plants) was from 1.2 to 1.8 m</t>
  </si>
  <si>
    <t>Chrysopsis villosa</t>
  </si>
  <si>
    <t xml:space="preserve">hairy false goldenaster </t>
  </si>
  <si>
    <t>The tap root is 3-10 mm in diameter and penetrates vertically. Abundant, small, thread-like laterals emerge from it in the uppermost 30 cm of soil. The maximum depth recorded in three sites (ten plants) ranged from 1.3m in fine-textured solonetzic soil to 2.4m in sandy soil (Fig. 9).</t>
  </si>
  <si>
    <t>Selaginella densa</t>
  </si>
  <si>
    <t>0.2-0.5</t>
  </si>
  <si>
    <t xml:space="preserve"> lesser spikemoss, prairie spikemoss, and Rocky Mountains spikemoss</t>
  </si>
  <si>
    <t>S. densa is a clubmoss that grows in dense mats that sometimes occupy 50% of the soil surface in parts of the Saskatchewan grassland. This species forms a tangled mass of minutely branched roots just beneath the soil surface. These are chocolate-coloured, 0.2mm or less in diameter and reach maximum depths of 2 -5 cm</t>
  </si>
  <si>
    <t>dotted gayfeather, dotted blazingstar, and narrow-leaved blazingstar</t>
  </si>
  <si>
    <t>rooting depth from Fig.10</t>
  </si>
  <si>
    <t>Solidago missouriensis</t>
  </si>
  <si>
    <t xml:space="preserve">lemon scurfpea </t>
  </si>
  <si>
    <t>forb, legumous</t>
  </si>
  <si>
    <t>Missouri goldenrod, prairie goldenrod</t>
  </si>
  <si>
    <t>Lygodesmia Juncea</t>
  </si>
  <si>
    <t xml:space="preserve">rush skeletonplant </t>
  </si>
  <si>
    <t>Sphaeralcea coccine</t>
  </si>
  <si>
    <t>Biennial,  Perennial</t>
  </si>
  <si>
    <t xml:space="preserve">scarlet globemallow </t>
  </si>
  <si>
    <t>Thermopsis rhombifolia</t>
  </si>
  <si>
    <t xml:space="preserve">prairie thermopsis </t>
  </si>
  <si>
    <t>Aster ericoides</t>
  </si>
  <si>
    <t>white heath aster</t>
  </si>
  <si>
    <t>rooting depth from Fig. 7</t>
  </si>
  <si>
    <t>Rooting depth from Fig. 9</t>
  </si>
  <si>
    <t>propagates by a tough, woody rhizome; Roots (0.3-0.8 mm in diameter) are produced singly or in clusters along the rhizomes and at the base of the clump; larger roots (over 1 mm in diameter) whitish in colour, descended obliquely or vertically to maximum depths of 43-132 cm in the twelve plants (fives tands) examined.</t>
  </si>
  <si>
    <t>This legume( Fig. 8) propagates by very tough, light coloured, rhizomes 3 -5 mm in diameter. Roots descend at intervals of 8-30 cm from locations near the base of a shoot or at a point of branching of the rhizome; T he maximum depth ranged from 75 cm on an exposed knoll to 1.7m on a nearby lower slope.</t>
  </si>
  <si>
    <t>the tough, wiry rhizomes vary from 2 to 5 mm in diameter; These give rise to light brown roots as thick as 1 mm in diameter which are most abundant at the base of shoots and at junctions of the rhizome, but are frequently absent for several centimetres. They usually descend vertically but some fine, short ones follow oblique or horizontal  courses. Branching is not abundant, particularly near the surface. The more mesic sites supported plants with more extensive branching and deeper penetration than the drier site.  The maximum depth attained by the seven plants studied ranged from 36 to 110 cm.</t>
  </si>
  <si>
    <t>This legume (Fig. 10) is effective as sand binder, due to an extensive network of rhizomes; At depths of 60-120 cm laterals as long as 30 cm are found. These descend obliquely and are abundantly supplied with branches 2 -5 cm in length. Nodules occur below a depth of 30 cm</t>
  </si>
  <si>
    <t>two to four laterals originate from the thicker part of the tap root (Fig. 10). These penetrate deeply, at distances up to 20 cm from the tap root</t>
  </si>
  <si>
    <t>characterized by a deeply penetrating, sparsely branched tap root which decreases in diameter from 2 to 5 mm near the soil surface to 1 mm at a depth of 90-120 cm. M aximum depth of roots of the eight plants examined (three sites) ranged from I.0 to 1.8 m (Fig. 9).</t>
  </si>
  <si>
    <t>This composite is characteristic of sandy soil. The tap root is 2-9 mm in diameter near the soil surface and penetrates to depths of 1.2-3.0m or more( Fig. 9). The depth of penetration is apparently related to texture of subsoil, with the greatest depths reached in sandy substrate.</t>
  </si>
  <si>
    <t>Rooting depth from Fig. 9; makes sense that sandy soils favor deeper roots, if well drained</t>
  </si>
  <si>
    <t>Equisetum arvense</t>
  </si>
  <si>
    <t xml:space="preserve">field horsetail </t>
  </si>
  <si>
    <t>Other species encountere during this study which were judged to belong to this group were Equisetum arvense, which reached depths greater than 3m</t>
  </si>
  <si>
    <t>Lots of guess work in the exact location. It is easy to locate the few black soil and brown soil sites and identify their features (knoll, level, lower slope etc.) and assign the sites accordingly, it is difficult to locate sandy and gravelly sites, particularly the sites in the dark brown soils zone with many possible sites fitting the description. Thus the rough locations are identified that are on south-facing, north-facing, flat, knoll and lower slopes.</t>
  </si>
  <si>
    <t>On Google Earth, these area, particularly the dark brown and black soil zones, are dotted with potholes, so dense that it is sometimes difficult to have an unbroken flat piece of land. Strangely the study never mentioned drainage conditions and their influence on roots.</t>
  </si>
  <si>
    <t>sites with natural vegetation selected to represent the 1965 condition, but the place is so farmed today that it is sometimes difficult; keep this in mind when comparing with observed rooting depth - annual crops likely have much shallower roots than reported here, particularly with the perennial shrubs/forbs removed which have the deepest roots.</t>
  </si>
  <si>
    <t>Pelaez et al., 1994</t>
  </si>
  <si>
    <t>La Pampa Province, Argentina</t>
  </si>
  <si>
    <t>overgrazed grassland, closed for grazing for 10yrs</t>
  </si>
  <si>
    <t>dry summer</t>
  </si>
  <si>
    <t>shallow soil, medium to heavey texture</t>
  </si>
  <si>
    <t>Prosopis caldenia</t>
  </si>
  <si>
    <t>Condalia microphylla</t>
  </si>
  <si>
    <t>calden</t>
  </si>
  <si>
    <t>legumous shrub</t>
  </si>
  <si>
    <t>Stipa tenuis</t>
  </si>
  <si>
    <t>Piptochaetium napostaense</t>
  </si>
  <si>
    <t>speargrass</t>
  </si>
  <si>
    <t>The root system of the two grass species and C. microphylla is mainly distributed in the upper layers (10-40cm) of the soil prifile, while that of P. caldenia descended through the soil profile to the caliche layer. The main root of C. microphylla branched at about 20-30cm depth and some of the roots show a horizonal extension of 60cm or more. On the contrary, the main root of P. caldenia extend far downward, being able to penetrate the caliche layer through its fissures. This species has a few lateral roots distributed in the upper layers of the soil.</t>
  </si>
  <si>
    <t>rooting depth from Fig. 5b</t>
  </si>
  <si>
    <t>Rooting depth from Fig.5a; this species has thick cuticle and very small leaves, showing adpatation to water stress</t>
  </si>
  <si>
    <t>root chamber</t>
  </si>
  <si>
    <t>Elliott, 1924</t>
  </si>
  <si>
    <t>drained with tiles and ditches</t>
  </si>
  <si>
    <t>flat</t>
  </si>
  <si>
    <t>peat soil</t>
  </si>
  <si>
    <t>off Lake Mendota, Wisconsin</t>
  </si>
  <si>
    <t>U. Wisconsin Marsh Research track</t>
  </si>
  <si>
    <t>The tract was part of a peat marsh dyked off from Lake Mendota and under-drained by lines of tiles placed three to five feet below the surface; and it was found that the downward penetration of the roots was bounded by a zone sharply defined by the flattening out of the roots within it. This zone was not more than three inches in thickness and was not, as might be expected, at or near the water table. Its under side, beyond which the roots did not penetrate, was approximately 18 inches above and parallel to the water table.</t>
  </si>
  <si>
    <t>Coughenour et al., 1990</t>
  </si>
  <si>
    <t>Acacia reficiens</t>
  </si>
  <si>
    <t>Turkana County, NW Kenya</t>
  </si>
  <si>
    <t>deep sandy soils</t>
  </si>
  <si>
    <t>bank of a large river</t>
  </si>
  <si>
    <t>The larger trees occur only near ephemeral streambeds or rivulets; Tap roots were massive, having diameters as large as trunks. The biomass of tap roots constituted 1 5-56% of total root mass to 2.5 m</t>
  </si>
  <si>
    <t>occurring most often on upland nonriparian sites; A small fraction of unaccounted total root biomass may extend to great depth, perhaps to a permanent ground water table. Fragments of Acacia roots have been recovered from drilling operations at 30-50 m (Cole and Brown 1976). Glover (1951, 1952) discovered A. reficiens roots at 10-19 m.</t>
  </si>
  <si>
    <t>Rooting depth from Fig.3. Location approximate. Lacking info on exact site locations, only the deepest root of each species is recorded, assumping occuring in characteristic topo locations as author indicated</t>
  </si>
  <si>
    <t>Glover, 1950</t>
  </si>
  <si>
    <t>British Somaliland</t>
  </si>
  <si>
    <t>Adenium somalense</t>
  </si>
  <si>
    <t>In the vertical plane the roots reached an overall lateral development of 3.4 metres and a depth of 1.4 metres. The underground parts included a large tuber which was a "compound" swollen taproot, 50 cm. in diameter at its widest point.</t>
  </si>
  <si>
    <t>below the escaarpment, on fan, near dry channel</t>
  </si>
  <si>
    <t>Guban Ged Dobo</t>
  </si>
  <si>
    <t>alluvial sand</t>
  </si>
  <si>
    <t>site moved slightly to match given elevation (lat-long was given as approx, but elevation acurate); during survey 0.5" rain penetrated 35cm depth</t>
  </si>
  <si>
    <t>8 month dry season</t>
  </si>
  <si>
    <t>5 miles E of Hargeisa on the Hargeisa-Berbera road</t>
  </si>
  <si>
    <t>on plateau</t>
  </si>
  <si>
    <t>semi-arid desert</t>
  </si>
  <si>
    <t>The plant examined was 15 cm high with a fleshy horizontal rhizome 45 cm long and 5 cm. in diameter, lying just below the surface of the soil. The zone of greatest root activity was from just beneath the surface down to a depth of 40 cm. No root hairs were visible to the naked eye. The roots reached an overall lateral spread of 1.2 metres and a depth of 65 cm.</t>
  </si>
  <si>
    <t>From the surface down to about 8cm the soil was slightly darker due to the presence of a certain amount of organic matter. From 8-50 cm it was homogenously fine-grained, grey, and the roots extended down to a depth of 50 cm. Their lateral development was 50  cm on one side and 1.2 metres on the other side (i.e. an overall lateral development of 1.70 metres). The first 45cm of soil was the zone of greatest root activity. The thick succulent main roots ended abruptly in short whitish-coloured fibrous rootlets.</t>
  </si>
  <si>
    <t>There was a low sand mound at the base of the plant. The overall lateral extent of the roots was 2.7 metres and their maximum penetration was 70 cm below the soil level was  a thick root stock 10 cm in diameter and 12cm long, from which sprung a number of stout main roots; they exhibit the same anti-geotropic habit in some of their roots as that so markedly shown in Adenium somalense</t>
  </si>
  <si>
    <t>Sansevieria ehrenbergii Schweinf</t>
  </si>
  <si>
    <t xml:space="preserve">Aloe sp. </t>
  </si>
  <si>
    <t xml:space="preserve">Caralluma sp. </t>
  </si>
  <si>
    <t>Euphorbia sp.</t>
  </si>
  <si>
    <t>A mass of coarse fibrous roots emerged from the junction of the rhizome with the leaves. Other roots emerged singly, or in rows of two or three at the nodes from the ventral surface of the rhizome. They penetrated the soil to a depth of 90cm and had an overall lateral extent of 3.3 metres. Several of the large lateral roots penetrated downwards for 30-50 cm and then grew upwards again to within a few mm of the soil surface. The zone of maximum root activity was from just below the surface down to about 60cm.</t>
  </si>
  <si>
    <t>perennial, succulent</t>
  </si>
  <si>
    <t>Antos, 1988</t>
  </si>
  <si>
    <t>Erythronium montanum</t>
  </si>
  <si>
    <t>Clintonia uniflora (Liliaceae)</t>
  </si>
  <si>
    <t>Streptopus roseus</t>
  </si>
  <si>
    <t>Rubus pedatus</t>
  </si>
  <si>
    <t>Rubus lasiococcus (Rosaceae)</t>
  </si>
  <si>
    <t>Cascade Mt., N. Oregon</t>
  </si>
  <si>
    <t>an old-growth Tsuga heterophylla-Abies amabilis forest</t>
  </si>
  <si>
    <t>a wet, old-growth, streambottom forest</t>
  </si>
  <si>
    <t>stream bottom forest</t>
  </si>
  <si>
    <t>winter rain</t>
  </si>
  <si>
    <t>E. montanum and C. uniflora differ markedly in underground morphology; E ontanumh as a short, segmented rhizome- or corm-like structure with a terminal bulbous scale; C. uniflora spreads extensively via slender, branching rhizomes that persist for many years; Roots of C. uniflora are larger and penetrate deeper into the soil</t>
  </si>
  <si>
    <t>0.19 (0.15-0.2)</t>
  </si>
  <si>
    <t>0.23 (0.15-0.3)</t>
  </si>
  <si>
    <t>0.14 (0.1-0.19)</t>
  </si>
  <si>
    <t>0.26 (0.18-0.33)</t>
  </si>
  <si>
    <t>0.17 (0.11-0.26)</t>
  </si>
  <si>
    <t>0.44 (0.27-0.61)</t>
  </si>
  <si>
    <t>Rubus pedatus and R. lasiococcus spread across the forest floor via stolons; The roots of R. lasiococcus reached more than twice the length and depth of those of R. pedatus; Rubus pedatus had twice as many roots per m of stolon as did R. lasiococcus</t>
  </si>
  <si>
    <t>Mountain forest</t>
  </si>
  <si>
    <t>perennial rhizomatous</t>
  </si>
  <si>
    <t>Avalanche Lily</t>
  </si>
  <si>
    <t>queencup beadlily</t>
  </si>
  <si>
    <t>semi-succulent herb</t>
  </si>
  <si>
    <t>Twistedstalk, Rosy twistedstalk</t>
  </si>
  <si>
    <t>Smilacina stellata (Liliaceae)</t>
  </si>
  <si>
    <t>starry false lily of the valley</t>
  </si>
  <si>
    <t>strawberryleaf raspberry</t>
  </si>
  <si>
    <t xml:space="preserve">roughfruit berry </t>
  </si>
  <si>
    <t>herb, with storage organ</t>
  </si>
  <si>
    <t>high slope forest</t>
  </si>
  <si>
    <t>"E. montanum and C. uniflora were examined in an old-growth Tsuga heterophylla-Abies amabilis forest at 1,220 m elevation, with a shrub layer of Vaccinium membranaceum and an herb layer including Cornus canadensis and R. lasiococcus. The other four species were examined at a lower elevation (1,040 m), 1 km away from the first site, in a wet, old-growth, streambottom forest with a canopy of Tsuga heterophylla, Abies amabilis, and Pseudotsuga menziesii." Ten specimen of each species gave range and mean rooting depth. Site elevations are used as a guide to locat 2 representative forest sites 1km apart in the Cascades in northern Oregon.</t>
  </si>
  <si>
    <t>deep pumice soils</t>
  </si>
  <si>
    <t>Both S. roseus and S. stellata have long rhizomes that persist for approximately the same number of years, but the structure of the rhizome and root systems differs substantially; Rhizomes of S. stellata were thicker and heavier than those of S. roseus; Smilacina stellata produces long roots (usually one) at the end of annual rhizome segments. These roots grow straight downward, and are longer and penetrate deeper into the soil. the dimorphic root system of S. stellata allows for nutrient uptake near the surface and water uptake from deep in the mineral soil when the surface dries</t>
  </si>
  <si>
    <t>Chapman, 1979</t>
  </si>
  <si>
    <t>Chapman, 1970</t>
  </si>
  <si>
    <t>First dune ridge, Studland N .N.R.</t>
  </si>
  <si>
    <t>Second dune ridge, Studland N .N.R.</t>
  </si>
  <si>
    <t>Third dune ridge, Studland N .N.R.</t>
  </si>
  <si>
    <t>Furzebrook Road</t>
  </si>
  <si>
    <t>Studland A</t>
  </si>
  <si>
    <t>Studland B</t>
  </si>
  <si>
    <t>Studland C</t>
  </si>
  <si>
    <t>xy in UK national grid ref, converted to lat-lon at http://www.gridreferencefinder.com/</t>
  </si>
  <si>
    <t>dune ridge</t>
  </si>
  <si>
    <t>Calluna vulgaris, Ammophilaar enaria, Carex arenari</t>
  </si>
  <si>
    <t>Calluna vulgaris, Ulex minor, U. gallii</t>
  </si>
  <si>
    <t>common heath</t>
  </si>
  <si>
    <t>soil cores and blocks</t>
  </si>
  <si>
    <t>all rooting deph data is from Fig.1, soil organic matter profile</t>
  </si>
  <si>
    <t>dimorphic roots</t>
  </si>
  <si>
    <t>dimorphic roots; the elevation is switched with Studland C, from 15 to 10m, as shown on Google Earth</t>
  </si>
  <si>
    <t>dimorphic roots; the elevation is switched with Studland A, from 10 to 15m, as shown on Google Earth</t>
  </si>
  <si>
    <t>near ridge top</t>
  </si>
  <si>
    <t>on saddle of a ridge between lake and bay</t>
  </si>
  <si>
    <t>200m from lake</t>
  </si>
  <si>
    <t>100m away from lake</t>
  </si>
  <si>
    <t>Martin, 1968</t>
  </si>
  <si>
    <t>Cambridgeshire, England</t>
  </si>
  <si>
    <t>Mercurialis perennis</t>
  </si>
  <si>
    <t>dog's mercury</t>
  </si>
  <si>
    <t xml:space="preserve">herb, woodland understory </t>
  </si>
  <si>
    <t>poorly drained furrow</t>
  </si>
  <si>
    <t>well-drained ridge</t>
  </si>
  <si>
    <t>&gt; 0.15</t>
  </si>
  <si>
    <t>&lt; 0.10</t>
  </si>
  <si>
    <t>Buff Wood, Primula elatior areas (low site)</t>
  </si>
  <si>
    <t>Buff Wood, Mercurialis areas (high site)</t>
  </si>
  <si>
    <t>Examination of the root profiles of Mercurialis perennis shows that in the Mercurialis areas the roots of this species extend to a depth of 15 cm or more; this is in marked contrast to the situation in the Primula elatior areas where the roots of Mercurialis perennis are restricted to, at most, the upper 10 cm of the soil. Roots penetrating below this depth appear to be killed.</t>
  </si>
  <si>
    <t>chalky boulder-clay</t>
  </si>
  <si>
    <t>excellent analysis on water-logging, or what are the true causes including O stress, CO2 toxicity, ferrous and manganous ion toxicity etc.; Diffusion rate of O through water is 10,000 times slower than in air.</t>
  </si>
  <si>
    <t>Shaver &amp; Billlings, 1975</t>
  </si>
  <si>
    <t>Barrow, N. costal Alaska</t>
  </si>
  <si>
    <t>wet tundra</t>
  </si>
  <si>
    <t>Dupontia fisheri</t>
  </si>
  <si>
    <t xml:space="preserve">Fisher's tundragrass </t>
  </si>
  <si>
    <t>Carex aquatilis</t>
  </si>
  <si>
    <t xml:space="preserve">water sedge </t>
  </si>
  <si>
    <t xml:space="preserve">tall cottongrass </t>
  </si>
  <si>
    <t>Eriophorum angustifolium</t>
  </si>
  <si>
    <t>Tundra Biome Site-2</t>
  </si>
  <si>
    <t>perennial, rhizomatous</t>
  </si>
  <si>
    <t>root obs box (like rhizotron) + excavation</t>
  </si>
  <si>
    <t>wet meadow, 100m S of Footprint Creek</t>
  </si>
  <si>
    <t>The growing season extends from mid-June to late August, the maximum depth of soil thaw averaging about 30 cm. E. angustifolium produces many more roots than does C. aquatilis or D. fischeri, and that new roots are continually added to its root system. Roots of Eriophorum grow deeper than those of any other species; there is a distinct "growing front" of root tips in Eriophorurn, as evidenced by the downward-shifting peak in root numbers with season. Dupontia, on the other hand, produces only a few roots at the start of the season, and does not add more new roots as the season progresses.</t>
  </si>
  <si>
    <t>"Apparently, Dupontia tillers depend almost entirely on roots produced during their first growing season." (this is why there are no new root tips observed in the box, in contrast to E which has a large bulge of new roots in peak summer)</t>
  </si>
  <si>
    <t>"Roots of Eriophorum are annual, and an entirely new root system is produced each year. None of the E. angustifolium roots observed in the root boxes in 1972 were present in 1973."</t>
  </si>
  <si>
    <t>site is located from: http://www.arlis.org/docs/vol1/B/5564803.pdf; the study reports seasonal root growth</t>
  </si>
  <si>
    <t>Douglas, 1989</t>
  </si>
  <si>
    <t>the Teklanika River</t>
  </si>
  <si>
    <t>Salix setchelliana Ball</t>
  </si>
  <si>
    <t>Setchell’s willow</t>
  </si>
  <si>
    <t>given lat-lon moved to a bar and to match given elevation</t>
  </si>
  <si>
    <t>clonal shrub</t>
  </si>
  <si>
    <t>East Branch of Toklat River</t>
  </si>
  <si>
    <t>ephemeral gravel bars</t>
  </si>
  <si>
    <t>Taiga</t>
  </si>
  <si>
    <t>Denali National Park, Alaska</t>
  </si>
  <si>
    <t>This willow is found in the Alaska Range and western Yukon Territory on gravelly and sandy substrata. Vertical shoots (ramets) arise from a horizontal root system (Fig. 1), and grow to 20-25 cm in height. The horizontal root systemis typically 2 -10 cm below the surface and produces adventitious roots</t>
  </si>
  <si>
    <t>a drawing shows rooting depth of 6cm; author states up to 10cm, the latter used as max</t>
  </si>
  <si>
    <t>sandy -gravelly</t>
  </si>
  <si>
    <t>mostly in summer</t>
  </si>
  <si>
    <t>Eurotia ceratoides</t>
  </si>
  <si>
    <t>loamy Sierozem</t>
  </si>
  <si>
    <t>meadow Sierozem</t>
  </si>
  <si>
    <t>quick sand (dune??)</t>
  </si>
  <si>
    <t>road metal soil</t>
  </si>
  <si>
    <t>Thus, in loamy soil desert where the ground water is rather deep, the root system of Eurotia ceratoides reaches the ground water level at a depth of 9 m (Fig. 1 ) .</t>
  </si>
  <si>
    <t>Alhagi pseudoalhagi</t>
  </si>
  <si>
    <t>Thus, on meadow-sierozomic saline soil, where the ground water is at 6.5 m depth, the root system of some deep-rooted plants (Alhagi pseudoalhagi and Karelinia cas pia) has almost no branches in the upper soil horizons (Fig. 2 and 3),</t>
  </si>
  <si>
    <t>Artemisia terra-albae</t>
  </si>
  <si>
    <t>Anabasis salsa</t>
  </si>
  <si>
    <t>saline crust</t>
  </si>
  <si>
    <t>Kochia prostrata</t>
  </si>
  <si>
    <t>leaf succulent</t>
  </si>
  <si>
    <t>light chestnut calcareous soil</t>
  </si>
  <si>
    <t>Haloxylon aphyllum</t>
  </si>
  <si>
    <t>alluvial meadow chestnut soil with compact sandy layers at a depth of 1 50 cm</t>
  </si>
  <si>
    <t>compact sand</t>
  </si>
  <si>
    <t>half-fixed hillock sand</t>
  </si>
  <si>
    <t>loamy-sandy chestnut soil</t>
  </si>
  <si>
    <t>Thus, the deeply rooted desert tree Haloxylon aphyllum - on alkali soils reaches 4. 1 m, on half-fixed hilly sands on brown sandy loam soil 7.3 m, and with deep deposits of ground water up to 10 m depth (Fig. 6 A, B and C), due to ground water conditions.</t>
  </si>
  <si>
    <t>Winterfat (White-sage; Eurotia; Ceratoides)</t>
  </si>
  <si>
    <t>Camel thorn</t>
  </si>
  <si>
    <t>tend to be in depressions</t>
  </si>
  <si>
    <t>shrub, sclerophyte</t>
  </si>
  <si>
    <t>shrub, stem succulent</t>
  </si>
  <si>
    <t xml:space="preserve">forage kochia </t>
  </si>
  <si>
    <t>evergreen tiny-leaf</t>
  </si>
  <si>
    <t>southern desert</t>
  </si>
  <si>
    <t>location guessed to be in the saline meadows in southwest</t>
  </si>
  <si>
    <t>cannot find definition of soil; location guessed to be along a high way</t>
  </si>
  <si>
    <t>location guessed to be on active dunes</t>
  </si>
  <si>
    <t>location guessed to be on stablized dunes</t>
  </si>
  <si>
    <t>location guessed to be near the edge of the riparian meadow with trees</t>
  </si>
  <si>
    <t>location guessed to be higher than the alluvial meadow site</t>
  </si>
  <si>
    <t>100-200</t>
  </si>
  <si>
    <t>falls in early spring</t>
  </si>
  <si>
    <t>Southern Kazakhstan</t>
  </si>
  <si>
    <t>location guessed to be in depressions</t>
  </si>
  <si>
    <t>location guessed</t>
  </si>
  <si>
    <t>Baitulin, 1996</t>
  </si>
  <si>
    <t>Kutschera-Mitter, 1996</t>
  </si>
  <si>
    <t>near Windhoek, Namibia</t>
  </si>
  <si>
    <t>The plots are located 3 km north of the city of Ede, in the central part of The Netherlands. Five plots were selected for study… Maximum root penetration for the 27 to 37 year old trees was about 80 cm.</t>
  </si>
  <si>
    <t>highland partly surrounded by hills</t>
  </si>
  <si>
    <t>Aloe littoralis</t>
  </si>
  <si>
    <t>Windhoek Aloe</t>
  </si>
  <si>
    <t>leaf succulent shrub</t>
  </si>
  <si>
    <t>position guessed to be in the highlands near Windhoek, surrounded by hills</t>
  </si>
  <si>
    <t>In warmer regions with a semiarid or arid climate roots often grow only horizontally at sites without groundwater influence. This applies mainly to all stem- and leaf-succulents such as species of Liliaceae (cf. Aloe, Fig. 16) and Burseraceae (cf. Commiphora, Fig. 1 7). In such stands the plants rely on water from precipitation. The growth within the bending zone is largely effected by water stored in stem or leaves.</t>
  </si>
  <si>
    <t>Commiphora saxicola</t>
  </si>
  <si>
    <t>SW slope without underground water</t>
  </si>
  <si>
    <t>near Uis Myn, Namibia</t>
  </si>
  <si>
    <t>myrrh</t>
  </si>
  <si>
    <t>semiarid desert</t>
  </si>
  <si>
    <t>Acanthosicyos horrida</t>
  </si>
  <si>
    <t>nara</t>
  </si>
  <si>
    <t>no leaf, photosynthetic stems/thorns</t>
  </si>
  <si>
    <t>Plants in dry desert valleys with great fluctuations of ground water level, without or with very little precipitation such as in the Namibian desert, may form special  root distributions. Acanthosicyos horrida provides an example (Fig. 1 8). Its roots grow in horizontal or transverse layers following the level of the ground humidity. In layers of gravel mixed with coarse sand with low waterholding capacity, they grow transversly or vertically in small bends. These small upward and downward directed bends are the result of changes in the relative humidity of the soil air.</t>
  </si>
  <si>
    <t>dry valley above sea-level</t>
  </si>
  <si>
    <t>Swakopmund, Erongo, Namibi</t>
  </si>
  <si>
    <t>position guessed to be on SW slope high above valley</t>
  </si>
  <si>
    <t>position guesses to be on a dry valley floor near the mouth 7m above sea level</t>
  </si>
  <si>
    <t>Juniperus communis L.</t>
  </si>
  <si>
    <t>Karasz, 1996</t>
  </si>
  <si>
    <t>Central Hungary, Kiskunsági National Park, Szabadszállás</t>
  </si>
  <si>
    <t>SE facing sandy slope</t>
  </si>
  <si>
    <t>common juniper</t>
  </si>
  <si>
    <t>The great asynmetry toward downhill is remarkable, explaining the lack of vegetation in the "shadow" of the roots of this tree!</t>
  </si>
  <si>
    <t>Deeper coring revealed that the deeper layers, consisting of water-logged, very fine-grained soil, were almost completely devoid of roots at a depth of 60 cm, so we used this depth as the lower point of our fi tted curve... Many lianas have remarkably deep and extensive root systems, with some going deeper than 10 m... However, in the present study, the lianas (as well as trees) were shallowly rooted, with almost no roots found below 60 cm.</t>
  </si>
  <si>
    <t>location inferred fronm "At the research site a fossil dune has been partially overrun by one arm of a large parabolic dune, deriving from a mobile coastal dune-field to the north of the research station"' Rooting depth extrapolated from Fig.3.</t>
  </si>
  <si>
    <t>In sandy soils, the 94yr old juniper develops a shallow, extensive root system. About 70% of its roots are found in the upper 1 0- 15 cm region of the soil. The studied specimen developed an asymmetrical root-system. The roots extended mainly in the direction of the hollow between the sand hills, and were as long as 7 m. The greatest horizontal spreading in this study is 10 m. The maximum penetration is 98 cm, but less than 1 % of the roots reached this depth...  new perpendicular roots often branch off from long, lateral roots. The root network, spread in the upper level of the sand, prevents or, at least moderates the sand motion.</t>
  </si>
  <si>
    <t>Kokoreva, 1996</t>
  </si>
  <si>
    <t>Crataegus songorica C. Koch</t>
  </si>
  <si>
    <t>Almaty hawthorn</t>
  </si>
  <si>
    <t>Dzhungarian Hawthorn</t>
  </si>
  <si>
    <t>Kazakhstan, northern slopes of Trans-Ili Altau</t>
  </si>
  <si>
    <t>clayey chernozem, 40cm O horizon</t>
  </si>
  <si>
    <t>powerful lateral roots which penetrate to a depth of 4 m for Crataegus songorica and more than 6 m for C. almaatensis</t>
  </si>
  <si>
    <t>location guessed, to be in a natural forest at 1000m elevation, near the universities</t>
  </si>
  <si>
    <t>Sobotik, 1996</t>
  </si>
  <si>
    <t>Aosta valley, Italy</t>
  </si>
  <si>
    <t>&lt;500</t>
  </si>
  <si>
    <t>Kochia prostrata (Bassia prostrata)</t>
  </si>
  <si>
    <t>forage kochia</t>
  </si>
  <si>
    <t>Pannonic area of NW of Vienna, Austria</t>
  </si>
  <si>
    <t>The plant of the pannonic area shows a more erect shoot, very few roots at the surface area and a thick tap root with a depth of 6.3 m.</t>
  </si>
  <si>
    <t>The plant of the Aosta valley shows a more creeping growth form with many roots close to the surface and a depth of the tap root of about 4 m.</t>
  </si>
  <si>
    <t>loess and molasse</t>
  </si>
  <si>
    <t>S slope,  45degree, in semi-ruderal vegetation between vine yards</t>
  </si>
  <si>
    <t>S slope, 35 degree, on glacial debris</t>
  </si>
  <si>
    <t>haplic-phaeozom (rich grassland soil)</t>
  </si>
  <si>
    <t>semi-ruderal vegetation between vine yards</t>
  </si>
  <si>
    <t>location guessed to match info given, esp elevation</t>
  </si>
  <si>
    <t>Turekhanova, 1996</t>
  </si>
  <si>
    <t>Hippophae rhamnoides L.</t>
  </si>
  <si>
    <t>common sea-buckthorn</t>
  </si>
  <si>
    <t>The depth penetration of the root system of the 8-year old plant remained (see Fig. 1 ) at the same level as for 6-year-old plants, the radius of spreading was 325 cm. The upper parts of the stump horizontal roots were covered by nodules.</t>
  </si>
  <si>
    <t>Alma-Ata, SE Kazakhstan</t>
  </si>
  <si>
    <t>rhizomatous, shrub</t>
  </si>
  <si>
    <t>location guessed to be in the higher part of the Botanical Garden near the Institute, at 920m (given by author)</t>
  </si>
  <si>
    <t>deep foothill alluvium</t>
  </si>
  <si>
    <t>dark chestnut leached soil with a humus content of 4.3-4.7 % to a depth of 0.2 m</t>
  </si>
  <si>
    <t>Veste &amp; Breckle, 1996</t>
  </si>
  <si>
    <t>Israel, Negev desert, duns near Nizzana</t>
  </si>
  <si>
    <t>Anabasis articulata</t>
  </si>
  <si>
    <t>report dimorphic roots: 10-30cm and 3-4m (Fig.2)</t>
  </si>
  <si>
    <t>Moltkiopsis ciliata</t>
  </si>
  <si>
    <t>Cornulaca monacantha</t>
  </si>
  <si>
    <t>&gt; 2.4</t>
  </si>
  <si>
    <t>The tap roots of Cornulaca in the sandy area of Nizzana could be excavated down to a depth of 2.4 m, but this was not the end of the roots. Roots of shrubs will easily reach the deeper water table in the sand</t>
  </si>
  <si>
    <t>mention water table</t>
  </si>
  <si>
    <t>Thymelaea hirsuta</t>
  </si>
  <si>
    <t>in a loess wadi bed</t>
  </si>
  <si>
    <t>For Thymelaea hirsuta growing in a loess wadi bed a rooting depth of 3 .5 m has been reported (Evenari et al. 1 982).</t>
  </si>
  <si>
    <t>"But under desert conditions and especially under the specific hydrological conditions in the sand dunes with two water layers, the development of a two-part root system has an ecological advantage for water uptake."</t>
  </si>
  <si>
    <t>summer decideous</t>
  </si>
  <si>
    <t>The root system of various shrubs (e.g. Anabasis articulata, Cornulaca monacantha) consists of surface roots and a tap root (Fig 2). Surface roots of Anabasis can be found between 1 0 and 30 cm, which is also the depth of the vertical water infiltration... The root activity of the summer active plants reacted differently towards water supply during the year in comparison to leaf deciduous shrubs.</t>
  </si>
  <si>
    <t>N slope</t>
  </si>
  <si>
    <t>During the first year of the experiments fine roots of Moltkiopsis could be observed with the minirhizotron-technique at depths between 5 and 40 cm (Fig. 5).</t>
  </si>
  <si>
    <t>observed to 75cm depth only</t>
  </si>
  <si>
    <t>shrub (salt-tolerant xerophyte)</t>
  </si>
  <si>
    <t>spiny shrub (not saline locations)</t>
  </si>
  <si>
    <t>Evergeen</t>
  </si>
  <si>
    <t>Carlina acaulis</t>
  </si>
  <si>
    <t>Carinthian basin</t>
  </si>
  <si>
    <t>Heiligenblut region</t>
  </si>
  <si>
    <t>GroBglockner region</t>
  </si>
  <si>
    <t>S. Austria</t>
  </si>
  <si>
    <t>stemless carline thistle, dwarf carline thistle, silver thistle</t>
  </si>
  <si>
    <t>alpine belt</t>
  </si>
  <si>
    <t>Potentilla aurea</t>
  </si>
  <si>
    <t>subalpine belt</t>
  </si>
  <si>
    <t>alpine oatgras</t>
  </si>
  <si>
    <t>Avena versicolor (Helictotrichon versicolor)</t>
  </si>
  <si>
    <t xml:space="preserve">Dwarf Yellow Cinquefoil </t>
  </si>
  <si>
    <t>It is shown that in climatic zones with distinct seasons, the depth of root penetration in the soil mainly depends on the degree to which the ground is warmed up and on the intensity of temperature fluctuations. Warm lowland soils have deeper roots than the cooler soils from higher altitudes. The shallower roots at high altitudes are correlated with denser root networks in the upper soil layers and a more rapid drop in root density with increasing depth. Thus, humus horizons are consistently thinner in higher versus lower altitudes. At the same time, the humus content in the upper soil layers is higher. One reason for this may be that the mineralization rate of humus is slower at high altitudes due to reduced soil warming.</t>
  </si>
  <si>
    <t>elevation from Fig.5, rooting depth from Table-2</t>
  </si>
  <si>
    <t>elevation and rooting depth from Fig.4</t>
  </si>
  <si>
    <t>yes + drawing</t>
  </si>
  <si>
    <t>Table-2 gives profile of many species, contrasting the alpine vs. coline elevation zones. Without exact elevation data the location cannot be even guessed, so only those with both rooting depth and elavation are recorded. The original data were published in German. For z=450m site, one has to do down stream along the river that passes Carinthia to find such a low elevation.</t>
  </si>
  <si>
    <t>subalpine slope</t>
  </si>
  <si>
    <t>alpine slope</t>
  </si>
  <si>
    <t>lowland valley</t>
  </si>
  <si>
    <t>Lichtenegger, 1996</t>
  </si>
  <si>
    <t>Karimov &amp; Molotkovski, 1996</t>
  </si>
  <si>
    <t>Pamiro-Alay, W Tajikistan</t>
  </si>
  <si>
    <t>soil monolith</t>
  </si>
  <si>
    <t>Halostachus caesia</t>
  </si>
  <si>
    <t>Rheum maximoviczii</t>
  </si>
  <si>
    <r>
      <t xml:space="preserve">Populus pruinosa </t>
    </r>
    <r>
      <rPr>
        <sz val="9"/>
        <color theme="1"/>
        <rFont val="Calibri"/>
        <family val="2"/>
        <scheme val="minor"/>
      </rPr>
      <t>Schrenk</t>
    </r>
  </si>
  <si>
    <t>Trees, such as Populus pruinosa Schrenk and Elaeagnus angustifolia L. (Tugai indicators) are deeply rooted ( 4-6 m) and have extremely ramified tap root systems.</t>
  </si>
  <si>
    <t>Saccharum spontaneum L.</t>
  </si>
  <si>
    <t>1.0 - 1.5</t>
  </si>
  <si>
    <t>Graminaceous Tugai plants, such as Erianthus ravennae (L.) Beauv. and Saccharum spontaneum L. have roots which begin to branch in the upper part of the tap root and spread widely in the surface soil horizons, as well as down to 1 00- 1 50 cm</t>
  </si>
  <si>
    <t>tugai association (riparian vegetation)</t>
  </si>
  <si>
    <t>halophyte association</t>
  </si>
  <si>
    <t>Annual halophytes develop a tap root which does not penetrate deeper than 1 5-40 cm. Deep penetrating roots are more characteristic of shrubs and perennial gramineous plants. In this way they are able to reach moist soil layers with less nitrogen (Fig. 1B). Their thick tap root is branched into roots of the 2-3 order at a depth of 1 5-20 cm. The root systems penetrate deep into the soil and they have numerous absorbing roots.</t>
  </si>
  <si>
    <t>from Fig.1B</t>
  </si>
  <si>
    <t>Graminaceous Tugai plants, such as Erianthus ravennae (L.) Beauv. and Saccharum spontaneum L. have roots which begin to branch in the upper part of the tap root and spread widely in the surface soil horizons, as well as down to 1 00- 1 50 cm (Fig. lA).</t>
  </si>
  <si>
    <t>on salt flat</t>
  </si>
  <si>
    <t>riparian zone</t>
  </si>
  <si>
    <t>Fig. !C</t>
  </si>
  <si>
    <t>A strong root system is developed by many of these plant species, in which organic substances are accumulated which is of great importance for soilforming processes (Fig. 1 C). The well-developed root systems of those plant species provide an efficient water
absorption during the short period of summer precipitation.
This water uptake, as well as intensive water and
carbohydrates storage in the below-ground organs, make
it possible to maintain an extremely rapid root growth
activity.</t>
  </si>
  <si>
    <t>semi savanna association</t>
  </si>
  <si>
    <t>Their tap roots, which reach very dry soil or the mother rock at a depth of 4 m, do not grow any further and start to develop numerous lateral roots in the upper soil layers, which are wetted by the winter-spring precipitation. Roots of trees and shrubs often extend 10-25 m in different directions, where they occupy large areas.</t>
  </si>
  <si>
    <t>Juniperus spp.</t>
  </si>
  <si>
    <t>This is about the tugai vegetation association. Tugay, also spelt tugai, is a form of riparian forest or woodland associated with fluvial and floodplain areas subject to periodic inundation, and largely dependent on floods and groundwater rather than directly from rainfall. "The soil water is maintained at a depth of 1 .5-2.0 m level during most of the year. The plants do not suffer from heat and humidity deficiency during the period of active growth." Here the "soil water" is likely groundwater.</t>
  </si>
  <si>
    <t>forests</t>
  </si>
  <si>
    <t>higher slope with shallower bedrock</t>
  </si>
  <si>
    <t>away from riparian</t>
  </si>
  <si>
    <t>Erianthus ravennae (Saccharum ravennae)</t>
  </si>
  <si>
    <t xml:space="preserve">ravennagrass, elephant grass </t>
  </si>
  <si>
    <t>wild sugarcane, Kans grass</t>
  </si>
  <si>
    <t>Elaeagnus angustifolia L.</t>
  </si>
  <si>
    <t>silver berry, oleaster, Persian olive, wild olive</t>
  </si>
  <si>
    <t>deciduous or evergreen  broad-leaf</t>
  </si>
  <si>
    <t>too bad there is no water table data - it is likely that what the authors meant by "soil water" is groundwater</t>
  </si>
  <si>
    <t>Nesterova, 1996</t>
  </si>
  <si>
    <t>Alpine belt</t>
  </si>
  <si>
    <t>Rhodiola coccinea</t>
  </si>
  <si>
    <t>Carex melanantha</t>
  </si>
  <si>
    <t>Dracocephalum imberbe</t>
  </si>
  <si>
    <t>Papaver croceum</t>
  </si>
  <si>
    <t>Leontopodium ochroleucum</t>
  </si>
  <si>
    <t>Cobresia capilliformis</t>
  </si>
  <si>
    <t>Subalpine belt</t>
  </si>
  <si>
    <t>Juniperus turkestanica</t>
  </si>
  <si>
    <t>Phlomis oreophila</t>
  </si>
  <si>
    <t>Alchemilla obtusa</t>
  </si>
  <si>
    <t>Poa alpina</t>
  </si>
  <si>
    <t>Polygonum nitens</t>
  </si>
  <si>
    <t>Forest belt</t>
  </si>
  <si>
    <t>Picea schrenkiana</t>
  </si>
  <si>
    <t>Rosa spinosissima</t>
  </si>
  <si>
    <t>Hypericum scabrum</t>
  </si>
  <si>
    <t>Thalictrum collinum</t>
  </si>
  <si>
    <t>Cotoneaster megalocarpa</t>
  </si>
  <si>
    <t>Cystopteris filix-fragilis</t>
  </si>
  <si>
    <t>Shrub forest belt</t>
  </si>
  <si>
    <t>Malus sieversii</t>
  </si>
  <si>
    <t>Acer semenovii</t>
  </si>
  <si>
    <t>Armeniaca vulgaris</t>
  </si>
  <si>
    <t>Spiraea hypericifolia</t>
  </si>
  <si>
    <t>Artemisia santolinifolia</t>
  </si>
  <si>
    <t>Ajania fastigiata</t>
  </si>
  <si>
    <t>Carex turkestanica</t>
  </si>
  <si>
    <t>Zailiisky Alatau Range, SE Kazakhstan</t>
  </si>
  <si>
    <t>alpine shrub</t>
  </si>
  <si>
    <t>rhizomatous herb</t>
  </si>
  <si>
    <t>ice poppy</t>
  </si>
  <si>
    <t xml:space="preserve">Turkestan juniper, dwarf black juniper </t>
  </si>
  <si>
    <t>alpine meadow-grass, alpine bluegrass</t>
  </si>
  <si>
    <t>Schrenk's spruce, Asian spruce</t>
  </si>
  <si>
    <t>shrub to small tree</t>
  </si>
  <si>
    <t>burnet rose</t>
  </si>
  <si>
    <t xml:space="preserve">Lesser meadow-rue </t>
  </si>
  <si>
    <t>brittle bladder-fern, common fragile fern</t>
  </si>
  <si>
    <t>rhizomatous forb</t>
  </si>
  <si>
    <t>wild apple</t>
  </si>
  <si>
    <t xml:space="preserve">Turkestan Shrub Maple </t>
  </si>
  <si>
    <t xml:space="preserve">Wild apricot </t>
  </si>
  <si>
    <t xml:space="preserve">Iberian spirea </t>
  </si>
  <si>
    <t xml:space="preserve">Kentucky bluegrass </t>
  </si>
  <si>
    <t>rhizomatous sedge</t>
  </si>
  <si>
    <t>sub alpine slope</t>
  </si>
  <si>
    <t>forested slope</t>
  </si>
  <si>
    <t>mixed shrub/tree slope</t>
  </si>
  <si>
    <t>Most typical in the alpine belt are low-grass and mixed grass alpine meadows. Alpine plants are characterised by shallow root systems (to a depth of 55 cm) influenced by soil water availability and a short growing period (Table 1 ). The branching of alpine plant roots
is abundant and roots are formed of the 3rd to 5th order.</t>
  </si>
  <si>
    <t>In the subalpine belt, high-grass and mixed grass meadows predominate. The predominance of rhizomatous types of below-ground organs with the roots spread close to the surface is more frequent in the alpine and subalpine belts.</t>
  </si>
  <si>
    <t>The number of species in the forest belt is higher, a variety of plant forms occurs (trees, shrubs and grasses) and the degree of root-system penetration increases (to a depth of 350 cm). Among graminaceous plants there are many species rooted near the surface influenced by frequent precipitation. Many graminaceous plants of the forest belt are characterised by the disappearance of the tap root with age and change of the tap-root system to the fibrillose one. The degree of branching proceeds up to the third and fourth order, very seldom to the fifth-sixth order. The forest belt plants are characterised by the tap root, fibrillose tap root system and less frequently by the development of rhizomes.</t>
  </si>
  <si>
    <t>The abundance of species and vital forms in plant communities of the forest-shrub belt with a large high participation of trees and shrubs intensifies the differentiation of the below-ground sphere. Particularly the tree root systems penetrate deeply into the soil (to a depth of 720 cm) . Most species here are characterised by a tap-root system, less frequently by a rhizomatous root system and for graminaceous species by a fibrillose type. The branching is intensive and proceeds up to the formation of the roots of the 3rd to 6th order, in the trees it can reach the 7th to 8th order (Table 1 ). The horizontal roots are welldeveloped in trees. E.g., the root system of Armeniaca vulgaris may be spread in a radius of 1 8.3 m (Baitulin et al. 1 9 86). The strongest development of the root system is observed among the species of the shrub-forest belt.</t>
  </si>
  <si>
    <t>location guessed by max elevation given and vegetation type on GoogleEarth</t>
  </si>
  <si>
    <t>location guessed by elevation range given and vegetation type on GoogleEarth</t>
  </si>
  <si>
    <t>location guessed by min elevation given and vegetation type on GoogleEarth</t>
  </si>
  <si>
    <t>Zhaparova, 1996</t>
  </si>
  <si>
    <t>Ugham (Tianshan) mountain, Kazakhstan</t>
  </si>
  <si>
    <t>Makbalsai ravine</t>
  </si>
  <si>
    <t>Observations of the population distribution of 0. magnifica were carried out in the Makbalsai ravine;  Adult 0. magnifica plants have tuberous thick tap roots, thinly branched and sprawling (Fig. 3). The roots are spread within a radius of about 30 cm. When broken, a white milky substance is secreted. The basal part of the root penetrates as deep as 93 cm and may form lateral roots of the third order. Primary lateral roots may be up to 48 cm long, the secondary ones 9 cm and the tertiary ones 0.5 - 0.6 cm. Lateral roots are able to
penetrate as deep as 54 cm and have a storage function. They are light-brown, smooth, fleshy and winding. On the root system there are numerous fine roots, which rapidly dry up in the air.</t>
  </si>
  <si>
    <t>geophyte (tuberous rooted forb)</t>
  </si>
  <si>
    <t>Ostrowskia magnifica Regel</t>
  </si>
  <si>
    <t>location guessed - could not locate the river, nor map of species occurrence on Bold or GBIF - this is a rare species. So a deep ravine at 1300m elevation (given by author) near the univeristy is selected</t>
  </si>
  <si>
    <t>in a ravine</t>
  </si>
  <si>
    <t>Lichtenegger &amp; Kutschera-Mitter, 1991</t>
  </si>
  <si>
    <t>Kleve, Germany, Lower Rhine rgion</t>
  </si>
  <si>
    <t>on river terrace</t>
  </si>
  <si>
    <t>Eryngium campestre</t>
  </si>
  <si>
    <t>field eryngo</t>
  </si>
  <si>
    <t>habitat: dry grassy areas near the coast</t>
  </si>
  <si>
    <t>thorny forb</t>
  </si>
  <si>
    <t>Hear the end of the pole root a tassel shaped ramification may be found, if the root reaches moist levels such as Eryngium campestre on a river terrace at Kleve on Niederhein (Fig.1).</t>
  </si>
  <si>
    <t>Scorzonera villosa</t>
  </si>
  <si>
    <t>The root shape of S. villosa (Fig.2) is adapted to a very dry soil. The thicker first order lateral roots are shrivelled to knobs.</t>
  </si>
  <si>
    <t>Pulsatilla pratensis</t>
  </si>
  <si>
    <t>Trigonella balancae</t>
  </si>
  <si>
    <t>Astragalus denudatus</t>
  </si>
  <si>
    <t>on steep slope</t>
  </si>
  <si>
    <t>due to changes in temperature, daylength and moisture during the year, the lateral roots tend to grow more vertically and reach the depth of the pole root (Kutschera-Mitter 1971-1983). That is the reason why pole root systens penetrate a cylinder shaped soil volume, which is often recognized at shootborn roots in similar areas (Fig.4). Such areas are moderately deep to cleep black earth (tschcrnosin), para black earth, mullhumic rendzina, calcareous broHn earth and alluvial soil.</t>
  </si>
  <si>
    <t>deep alluvium</t>
  </si>
  <si>
    <t>In black earth areas with a wide and crusty lime horizon the grov1th of the pole root and of the lateral roots is stopped at the same level giving rise to numerous lateral roots of higher order. This stronger rooting helps to loosen the crusts and causes a step by step shift downwards of the lime horizon due to higher concentration of humus. In the upper dry soil layers the growth of strong lateral roots is missing. The denser part of the root systems is therefore deeper under the surface. Examples of this are Dorycnium germanicun, Trinia glauca, Nigella arvensis and Pulsatilla pratensis (Fig.3).</t>
  </si>
  <si>
    <t>small pasque flower</t>
  </si>
  <si>
    <t>Aster linosyris</t>
  </si>
  <si>
    <t>goldilocks aster</t>
  </si>
  <si>
    <t>moderately deep to cleep black earth</t>
  </si>
  <si>
    <t>black earth with a wide and crusty lime horizon</t>
  </si>
  <si>
    <t>betiveen black earth and brown earth</t>
  </si>
  <si>
    <t>The pole root grows deeper, with increasing moisture. If temperature is high enough the upper lateral roots are thick and, also grow deep. They do not, however, reach the depth of the pole root. This results in a rounded truncated cone shaped root system
in the area between black earth and brown earth area. Such root systems are represented by Genista gerwanica (Fig.5) and others</t>
  </si>
  <si>
    <t>Genista germanica</t>
  </si>
  <si>
    <t xml:space="preserve">German Greenweed </t>
  </si>
  <si>
    <t>Anthyllis vulneraria</t>
  </si>
  <si>
    <t>habiat: Thickets, poor pastures and heaths</t>
  </si>
  <si>
    <t>Common kidneyvetch, kidney vetch, woundwort</t>
  </si>
  <si>
    <t>legumous forb</t>
  </si>
  <si>
    <t>If the amount of nutrients is not sufficient to strengthen the lateral roots, they stay more or less small. Tl1e pole root almost always crows vertically downwartls. The small lateral roots grow horizontally (Fig. 6).</t>
  </si>
  <si>
    <t>brown earth</t>
  </si>
  <si>
    <t>The wide cone shaped root volume can be found on plants which are groidng on rubble like Astragalus denudatus (Fig.8) north of Caucasus.</t>
  </si>
  <si>
    <t>Leontodon tuberosus</t>
  </si>
  <si>
    <t>hawkbits (in the dandeline tribe)</t>
  </si>
  <si>
    <t>black earth</t>
  </si>
  <si>
    <t>It is characteristic for plants which are able to grow deeply if the surface is too dry. Chondrilla juncea (Fig.10) for example grows in the black earth area, in the north of Eurgenland, first to a depth of 70 cm and then you find cone shaped root group which have advanced to more moist levels.</t>
  </si>
  <si>
    <t>Chondrilla juncea</t>
  </si>
  <si>
    <t>rush skeletonweed, gum succory, devil's grass, nakedweed</t>
  </si>
  <si>
    <t>north of Eurgenland, Austria</t>
  </si>
  <si>
    <t>If the roots grow only just under the surface, so that the less branched pole root with the down-growing lateral roots seems to be intermittent, the result is a mushroom shaped root type. Examples of this type of root system are Trifolium trichocephalum (Fig.11),</t>
  </si>
  <si>
    <t>Trifolium trichocephalum</t>
  </si>
  <si>
    <t>clover</t>
  </si>
  <si>
    <t>in north of Caucasus, Geogia? Russia?</t>
  </si>
  <si>
    <t>In high mountain regions the pole root may not be branched at all in the uppermost soil layers. In the deeper layers which are warmer the pole root forms a sidewards spreading root group. Such an inverted mushroom shaped root system was found at 3100 m above
sea level in Carum caucasicum in the north of Caucasus. Also in that region the same species forms a cone shaped upwards extended root system (Fig.12) but at 1850 m altitude.</t>
  </si>
  <si>
    <t>Carum caucasicum</t>
  </si>
  <si>
    <t>alpine, NW Caucasus</t>
  </si>
  <si>
    <t>If a more or less horizontally spreading root system exists,... the root is still growing lengthwise but not pcnetratinz to depth, because there arc neither differences in tcmperature or differences in moisture. This root type is characteristic for sandy soil. It was
found in sand dunes in the area of the northern Adria and is represented by Echinophora spinosa and Gypsophila perfoliata as well as by Ononis repens in sand dunes in the Netherlands and by Gypsopl1ila fastigiata, Jurinea cyano1nes and Onosma arenarium
(Fig.13) on the sand terrace near Hainz (Germany)</t>
  </si>
  <si>
    <t>near Hainz, Germany</t>
  </si>
  <si>
    <t>on sand terraces</t>
  </si>
  <si>
    <t>Onosma arenarium</t>
  </si>
  <si>
    <t>biennial</t>
  </si>
  <si>
    <t>Orcanette sands</t>
  </si>
  <si>
    <t>location gussed to be in "Mainz Sand Dunes " Nature reserve</t>
  </si>
  <si>
    <t>Cone shaped, downwards dilated root types are formed, if the soil is temporarily very dry at the surface and moist at depth, such as salt soils and red earth. Impressive examples for those types are Crypsis aculeata. Scorzonera parviflora on salt soils in the north of
Iiurzenland (Austria) and Leontodon tuberosus on red earth in Istria (Fig.9).</t>
  </si>
  <si>
    <t>Istria, Croatia</t>
  </si>
  <si>
    <t>red earth</t>
  </si>
  <si>
    <t>location guessed to be in non-forested nature area of red earth inIstria county</t>
  </si>
  <si>
    <t>Eeg shaped root types are formed, if there is less rooting at depth and less rooting near the surface because of temporary dryness in these zones. This root type is predominant on very stony or moist soil of humid areas in the temperate zone. Ocasionally you can take Silene otites as an example (Fig.14).</t>
  </si>
  <si>
    <t>Silene otites</t>
  </si>
  <si>
    <t>Spanish Catchfly</t>
  </si>
  <si>
    <t>habitat: shallow, well-drained, light calcareous soils</t>
  </si>
  <si>
    <t>moist and cold soil</t>
  </si>
  <si>
    <t>Umbrella shaped root types are formed, if the roots, after growing downwards in a bow, are stopped at nearly the same depth. This root type can be found on spring plants, like Primula vulgaris (Fig.15), which grows on moist and cold soil, during the winter</t>
  </si>
  <si>
    <t>Primula vulgaris</t>
  </si>
  <si>
    <t>primrose</t>
  </si>
  <si>
    <t>habitat: open woods and shaded hedgerows</t>
  </si>
  <si>
    <t>On warmed peat soil, roots orginating deeper grow upwards in a bow. Therefore this root type has the form of a shell or a nest, such as Dactylorrhiza majalis (Fig.16).</t>
  </si>
  <si>
    <t>Dactylorhiza majalis</t>
  </si>
  <si>
    <t>western marsh orchid, broad-leaved marsh orchid, fan orchid, common marsh orchid, or Irish Marsh-orchid</t>
  </si>
  <si>
    <t xml:space="preserve">habitat: nitrogen-poor marsh areas </t>
  </si>
  <si>
    <t>forb (an orchid)</t>
  </si>
  <si>
    <t>If the depth of rooting is very small but lateral spreading is very large, a discoid shaped root type can be found, as in Botrychium lunaria, Dianthus superbus, Geu1n moiltanurn, Loiseleuria procumbens, Pedicularis tuberosa as well as in podzol Calluna vulgaris (Fig.17). The prevalence of the last two root types in the subalpine and alpine region is the reason for the strong concentration of humus in upper soil layers</t>
  </si>
  <si>
    <t>alpine/subalpine</t>
  </si>
  <si>
    <t>Calluna vulgaris</t>
  </si>
  <si>
    <t xml:space="preserve">Scotch heather </t>
  </si>
  <si>
    <t>Alpine</t>
  </si>
  <si>
    <t>Marsh</t>
  </si>
  <si>
    <t>Simonovic, 1991</t>
  </si>
  <si>
    <t>Bab, near Nitra, W Slovakia</t>
  </si>
  <si>
    <t>moderate NE-facing slope</t>
  </si>
  <si>
    <t>550-650</t>
  </si>
  <si>
    <t>brown soil on carbonate loess</t>
  </si>
  <si>
    <t>80yr old forest stand</t>
  </si>
  <si>
    <t>Carpinus betulus L., Quercus cerris L., Quercus petraea Liebl, and Acer campestre L,</t>
  </si>
  <si>
    <t>&gt; 1.3</t>
  </si>
  <si>
    <t>Oak-hornbeam forest</t>
  </si>
  <si>
    <t>Twenty soil monoliths were dug out to a depth of 130 cm and vertically divided into 10 cm sections. The size of the soil samples was 10x10x10 cm. The amount of dead roots was highest in the thinnest thickness class of roots and declined with rising root diameter. From the vertical distribution of living root biomass, 80% was concentrated to a depth of 60 cm. Roots of woody plant species penetrate to a depth of 130 cm or more. 75% of the herb layer roots were concentrated to the first 0-5 cm of the ground layer.</t>
  </si>
  <si>
    <t>Rastin, 1991</t>
  </si>
  <si>
    <t>Rhineland-Palatinate, Germany</t>
  </si>
  <si>
    <t>chart of root count</t>
  </si>
  <si>
    <t>site IX</t>
  </si>
  <si>
    <t>periodic water logging</t>
  </si>
  <si>
    <t>no water logging</t>
  </si>
  <si>
    <t>site VIII</t>
  </si>
  <si>
    <t>site III</t>
  </si>
  <si>
    <t>all depths include the 10cm Humic horizon</t>
  </si>
  <si>
    <t>Sd horizon is the "stagnant" or water-logged, taken as water table range for each site</t>
  </si>
  <si>
    <t>0.6-1.2</t>
  </si>
  <si>
    <t>0.7-1.5</t>
  </si>
  <si>
    <t>The three sites investigated are approximately 80 year old spruce forests (Picea abies (L.) Karst) growing on soils (silty loam) which developed from the same parent material (devonian clay stone with variable cover of slope deposits) but differed in bulk density and soil moisture relations. The three sites are located within 30-150 meters from each other... Most of the fine roots of all three sites were found in the humus layer (H-horizon) and the upper 10 em of the mineral soil and at about 2 m distance from the tree trunks... Site III was, however, more deeply rooted than the other two sites (shallower bulk root mass, not the max depth).</t>
  </si>
  <si>
    <t xml:space="preserve">locations guessed to be in the lowland area of Rhineland-Palatinate state, which funded the work
</t>
  </si>
  <si>
    <t>Nulsen et al., 1986</t>
  </si>
  <si>
    <t>near Newdegate Western Australia</t>
  </si>
  <si>
    <t>60% in May-Oct</t>
  </si>
  <si>
    <t>silicified hardpan of cemented silty sandy clay</t>
  </si>
  <si>
    <t>1 - 4.5</t>
  </si>
  <si>
    <t>granitic Archaean Shield</t>
  </si>
  <si>
    <t>sand/gravel, mottled, hard pan, then kaolinitic clays</t>
  </si>
  <si>
    <t>During drilling of a bore on the Catchment 150 m south of neutron probe Site 3 in the same mallee community, root material was noted in the drill core at 28 m</t>
  </si>
  <si>
    <t xml:space="preserve">vertually no runoff, and no deep drainage - no groundwater under the catchment - all rain 376mm/yr is consumed by ET, but there is large redistribution within catchment - more runoff from heath than malee, but runoff reinfiltrates quickly - and deeper soil wetting under mallee - soil wettest above hardpan </t>
  </si>
  <si>
    <t>drill core</t>
  </si>
  <si>
    <t>Eucalyptus pileata, E. eremophila</t>
  </si>
  <si>
    <t>near site-3</t>
  </si>
  <si>
    <t>chapped mallee, sand mallee</t>
  </si>
  <si>
    <t>Greenland &amp; Kowal, 1960</t>
  </si>
  <si>
    <t>near Kade, S Ghana</t>
  </si>
  <si>
    <t>moist tropical forest</t>
  </si>
  <si>
    <t>Diospyro spp., Strombosia glaucesce, Nauclea diderichii, Piptadeniastruamf ricanumb, plus many under story species</t>
  </si>
  <si>
    <t>silty clay, silty-sandy clay, mottled quarzt stone/pebble on ironstone concretion</t>
  </si>
  <si>
    <t>ironstone concretions</t>
  </si>
  <si>
    <t>level area of mid lower slope, westerly aspect</t>
  </si>
  <si>
    <t>50yr old secondary forest</t>
  </si>
  <si>
    <t>location guessed by elevation and slope aspect, to be in a forest not crop land and plantations, and near road</t>
  </si>
  <si>
    <t>Hubble et al., 2010</t>
  </si>
  <si>
    <t>SW Western Australia,
near Margaret River</t>
  </si>
  <si>
    <t>Mediterranean wood land</t>
  </si>
  <si>
    <t>Eucalyptus diversicolour</t>
  </si>
  <si>
    <t>Jewel cave</t>
  </si>
  <si>
    <t>Eucalyptus camuldulensis</t>
  </si>
  <si>
    <t>Karri</t>
  </si>
  <si>
    <t>&gt;7</t>
  </si>
  <si>
    <t>&gt;20</t>
  </si>
  <si>
    <t>8.0 - 9.0</t>
  </si>
  <si>
    <t>We present our own evidence of Karri roots (Eucalyptus diversicolour) presenting at relatively great depths below the ground surface in Jewel and Moondyne Joe’s Caves, Margaret River, Western Australia in Fig. 4; Karri rootlets are recorded at depths greater than  20m below the ground surface in both Jewel Cave and Moondyne Joes Caves</t>
  </si>
  <si>
    <t>location of Jewel cave found on GoogleEarth</t>
  </si>
  <si>
    <t>the Australian River Red Gum E. camuldulensis which is common to floodplains and riverbanks in southeastern Australia is also known to root relatively deeply. Fig. 5 shows a River Red Gum’s tap root as well as large lateral and sinker roots exposed by scour erosion on a bank of the Goulburn River in northern Victoria; the lateral sinker roots extend at least 7m down from the base of the trunk before entering the bank soil.</t>
  </si>
  <si>
    <t>Goulburn River</t>
  </si>
  <si>
    <t>Victoria, Australia</t>
  </si>
  <si>
    <t>exposure by bank erosion</t>
  </si>
  <si>
    <t>exposure in cave</t>
  </si>
  <si>
    <t>Sierra et al., 2007</t>
  </si>
  <si>
    <t>Tropical moist pre-montane forest</t>
  </si>
  <si>
    <t>sandy, low fertility, acidic</t>
  </si>
  <si>
    <t>Anacardium excelsum, Jacaranda copaia, Pourouma cecropiaefolia, Oenocarpus bataua, Miconia albicans, etc.</t>
  </si>
  <si>
    <t>Additionally, six plots in each forest type were randomly selected to measure soil C to 4 m depth. Soil pits of 80 cm   120 cm   430 cm were excavated and four soil samples per pitwere taken at 5, 10, 20, 30, 50, 75, 100, 150, 200, 250, 350, and 400 cm depth. ... The root systemof 49 treeswas excavated to estimate coarse root ( 5 mm) biomass. All the root system was excavated for all trees until a root diameter of 5 mm.</t>
  </si>
  <si>
    <t>no max rooting depth or root mass or SOC profiles were given to extrapolate, so the max excavation depth (4.3m) is recorded here</t>
  </si>
  <si>
    <t>&gt; 4.3</t>
  </si>
  <si>
    <t>near Guacabe, Colombia</t>
  </si>
  <si>
    <t>Werner &amp; Murphy, 2001</t>
  </si>
  <si>
    <t>N. Northern Territory, Australia, in Kakadu National Park</t>
  </si>
  <si>
    <t>tropical dry forest</t>
  </si>
  <si>
    <t>Eucalyptus tetrodonta, E. miniata</t>
  </si>
  <si>
    <t xml:space="preserve">Darwin Stringybark, Darwin woollybutt </t>
  </si>
  <si>
    <t>95% in Oct-Apr</t>
  </si>
  <si>
    <t>gravely-sandy, underlain by hard ferricrete</t>
  </si>
  <si>
    <t>ferricrete</t>
  </si>
  <si>
    <t>location gussed to be near a facility because of use of backhole for the excavation</t>
  </si>
  <si>
    <t>Gross morphology of roots was bimorphic, with 70% of biomass at &lt;20-cm soil depth, and large roots running horizontally on top of the shallow (0.3-1.4 m) ferricrete layer. There was no evidence of roots having access to water below this layer… Only one of the 47 trees excavated penetrated the ferricrete where its trunk stood, and then only barely. This large tree (35 em DBH) had managed to squeeze less than 5% of its 35-cm diameter primary root through a 3 x 12-cm crack in the rock, 60 cm beneath the surface.</t>
  </si>
  <si>
    <t>Matthes-Sears &amp; Larson, 1995</t>
  </si>
  <si>
    <t>S.Ontario, Canada</t>
  </si>
  <si>
    <t>Thuja occidentalis</t>
  </si>
  <si>
    <t xml:space="preserve">eastern white cedar, arborvitae </t>
  </si>
  <si>
    <t>on cliff face at Jail (Wellington County)</t>
  </si>
  <si>
    <t>lime stone</t>
  </si>
  <si>
    <t>on nearly vertical cliff face</t>
  </si>
  <si>
    <t>location from Briand-1991, not the site given (Guelph) which is a swamp site; a cliff face is located near the Jail on Google Earth with ~13m elevation difference</t>
  </si>
  <si>
    <t>The results showed that the majority of trees grew in rock without soil or in very small soil pockets. Rooting was shallow, penetrating solid rock to an average of only 9 cm (maximum 30 cm). Roots were found almost exclusively in rock fissures of the softer more weathered rock layers, penetrating harder layers only via crevices</t>
  </si>
  <si>
    <t>no soil</t>
  </si>
  <si>
    <t>Price, 1911</t>
  </si>
  <si>
    <t>Ain Sefra, NW Algeria</t>
  </si>
  <si>
    <t>arid desert, Sahara</t>
  </si>
  <si>
    <t>sand dune</t>
  </si>
  <si>
    <t xml:space="preserve">Hordeum murinum L. </t>
  </si>
  <si>
    <t>Aristida pungens</t>
  </si>
  <si>
    <t>Drinn</t>
  </si>
  <si>
    <t>wall barley, false barley</t>
  </si>
  <si>
    <t>What is apparently a sand form of the common barley-grass of waste places was collected from the dunes of Ain Sefra. The plant is an annual and the roots are very similar to those of Schismus calycinus just described: shows a spreading habit, with a small bunch of adventitious roots at the base, penetrating the sand to a depth of three or four inches. The root hairs clothe the whole length of the roots, and are remarkably long.</t>
  </si>
  <si>
    <t>In the Algerian Sahara it is characteristic of, and appears to be confined to, the sandy as opposed to the stony desert; The roots spread out to a great distance from the stock of the grass, 20 metres being probably far too low an estimate, and maintain a position a few inches below, and more or less following the undulations of the surface of the sand.</t>
  </si>
  <si>
    <t>"few inches" is taken to be 3 inches</t>
  </si>
  <si>
    <t>Schwarz, 1938</t>
  </si>
  <si>
    <t>Judaean Desert, Israel</t>
  </si>
  <si>
    <t>Erucaria boveana</t>
  </si>
  <si>
    <t>Linaria haelava</t>
  </si>
  <si>
    <t>Aizoon hispanicum</t>
  </si>
  <si>
    <t>Suaeda asphaltica</t>
  </si>
  <si>
    <t>The whole root-form of Suaeda is similar to that of the Cacti as described by Cannon (1911). The main root grows vertically to a depth of 5 cm: horizontal lateral roots radiate from this point covering a circle 2.2 m in diameter</t>
  </si>
  <si>
    <t>Zygophyllum dumosum</t>
  </si>
  <si>
    <t>on the bank of a Wadi</t>
  </si>
  <si>
    <t>This has the most extensive root-system of the plants here described. The bush examined grew just above the edge of a wadi. The root forked at 15-20 cm below the surface and both branches had grown parallel to the surface for a distance of 4 m in one direction  and 4.8 m in the other. At the edge of the Wadi the root turned and followed the direction of the side of the Wadi, keeping the same distance from the surface.</t>
  </si>
  <si>
    <t>Heliotropium rotundifolium</t>
  </si>
  <si>
    <t xml:space="preserve">Haplophyllum, Heliotropium, Reseda, and Erodium (figs. 6, 7, &amp; 8). These plants have the same type of root-system. The main root penetrates more or less deeply into the soil, curves through a right angle to continue growing horizontally. In most cases at the point of curvature a lateral root arises, and like the main root grows horizontally but in the opposite direction. The root is therefore fork-like, the lateral and main roots being equal in size. </t>
  </si>
  <si>
    <t>Reseda muricata</t>
  </si>
  <si>
    <t>Salsola rigida</t>
  </si>
  <si>
    <t>The root-system is similar to those of the last plants described, except that the root bifurcates less abruptly.</t>
  </si>
  <si>
    <t>Retama Retam</t>
  </si>
  <si>
    <t>This plant has a somewhat different root-system from that described above. From the main root, but above the fork, numerous lateral roots about 3-5 m. long grow parallel to the surface at a depth of 5-10 em. The main root itself forks at a depth of 10 em. Each of the two branches fork again. The thickest branch, which I followed to the end, penetrated to a depth of 1·1 m. This was the deepest root observed by me.</t>
  </si>
  <si>
    <t>This is the only desert perennial examined by me which shows vegetative reproduction. It resembles in habit Koerberlinia spinosa, studied by Cannon in the Arizona desert. Both plants possess an underground stem which in Atriplex has a diameter of about 5 cm. and runs horizontally just below the surface of the soil. Aerial branches occur at intervals, and fine adventitious roots grow from the lower surface. From one end a root grows vertically to a depth of 50 cm, where it continues horizontally. The presence of either Retama or Atriplex, the deep-rooted plants, is a good indication of deep soil.</t>
  </si>
  <si>
    <t>leaf succulent forb</t>
  </si>
  <si>
    <t>seepweed</t>
  </si>
  <si>
    <t>Haplophyllum tuberculatum</t>
  </si>
  <si>
    <t>Showla</t>
  </si>
  <si>
    <t>Atriplex Halimus</t>
  </si>
  <si>
    <t>Mediterranean saltbush</t>
  </si>
  <si>
    <t>found on saline soil</t>
  </si>
  <si>
    <t>found in deep soil</t>
  </si>
  <si>
    <t>foumd in deep saline soil</t>
  </si>
  <si>
    <t>annuals have a small root-system by comparison with their shoot development</t>
  </si>
  <si>
    <t>location guessed to be on Wadi</t>
  </si>
  <si>
    <t>location guessed to be closer to Dead Sea with deeper soils</t>
  </si>
  <si>
    <t>location guessed to be in shrubery vegetation</t>
  </si>
  <si>
    <t>location guessed to be in small vegetation</t>
  </si>
  <si>
    <t>Sommer et al., 2000</t>
  </si>
  <si>
    <t>NE Para, Brazil</t>
  </si>
  <si>
    <t>1700 - 2400</t>
  </si>
  <si>
    <t>dry season Sept-Dec</t>
  </si>
  <si>
    <t>loamy sand over sandy loam, low nutrient, high alluminum</t>
  </si>
  <si>
    <t>soil coring to 6m</t>
  </si>
  <si>
    <t>site-8, 21mon cropping, 9yr fallow</t>
  </si>
  <si>
    <t>21mon cropping, 9yr fallow</t>
  </si>
  <si>
    <t>site-4, secondary vegetation, 5yr</t>
  </si>
  <si>
    <t>secondary vegetation, 5yr</t>
  </si>
  <si>
    <t>site-1, primary forest</t>
  </si>
  <si>
    <t>site-9, passion fruit plantation</t>
  </si>
  <si>
    <t>passion fruit plantation</t>
  </si>
  <si>
    <t>along rivers</t>
  </si>
  <si>
    <t>site-11, black pepper plantation</t>
  </si>
  <si>
    <t>Piper nigrum</t>
  </si>
  <si>
    <t>Passiflora edulis</t>
  </si>
  <si>
    <t>3–4 m high</t>
  </si>
  <si>
    <t>cropping sequence: rice-cotton-cassava</t>
  </si>
  <si>
    <t>black pepper plantation</t>
  </si>
  <si>
    <t>laterire</t>
  </si>
  <si>
    <t>Emergents higher than 40 m were present, intensive root system in the organic layer (not considered); location guessed to be in undistrubed forest along river between the 2 towns</t>
  </si>
  <si>
    <t>5-year-old, planted 3 m by 3 m neighboured to the oil palm site, laterite horizon at 4 m, sampling within rows in mid of two plants; ;ocation gussed to be in fields of 3x-3m spaced rows of small trees</t>
  </si>
  <si>
    <t xml:space="preserve">Oryza, Gossypium, Manihot esculenta </t>
  </si>
  <si>
    <t>rice, cotton, cassava</t>
  </si>
  <si>
    <t>grass, shrubs</t>
  </si>
  <si>
    <t>passoin fruit</t>
  </si>
  <si>
    <t>black pepper</t>
  </si>
  <si>
    <t>2.5-year-old, planted 3 m by 6 m, sampling within a row in mid of two plants; location guessed to be in fields with rows of small plants spaced 3x6m; excellent drainage essential, known to be shallow rooted</t>
  </si>
  <si>
    <t>The rooting pattern was different under passion fruit and black pepper, where root mass density was extremely low and roots of passion fruit were not found below 2.5 m depth.</t>
  </si>
  <si>
    <t>Roots in soils under primary forests and secondary vegetation as well as under fields in traditional slashand- burn agriculture were found down to 6m in depth. There were almost no differences in root content between primary forest and 5-yearold secondary vegetation, whereas the high root mass density in the top soil of the site cropped for 21 months reflects the presence of cassava roots.</t>
  </si>
  <si>
    <t>secondary tropical rainforest</t>
  </si>
  <si>
    <t>2-15cm O, clay-sand, clay increasing below 0.8m</t>
  </si>
  <si>
    <t>LeRoux et al. 1995</t>
  </si>
  <si>
    <t>Sturges &amp; Trlica, 1978</t>
  </si>
  <si>
    <t>Strong &amp; La Roi, 1983a, 1983b</t>
  </si>
  <si>
    <t>Srivastava et al., 1986</t>
  </si>
  <si>
    <t>Cattanio et al., 2004</t>
  </si>
  <si>
    <t>Intermediate</t>
  </si>
  <si>
    <t>Low-Lying</t>
  </si>
  <si>
    <t>High</t>
  </si>
  <si>
    <t>high point, tidal floodplain</t>
  </si>
  <si>
    <t>middle point, tidal floodplain</t>
  </si>
  <si>
    <t>low point, tidal floodplain</t>
  </si>
  <si>
    <t>soil pit + coring</t>
  </si>
  <si>
    <t>heavier (more clay)</t>
  </si>
  <si>
    <t>lighter (sandier)</t>
  </si>
  <si>
    <t>Dicotyledonous sp (92%).; palms (7); lianas (1)</t>
  </si>
  <si>
    <t>max depth extrapolated from Fig3 fine root profile; location guessed</t>
  </si>
  <si>
    <t>Combu Isl, near Belem, Brazil</t>
  </si>
  <si>
    <t>These observations suggest that root biomass occurred below the 1 m sampling depth at all topographic levels.</t>
  </si>
  <si>
    <t>Euterpe oleracea; Dicotyledonous sp</t>
  </si>
  <si>
    <t>this study did not detect a higher concentration of root biomass near the soil surface in topographically low sites... the ability of Euterpe oleracea, a characteristic species of low sites, to root deeply in the soil (Cattanio et al. 2002). We observed that the distinctive orange roots of E. oleracea comprised &gt; 50% of the root mass below 50 cm depth in the low sites. The aerenchyma observed in these roots, and the zones of soil oxidation associated with them, suggest that E. oleracea is well adapted to rooting in flooded soils.</t>
  </si>
  <si>
    <t>The presence of relatively high root biomass deep in the soil profile is especially noteworthy in an ecosystem subject to periodic flooding and characterized by heavy clay soils that are presumably poor in oxygen; deeply penetrating roots could play an important role in stabilizing the vegetation and, ultimately, reducing erosion.</t>
  </si>
  <si>
    <t>author report topo range of 3-4m, but on GoogleEarth the elevation is ~10m higher; max depth extrapolated from Fig3 fine root profile; location guessed</t>
  </si>
  <si>
    <t>Frangi &amp; Lugo, 1985</t>
  </si>
  <si>
    <t>Prestoea montana</t>
  </si>
  <si>
    <t>montane palm</t>
  </si>
  <si>
    <t>subtropical floodplain forest</t>
  </si>
  <si>
    <t>Puerto Rico, Luquillo Experimental Forest Biosphere Reserve</t>
  </si>
  <si>
    <t>3870-4700</t>
  </si>
  <si>
    <t>soil pits + coring</t>
  </si>
  <si>
    <t>0.25-2.00</t>
  </si>
  <si>
    <t>Almost pure palm stands are found on steep slopes and in floodplains of mountain streams. In both habitats they are exposed to saturated soil or periodic flooding. Five wells were dug to the permanent water table (25-200 cm) and lined with plastic pipe. A second
Leopold-Stevens water level recorder with an expanded scale was placed inside the forest to measure changes in the level of the water table in a well dug to 100 cm. Most of the root biomass (68%) was in the upper 20 cm of the soil profile( Fig. 3B)</t>
  </si>
  <si>
    <t>coarse with clay lenses</t>
  </si>
  <si>
    <t>location determined by given elevaton on GoogleEarth, on norh-facing slope and valley with palm forests</t>
  </si>
  <si>
    <t>Berish, 1982</t>
  </si>
  <si>
    <t>near Turrialba, Costa Rica</t>
  </si>
  <si>
    <t>Tropical premontane wet forest</t>
  </si>
  <si>
    <t>Jan-Mar dry</t>
  </si>
  <si>
    <t>weathered pyroclastic</t>
  </si>
  <si>
    <t>70yr old secondary-growth</t>
  </si>
  <si>
    <t>mzx depth extrapolated to below 0.85m sampling depth</t>
  </si>
  <si>
    <t>70yr secondary old-growth site</t>
  </si>
  <si>
    <t>Fine roots are concentrated near the surface esp. at the 70yr old forest site.</t>
  </si>
  <si>
    <t>Claus &amp; George, 2005</t>
  </si>
  <si>
    <t>Leinefelde, C. Germany</t>
  </si>
  <si>
    <t>European beech, maple, ash</t>
  </si>
  <si>
    <t>111yr old shelterbelt stand</t>
  </si>
  <si>
    <t>Tharandt, E. Germany</t>
  </si>
  <si>
    <t>Fagus sylvatica, Acer, Fraxinus</t>
  </si>
  <si>
    <t>97yr old plantation</t>
  </si>
  <si>
    <t>Roccarespampani, C. Italy</t>
  </si>
  <si>
    <t>oldest of 3 stand</t>
  </si>
  <si>
    <t>oldest of 4 stand</t>
  </si>
  <si>
    <t>Picea abies, Deschampsia</t>
  </si>
  <si>
    <t>Quercus cerris, Ruscus, Crataegus</t>
  </si>
  <si>
    <t>Turkey oak, Austrian oak</t>
  </si>
  <si>
    <t>16yr old, coppiced</t>
  </si>
  <si>
    <t>soil coring to 30cm</t>
  </si>
  <si>
    <t>Very gently to gently sloping</t>
  </si>
  <si>
    <t>Flat to very gently sloping</t>
  </si>
  <si>
    <t>Luvisol with high clay content</t>
  </si>
  <si>
    <t>At all age-classes of the Leinefelde site, there were very few roots in the thin organic layer. Many fine roots were located in the mineral soil layer of 0- to 10-cm depth, and there was a gradual decrease of fine-root biomass with depth in the mineral soil.</t>
  </si>
  <si>
    <t xml:space="preserve">At the Roccarespampani site, the same trend was apparent, although the decrease of fine-root biomass with depth was less marked. In both R9 and R3, there was no significant decrease in fine-root biomass from the soil layer at 10–20 cm depth to the layer at 20–30 cm depth. </t>
  </si>
  <si>
    <t>The organic layer was thicker in Tharandt than in Leinefelde and Roccarespampani (on average 4.65 cm). Thus, in Tharandt, the difference in fine-root biomass between age-classes was mainly due to biomass differences in the organic layer. At all age-classes at Tharandt, there was a gradual decrease of fine-root biomass with depth in the mineral soil.</t>
  </si>
  <si>
    <t>lat-lon pinpointed by elevation; max depth extrapolated from Fig.2 using data from the oldest stand</t>
  </si>
  <si>
    <t>Stagnic to Haplic Luvisol (O rich, nutrient rich, good drainage)</t>
  </si>
  <si>
    <t>Dystric to Dystri-Stagnic Cambisol (aggregates, nutrient rich, good drainage)</t>
  </si>
  <si>
    <t>Davis et al., 1983</t>
  </si>
  <si>
    <t>Stoodley</t>
  </si>
  <si>
    <t>Strahan</t>
  </si>
  <si>
    <t>Long Hill 1</t>
  </si>
  <si>
    <t>Mt. Helen</t>
  </si>
  <si>
    <t>depression</t>
  </si>
  <si>
    <t>broad crest</t>
  </si>
  <si>
    <t>base of slope</t>
  </si>
  <si>
    <t>soil coring to 80cm</t>
  </si>
  <si>
    <t>Tasmania, Australia</t>
  </si>
  <si>
    <t>tree savana</t>
  </si>
  <si>
    <t>Long Hill 2</t>
  </si>
  <si>
    <t>podzol, acid igneous outwash, ~40% clay</t>
  </si>
  <si>
    <t>krasnozem, basic, igneous, ~22% clay</t>
  </si>
  <si>
    <t>podzol, sedimentary argillaceous, clay increasing 9-34% with depth</t>
  </si>
  <si>
    <t xml:space="preserve">groundwater podzol, deep sand, silicious sand, </t>
  </si>
  <si>
    <t>podzol, sedimentary argillaceous, clay increasing 6-27% with depth</t>
  </si>
  <si>
    <t xml:space="preserve">On these five soils Pinus radiata exhibited similar plasticity of root form. Soil organic matter content provided the best correlation with root concentration wn the five sites. The high correlation is likely to be due to the favourable moisture and nutritional environments, where organic matter levels are greater, and to the observed preference for roots to grow along old root channels. </t>
  </si>
  <si>
    <t>tree height=15.2m, dbh=13·9cm; location guessed to be in depression; soils is called groundwater podzol but no GW data is given; the great surface root concentration is likely related to shallow GW; could not find rows of planted trees</t>
  </si>
  <si>
    <t>tree height=9.7m, dbh=13·5cm; location guessed to be on the broad crest of Long Hill, in rows of planted trees</t>
  </si>
  <si>
    <t>tree height=8.9m, dbh=10.1cm; location guessed to be at the base of the Long Hill, in rows of plated trees</t>
  </si>
  <si>
    <t>tree height=15.2m, dbh=24.0cm; location guessed to be on midslope in rows of planted trees</t>
  </si>
  <si>
    <t>tree height=17.5m, dbh=24.0cm; location guessed to be in neet-rows of plantations at mid slope; did not reach max depth</t>
  </si>
  <si>
    <t>Da Silva et al., 2015</t>
  </si>
  <si>
    <t>N of Manaus, Brazil</t>
  </si>
  <si>
    <t>access road to INPA field station</t>
  </si>
  <si>
    <t>Euterpe precatoria var. precatoria (Arecaceae</t>
  </si>
  <si>
    <t>Cabbage Palm</t>
  </si>
  <si>
    <t>evergreen tropical moist lowland forest</t>
  </si>
  <si>
    <t>excation to 1m</t>
  </si>
  <si>
    <t>Jul-Oct can be dry &lt;100mm</t>
  </si>
  <si>
    <t>clay rich Oxisols on plateau, sandy Spodosols in valley</t>
  </si>
  <si>
    <t>a solitary palm reported as the most abundant tree species in the Amazon; In February 2013, twenty individuals were harvested. roots including stilt roots and below-ground roots. field. Below-ground parts were excavated manually to include all coarse roots (&gt;2 mm). The horizontal distribution of root system was similar to that of crown on the basis of visual observation. The root depth was less than ca. 1 m. The present study found that E. precatoria showed higher root proportion than the non-palm tree species in the Amazon, which was partly explained by stilt root formation of this species.</t>
  </si>
  <si>
    <t>longitude given is 11-35 west, in the E Atlantic ocean. So location guessed to be at Moto de Linea research station of INPA, 60km NW Manaus, at elevation 80-120m.</t>
  </si>
  <si>
    <t>Imai et al., 2010</t>
  </si>
  <si>
    <t>Deramakot Forest Reserve</t>
  </si>
  <si>
    <t>Sabah, Malaysian Borneo</t>
  </si>
  <si>
    <t>no pronounced dry season</t>
  </si>
  <si>
    <t>Tertiary sedimentary rock</t>
  </si>
  <si>
    <t>Acrisols poor in nutrients, well drained, and easily eroded</t>
  </si>
  <si>
    <t>lowland tropical rain forest</t>
  </si>
  <si>
    <t>soil pits and core in wall</t>
  </si>
  <si>
    <t>We excavated three soil pits down to 1 m deep under closed canopy at each of the three topographic positions (nine soil pits in total) within the plot. Estimated coarse-root biomass was about three times larger than fine-root biomass; both phosphatase activity and fine-root density were the greatest in the topsoil (top 5 cm) and dramatically decreased with depth. This suggests that trees depend on the acquisition of P from the labile Po in the topsoil</t>
  </si>
  <si>
    <t>max rooting depth extrapolated from 1m profile</t>
  </si>
  <si>
    <t>mean of 3 positions along a slope</t>
  </si>
  <si>
    <t>Zhou et al., 2015</t>
  </si>
  <si>
    <t>Guerbantunggute desert, NW China</t>
  </si>
  <si>
    <t>Nitraria sibirica</t>
  </si>
  <si>
    <t>white thorn, desert cherry</t>
  </si>
  <si>
    <t>sandy, saline</t>
  </si>
  <si>
    <t>mostly as snow</t>
  </si>
  <si>
    <t>yes + photo</t>
  </si>
  <si>
    <t>4.65-5.82</t>
  </si>
  <si>
    <t>site moved 2km in natural vegetation (shrubs,not crops) and at 475m elevation; 6 plants ~0.8m high and 6.5m wide; tap root extrapolated from photo to be at least 4m, further confirmed by plant use of groundwater in summer</t>
  </si>
  <si>
    <t>N. sibirica has a dimorphic root system with horizontal roots extending to 4–6 m and a tap root that can reach 2.5 m below the surface. The main water sources of the species were extremely variable among seasons.</t>
  </si>
  <si>
    <t>hard calcite layer</t>
  </si>
  <si>
    <t>Equisetum fluviatile</t>
  </si>
  <si>
    <t>water horsetail, swamp horsetail</t>
  </si>
  <si>
    <t>Pinus rigida, Q. marilandica</t>
  </si>
  <si>
    <t>Dipterocarp spp.</t>
  </si>
  <si>
    <t>Lieffers &amp; Rothwell, 1987</t>
  </si>
  <si>
    <t>The location guessed by selecting a point closest to the 1S, 37E lat-lon, but at right elevation (2073m, or 6800ft) to the NE, at a place that looked like tree plantations NW of Muguga</t>
  </si>
  <si>
    <t>W. Florida, Choetawhatchee National Forest</t>
  </si>
  <si>
    <t>Jonasson &amp; Callaghan, 1992</t>
  </si>
  <si>
    <t>Sweedish Lapland</t>
  </si>
  <si>
    <t>Antennaria dioica</t>
  </si>
  <si>
    <t>mountain everlasting, stoloniferous pussytoes, catsfoot,  cudweed</t>
  </si>
  <si>
    <t>tundra</t>
  </si>
  <si>
    <t>Bartsia alpina</t>
  </si>
  <si>
    <t>alpine bartsia, velvetbells</t>
  </si>
  <si>
    <t>Calamagrostis lapponica</t>
  </si>
  <si>
    <t>Lappland reedgrass</t>
  </si>
  <si>
    <t>grass (rhizomatous)</t>
  </si>
  <si>
    <t>Carex capillaris</t>
  </si>
  <si>
    <t>hair-like sedge</t>
  </si>
  <si>
    <t>Cassiope hypnoides (Harrimanella hypnoides)</t>
  </si>
  <si>
    <t>moss bell heather</t>
  </si>
  <si>
    <t>forb (forming moss-like cusion)</t>
  </si>
  <si>
    <t>Cassiope tetragona</t>
  </si>
  <si>
    <t>Arctic bell-heather, white Arctic mountain heather, Arctic white heather</t>
  </si>
  <si>
    <t>drawrf shrub</t>
  </si>
  <si>
    <t>Festuca ovina</t>
  </si>
  <si>
    <t>Hard Fescue</t>
  </si>
  <si>
    <t>tufted grass</t>
  </si>
  <si>
    <t>northern firmoss, fir clubmoss</t>
  </si>
  <si>
    <t>Lycopodium selago (Huperzia selago)</t>
  </si>
  <si>
    <t>Pedicularis lapponica</t>
  </si>
  <si>
    <t>Lapland lousewort</t>
  </si>
  <si>
    <t>Phyllodoce coerulea</t>
  </si>
  <si>
    <t>blue heath, purple mountain heathe, blue mountainheath</t>
  </si>
  <si>
    <t>Polygonum viviparum (Bistorta vivipara)</t>
  </si>
  <si>
    <t>forb (rhizomatous)</t>
  </si>
  <si>
    <t>Salix reticulata</t>
  </si>
  <si>
    <t>net-leaved willow, snow willow</t>
  </si>
  <si>
    <t>shrub (prostrate, extensive underground stems)</t>
  </si>
  <si>
    <t>Solidago virgaurea</t>
  </si>
  <si>
    <t>European goldenrod, woundwort</t>
  </si>
  <si>
    <t>Tofieldia pusilla</t>
  </si>
  <si>
    <t>Scottish asphodel, Scottish false asphodel</t>
  </si>
  <si>
    <t>Vaccinium myrtillus</t>
  </si>
  <si>
    <t>common bilberry, blue whortleberry</t>
  </si>
  <si>
    <t>Sampling at Abisko took place on stable ground with graminoids, mostly Carex vaginata and C. parallela, as dominant species;</t>
  </si>
  <si>
    <t>The samples from stable ground were collected from tundra areas with Betula nana and ericaceous dwarf shrubs as dominant species</t>
  </si>
  <si>
    <t>Kamasjaure - intermediate site</t>
  </si>
  <si>
    <t>Kamasjaure - stable site</t>
  </si>
  <si>
    <t>Kamasjaure - frost heaved site</t>
  </si>
  <si>
    <t>Kamasjaure -frost heaved site</t>
  </si>
  <si>
    <t>Abisko - stable site</t>
  </si>
  <si>
    <t>The samples from disturbed ground at Kamasjaure were collected on systems of frost-heaved stone rings or- polygons. These areas show a distinct differentiation of their floristic composition.</t>
  </si>
  <si>
    <t>A minimum of twenty plants of each species was carefully excavated to retain as much as possible of the root system intact</t>
  </si>
  <si>
    <t>The roots of dwarf shrubs were shorter and more horizontal than those of the other life form</t>
  </si>
  <si>
    <t>Only one of the species, Cassiope hypnoides, had a vertical tap root</t>
  </si>
  <si>
    <t>Tofieldia pusilla differed from the other species studied by having curled roots,</t>
  </si>
  <si>
    <t>Solidago virgaurea had the thickest roots</t>
  </si>
  <si>
    <t>site moved slightly to non-forest areas with z=385m</t>
  </si>
  <si>
    <t>GE zoom-in is messed up here, preventing seeing the polygons of 3-7m wide. So the given lat-lon is used for all samples</t>
  </si>
  <si>
    <t>permofrost</t>
  </si>
  <si>
    <t>Whittle et al., 1998</t>
  </si>
  <si>
    <t>Linnaea borealis L.</t>
  </si>
  <si>
    <t>twinflower</t>
  </si>
  <si>
    <t>subshrub (w. stolons)</t>
  </si>
  <si>
    <t>Carex houghtonii Torr.</t>
  </si>
  <si>
    <t>Houghton's sedge</t>
  </si>
  <si>
    <t>Gaultheria procumbens L</t>
  </si>
  <si>
    <t>eastern teaberry, checkerberry, boxberry, American wintergreen</t>
  </si>
  <si>
    <t>shrub (long rhizomes)</t>
  </si>
  <si>
    <t>Maianthemum canadense Desf.</t>
  </si>
  <si>
    <t>Canadian may-lily, Canada mayflower, false lily-of-the-valley, Canadian lily-of-the-valley</t>
  </si>
  <si>
    <t>herb (rhizomatous)</t>
  </si>
  <si>
    <t>Amelanchier sp.</t>
  </si>
  <si>
    <t>shadbush, shadwood or shadblow, serviceberry or sarvisberry</t>
  </si>
  <si>
    <t>Apocynum androsaemifolium L.</t>
  </si>
  <si>
    <t>shrub (clonal)</t>
  </si>
  <si>
    <t>fly-trap dogbane or spreading dogbane</t>
  </si>
  <si>
    <t>forb (rapid spreading by stolons)</t>
  </si>
  <si>
    <t>Comptonia peregrina L. (Coulter)</t>
  </si>
  <si>
    <t>sweetfern, sweet-fern (not a fern)</t>
  </si>
  <si>
    <t>Kalmia angustifolia L.</t>
  </si>
  <si>
    <t>sheep laurel, narrow-leaved laurel and dwarf laurel</t>
  </si>
  <si>
    <t>shrub (rhizomes)</t>
  </si>
  <si>
    <t>Lycopodium cornplanaturn L. (Diphasiastrum digitatum)</t>
  </si>
  <si>
    <t>groundcedar, running cedar, crowsfoot, fan clubmoss</t>
  </si>
  <si>
    <t>evergreen scale-leaf</t>
  </si>
  <si>
    <t>forb (creeping)</t>
  </si>
  <si>
    <t>Lycopodium obscurum L.</t>
  </si>
  <si>
    <t>rare clubmoss, ground pine, prince's pine or princess pine</t>
  </si>
  <si>
    <t>Prunus pumila L.</t>
  </si>
  <si>
    <t>sand cherry</t>
  </si>
  <si>
    <t>Pteridium aquilinum L. (Kuhn)</t>
  </si>
  <si>
    <t>Vaccinium angustifolium Ait.</t>
  </si>
  <si>
    <t>lowbush blueberry</t>
  </si>
  <si>
    <t>Vaccinium myrtilloides Michx.</t>
  </si>
  <si>
    <t>common blueberry, velvetleaf huckleberry, velvetleaf blueberry, Canadian blueberry, and sourtop blueberry</t>
  </si>
  <si>
    <t>Rubus ullegheniensis (reproductive roots) had no discrete area of burial and were located in duff, upper mineral, and deep mineral soil</t>
  </si>
  <si>
    <t>rhizome primarily in the organic layer</t>
  </si>
  <si>
    <t>rhizome primarily in the mineral soils</t>
  </si>
  <si>
    <t>The reported mean depth + the 1 std given is used here (87% probability)</t>
  </si>
  <si>
    <t>for all cases of rhizome in the mineral soil, depth in the mineral soil is given, which is added with 5cm, the mean depth of the organic layer obtained from the 3 cases where rhizomes are at the organic-mineral interface</t>
  </si>
  <si>
    <t>shrub (suckering) (non-legume nitrogen fixer)</t>
  </si>
  <si>
    <t>All other vegetatively reproducing species examined, with the exception of Rubus alleghaniensis Porter, had rhizomes buried deeper than 25 cm into mineral soil.</t>
  </si>
  <si>
    <t>&gt; 0.03 (rhizome)</t>
  </si>
  <si>
    <t>&gt; 0.07 (rhizome)</t>
  </si>
  <si>
    <t>&gt; 0.08 (rhizome)</t>
  </si>
  <si>
    <t>&gt; 0.10 (rhizome)</t>
  </si>
  <si>
    <t>&gt; 0.3 (rhizome)</t>
  </si>
  <si>
    <t xml:space="preserve"> &gt; 0.11 (rhizome)</t>
  </si>
  <si>
    <t>&gt; 0.12 (rhizome)</t>
  </si>
  <si>
    <t>&gt; 0.17 (rhizome)</t>
  </si>
  <si>
    <t>&gt; 0.4 (rhizome)</t>
  </si>
  <si>
    <t>eastern Ontario, Canada</t>
  </si>
  <si>
    <t>a Jack Pine ecosystem</t>
  </si>
  <si>
    <t>humo-ferric podzol in fine grained deep sand (10-30m deep)</t>
  </si>
  <si>
    <t>all species studied here are the undergrowth in a jack pine forest after burn; all rooting depths recorded here are depths of the reproductive rhizomes from which new shoots arise, not the maximum rooting depths which are likely deeper</t>
  </si>
  <si>
    <t>For each of the fifteen plant species examined, ten underground rooting systems were manually exposed from the forest floor using hand tools. Each plant system was excavated up to distance of 5 m horizontally from the original plant and up to a depth of 25 cm. Once uncovered, the location of each rhizomelroot system was classified as primarily occurring within the duff, dufflmineral interface or the mineral soil. Depth to deepest component was also determined for each rhizome/root. In situ examination of root systems revealed that Linnaea boreal is L., Cnrex houglztoniiTorr., Gnultheriaprocunzberzs L., and Maiantlzemunz canadense Desf. had rhizomes buried at or above the dufflmineral interface</t>
  </si>
  <si>
    <t>Lycopodium cornplanaturn, Lycopodium obscurum and Pteridiurn aquilinum were predominately rooted within the mineral soil at depths less than 10 cm</t>
  </si>
  <si>
    <t>flat, near a lake</t>
  </si>
  <si>
    <t>Roberts &amp; Herty, 1934</t>
  </si>
  <si>
    <t>near Poughkeepsie, NY</t>
  </si>
  <si>
    <t>ground pine, groundcedar</t>
  </si>
  <si>
    <t>Lycopodium complanatum Var. Flabelliforme Fernald</t>
  </si>
  <si>
    <t>drawing of rhizome-root systems</t>
  </si>
  <si>
    <t>The root system is extensive, one main root and its branches occupying an area averaging four inches wide and five inches deep (PI. I,y fig. I ).</t>
  </si>
  <si>
    <t>Lab study - no site. The authors are from VASSAR COLLEGE, POUGHKEEPSIE, NEW YORK. Lat-lon is a forest near Hudson River, to reflect the general area</t>
  </si>
  <si>
    <t xml:space="preserve">SE China, Gutian Mountain National Nature Reserve, Zhejiang Province </t>
  </si>
  <si>
    <t>subtropic evergreen forest</t>
  </si>
  <si>
    <t>Diplopterygium glaucum (Thunb.exHoutt.)Nakai(Gleicheniaceae)</t>
  </si>
  <si>
    <t>&lt; 0.3 (rhizome)</t>
  </si>
  <si>
    <t>cutting</t>
  </si>
  <si>
    <t>thesoilwascut
down toadepthof30cmwithasharpbladearoundthe
perimeter ofoneplotineachpair,chosenatrandom,adepth
sufficient toseverallrhizomesof D. glaucum crossing intoorout of theplot.</t>
  </si>
  <si>
    <t>location is center of box given</t>
  </si>
  <si>
    <t>Du et al., 2010</t>
  </si>
  <si>
    <t>monsoonal</t>
  </si>
  <si>
    <t>Rawitscher et al, 1952</t>
  </si>
  <si>
    <t>Caatinga (dry bush)</t>
  </si>
  <si>
    <t>Campo Cerrado (tree savanna)</t>
  </si>
  <si>
    <t>Capparis yco Mart. (Colicodendron yco Mart.)</t>
  </si>
  <si>
    <t>near Queimadas, Bahia state, NE Brazil</t>
  </si>
  <si>
    <t>We collect leaves of Capparis YCO 12 noon on 12 December, a place not extremely dry, close to Queimadas; The roots of Capparis Yco can penetrarate about 5 meters deep; we could observe a new embankment of a haul road.</t>
  </si>
  <si>
    <t>translated from Portugues; location guessed based on author descriptions</t>
  </si>
  <si>
    <t>in the caper family</t>
  </si>
  <si>
    <t>mostly in May-Sept</t>
  </si>
  <si>
    <t>near a stream</t>
  </si>
  <si>
    <t>evergreen broad-leaf?</t>
  </si>
  <si>
    <t>Comino &amp; Druetta, 2010</t>
  </si>
  <si>
    <t>2.0-3.0</t>
  </si>
  <si>
    <t>Festuca pratensis, Lolium perenne, Poa pratensis</t>
  </si>
  <si>
    <t>Site A</t>
  </si>
  <si>
    <t>Site B</t>
  </si>
  <si>
    <t>Site C</t>
  </si>
  <si>
    <t>NW Italy, foothill of Italian Alps</t>
  </si>
  <si>
    <t>meadow fescue, perennial rye-grass (or English ryegrass or winter ryegrass), Kentucky bluegrass (or smooth meadow-grass, or common meadow-grass)</t>
  </si>
  <si>
    <t>excavation?</t>
  </si>
  <si>
    <t>foothill, till / alluvium 10-30m deep</t>
  </si>
  <si>
    <t>sand/silt</t>
  </si>
  <si>
    <t>sand/gravel</t>
  </si>
  <si>
    <t>silt/sand</t>
  </si>
  <si>
    <t>This research investigates the stabilizing action offered by grass roots, which in the alpine environment reach a depth of 200–300 mm in few months.</t>
  </si>
  <si>
    <t>Roux et al., 2009</t>
  </si>
  <si>
    <t>Kamiesberg, N Cape, South Africa</t>
  </si>
  <si>
    <t>woody scrub, classified as Kamiesberg Granite Fynbos</t>
  </si>
  <si>
    <t>Isoetes eludens</t>
  </si>
  <si>
    <t xml:space="preserve">ephemeral pool on granite ridge </t>
  </si>
  <si>
    <t>The I. eludens population in the pool consists of approximately 250 to 300 plants and grows in clear water 100 – 150 mm deep; endemic to this pool only</t>
  </si>
  <si>
    <t>Bouillet, 2002</t>
  </si>
  <si>
    <t>Gaines et al., 2015</t>
  </si>
  <si>
    <t>Shale Hills CZO, central Pennsylvania</t>
  </si>
  <si>
    <t>temperate mixed hardwood forest</t>
  </si>
  <si>
    <t>ridge</t>
  </si>
  <si>
    <t>valley</t>
  </si>
  <si>
    <t>Due to seasonally saturated conditions, valley soils had redoximorphic features at ∼0.3–0.5 m depth</t>
  </si>
  <si>
    <t>root length sampling was done on N-facing slope near outlet</t>
  </si>
  <si>
    <t>Quercu, Acer, Pinus species</t>
  </si>
  <si>
    <t>oak, maple, pine</t>
  </si>
  <si>
    <t>well-draines silt loam, shale fragments</t>
  </si>
  <si>
    <t>fine loam, higher clay content, frequent saturation</t>
  </si>
  <si>
    <t>soil coring to 1.02m</t>
  </si>
  <si>
    <t>soil coring to 1.09m</t>
  </si>
  <si>
    <t>soil coring to 0.99m</t>
  </si>
  <si>
    <t>fractured shale of many meters deep</t>
  </si>
  <si>
    <t>~0.5</t>
  </si>
  <si>
    <t>~1.0</t>
  </si>
  <si>
    <t>~2.0</t>
  </si>
  <si>
    <t>valley, not as well drained</t>
  </si>
  <si>
    <t>ridge, well drained</t>
  </si>
  <si>
    <t>mid slope, well drained</t>
  </si>
  <si>
    <t>Based on multiple lines of evidence, including stable isotope natural abundance, sap flux and soil moisture depletion patterns with depth, the majority of water uptake during the dry part of the growing season occurred, on average, at less than ∼60 cm soil depth throughout the catchment... these types of forests may rely considerably on water sources that are quite shallow, even in the drier parts of the growing season.</t>
  </si>
  <si>
    <t>this is a good examle of per-humid climate with frequent rain and shallow rooting</t>
  </si>
  <si>
    <t>min Jul, max Sep-Dec</t>
  </si>
  <si>
    <t>S France, Restinclières farm estate, near Montpellier</t>
  </si>
  <si>
    <t>alley-cropping plot</t>
  </si>
  <si>
    <t>crop-tree intercropping</t>
  </si>
  <si>
    <t>Juglans regia×nigra cv. NG23</t>
  </si>
  <si>
    <t xml:space="preserve"> eastern black walnut</t>
  </si>
  <si>
    <t>5.0 - 7.0</t>
  </si>
  <si>
    <t>mini rhizotron</t>
  </si>
  <si>
    <t>the lat-lon given is in a forest on ridge top; moved to nearest inter-crop field</t>
  </si>
  <si>
    <t>silty clay (25 % clay 60 % silt) deep alluvial fluvisol</t>
  </si>
  <si>
    <t>Deep (&gt;2.5 m) root growth occurred at two distinct periods, at bud break in spring and throughout the winter i.e., after leaf fall. In contrast, shallow roots grew mainly during the spring-summer period. Maximum root elongation rates ranged from 1 to 2 cmday−1 depending on soil depth.Most rootmortality occurred in upper soil layers whereas only 10 % of fine
roots below 4 m died over the study period... conditions. At our study site, a water table is present at a depth between 5 and 7 m and soil volumetric moisture varied little during spring and early summer months throughout the soil profile (data not shown), except in the topsoil.</t>
  </si>
  <si>
    <t>Mendes et al., 2016</t>
  </si>
  <si>
    <t>SC Portugal, Tagus valley</t>
  </si>
  <si>
    <t>Belmonte</t>
  </si>
  <si>
    <t>Carro Quebrado</t>
  </si>
  <si>
    <t>Haplic Arenosols (AR) on sand</t>
  </si>
  <si>
    <t>AR interspersed with Stagnic Luvisols (LV) on sandstones, w/ clay layers</t>
  </si>
  <si>
    <t>cork oak</t>
  </si>
  <si>
    <t>Quercus suber L.</t>
  </si>
  <si>
    <t>alluvial valley</t>
  </si>
  <si>
    <t>2.0 - 3.1</t>
  </si>
  <si>
    <t>2.5 - 3.8</t>
  </si>
  <si>
    <t>Cork oak relies upon a dimorphic root system which allows the access and use of groundwater resources during the summer dry season</t>
  </si>
  <si>
    <t>elevation given 22m, lower than GE. Rooting depth here is inferred - no direct measurements. Correlation between cork rings and P and the shallow WTD suggest that the trees use GW during drughts. These 2 data points should be treated separately.</t>
  </si>
  <si>
    <t>6 mon dry season</t>
  </si>
  <si>
    <t>Christina et al., 2016</t>
  </si>
  <si>
    <t>85% in Oct-May</t>
  </si>
  <si>
    <t>deep Ferralsols on Cretaceous sandstone</t>
  </si>
  <si>
    <t>across fence of different grazing history</t>
  </si>
  <si>
    <t>Syahrinudin, 2005</t>
  </si>
  <si>
    <t>East Kalemantan, Indonesia</t>
  </si>
  <si>
    <t>Imperata cylindrica</t>
  </si>
  <si>
    <t>blady grass, cogon grass, Kunai grss, Japanese bloodgrass</t>
  </si>
  <si>
    <t>soil coring t 3m</t>
  </si>
  <si>
    <t>Acacia mangium</t>
  </si>
  <si>
    <t>Black Wattle, Hickory Wattle, Mangium, and Forest Mangrove</t>
  </si>
  <si>
    <t>Elaeis guineensis</t>
  </si>
  <si>
    <t>African oil palm or macaw-fat</t>
  </si>
  <si>
    <t>near Kenangan, Balikpapan</t>
  </si>
  <si>
    <t>N. and S. Sumatra, Indonesia</t>
  </si>
  <si>
    <t>near Jambi, S. Sumatra</t>
  </si>
  <si>
    <t>palm</t>
  </si>
  <si>
    <t>deeply weathered SL-SiCL on SC-C</t>
  </si>
  <si>
    <t>deeply weathered SL-SiCL on CL-C</t>
  </si>
  <si>
    <t>deforested, abandoned, invaded by Cogon grass</t>
  </si>
  <si>
    <t>9yr old Acacia plantation</t>
  </si>
  <si>
    <t>16 soil cores to 3m, sometimes hitting "less-whethered parent material"</t>
  </si>
  <si>
    <t>Root biomass of I. cylindrica grasslands was distributed to a maximum depth of 180 cm. However, most of the roots were confined to the top soil layer; 88.4% of the roots was found in the top 35 cm; have a dense mat of rhizomes near the surface</t>
  </si>
  <si>
    <t>All lations for this study are vague; the climate chart gives the city and elevation. Sites chosen to be close, 2nd cite near the timber crop institute. Google earth shows land cover (grass vs tree vs palm)</t>
  </si>
  <si>
    <t>Twenty trees were harvested and uprooted (for coarse roots); Fine root and soil samples were drawn at 17 drilling points to a depth of 3 m (using an 8-cm-diameter soil core auger in 15 cm increments); In the 3 m-deep soil profile, more than 50% of the fine root biomass was found in the top 30 cm. (5m root depth is interpolated by the authors - see oil palm section, and Fig4.2)</t>
  </si>
  <si>
    <t>30yr old palm plantation</t>
  </si>
  <si>
    <t>10yr old palm plantation</t>
  </si>
  <si>
    <t>soil coring t 5m</t>
  </si>
  <si>
    <t>&gt; 5</t>
  </si>
  <si>
    <t>The author states: "root biomass in both sites was higher than that of I. cylindrica in the neighborhood of the respective sites,…" suggesting that the grass sites are close to the palm sites.</t>
  </si>
  <si>
    <t>root biomass was sampled and collected at 16 drilling points in each subplot (three subplots / plot) to a depth of 5 m; In the 5-m deep soil profile, more than 50% of the root biomass was found in the top 60 cm. However, compared to I. cylindrica grassland, the roots of the oil palm penetrated much deeper, i.e., to a depth of 5 m;</t>
  </si>
  <si>
    <t>Yuen et al., 2013</t>
  </si>
  <si>
    <t>soil coring and pits</t>
  </si>
  <si>
    <t>Chiang Mai, Tailand</t>
  </si>
  <si>
    <t>secondary forest</t>
  </si>
  <si>
    <t>tropical rain forest</t>
  </si>
  <si>
    <t>secondary evergreen and bamboo forest</t>
  </si>
  <si>
    <t>a demonstration study at the Pong Khrai Royal Forest Department Research station, located in Mae Sa Catchment, Chiang Mai, Thailand (18 54’N and 098 48’E). In July 2013, we excavated tree roots from alive, newly toppled trees. Within a 50 x 50 m plot in a dry secondary evergreen forest, roots were extracted in several locations via augering vertically in 15 cm increments to a depth of 1.05 m. The 15-cm core was separated into three 5-cm sub-cores (internal diameter 4.8 cm). In addition, 2-m soil pits were excavated by hand in evergreen (n = 2), pine, and bamboo-dominated forests. Soil samples were then collected with a 5-cm core, at 10-cm increments down to 2 m.</t>
  </si>
  <si>
    <t>insufficient info to separate the 4 types of forest so only the deepest (2m) of the 4 profiles is reported, assuming 1 location</t>
  </si>
  <si>
    <t>Cardinael et al., 2015</t>
  </si>
  <si>
    <t>&gt; 4.0</t>
  </si>
  <si>
    <t>subhumid Mediterranean</t>
  </si>
  <si>
    <t>N. of Montpellier, France</t>
  </si>
  <si>
    <t>silty deep alluvial fluvisols, 25% clay, 60% silt</t>
  </si>
  <si>
    <t>flat, 1 degree slope</t>
  </si>
  <si>
    <t>Juglans regia×nigra L.</t>
  </si>
  <si>
    <t>Triticum turgidum L. subsp. durum</t>
  </si>
  <si>
    <t>The site is near the Lez river watershed and the depth from the soil surface to the water table usually oscillates between 5 m in winter and 7 m in the summer.</t>
  </si>
  <si>
    <t>inter cropping site: trees 13x4m spacing</t>
  </si>
  <si>
    <t>Durum wheat</t>
  </si>
  <si>
    <t>trench wall to 4m depth</t>
  </si>
  <si>
    <t>trench wall to 1.6m depth</t>
  </si>
  <si>
    <t>&gt; 1.6</t>
  </si>
  <si>
    <t>site give is in narual forests; moved to Restinclières, an inter-cropping patch with "east-west orientation" similar to Fig.1a but higher elevation (53m given); Too bad none of the pits reached the maximum depths of either the wheat or the tree (profiles shows even increasing root density deeper)</t>
  </si>
  <si>
    <t>López et al. 2001</t>
  </si>
  <si>
    <t>NE Spain</t>
  </si>
  <si>
    <t>Prades Experimental Complex of Catchments</t>
  </si>
  <si>
    <t>well structured clay-loam</t>
  </si>
  <si>
    <t>0.0-0.8-1.5 from hill to valley</t>
  </si>
  <si>
    <t>NE facing</t>
  </si>
  <si>
    <t>tamarack, eastern larch</t>
  </si>
  <si>
    <t>Quercus ilex L.</t>
  </si>
  <si>
    <t>evergreen oak, holly oak, holm oak</t>
  </si>
  <si>
    <t>Fine root density was higher in the 50–60-cm depth interval than in the 40–50-cm depth interval. This may reflect the existence of bedrock with few cracks at a depth of 50 to 100 cm, which by trapping water, may have improved water availability in the 50–60-cm depth interval</t>
  </si>
  <si>
    <t>site slightly moved to be NE facing at 650-750m elevation; soil water content increasing with depth; did not reach max depth; profile data (Fig4a) suggests deeper than 0.8m, maybe in bedrock; authors mentioned fractures storing water</t>
  </si>
  <si>
    <t>Montoroi et al. 2016</t>
  </si>
  <si>
    <t>Khon Kaen, NE Tailand</t>
  </si>
  <si>
    <t>tropical savanna / nonsoon</t>
  </si>
  <si>
    <t>mostly May-Oct</t>
  </si>
  <si>
    <t>PBK1, hill top</t>
  </si>
  <si>
    <t>PBk5, mid slope</t>
  </si>
  <si>
    <t>&gt; 32</t>
  </si>
  <si>
    <t>deep well boring</t>
  </si>
  <si>
    <t>dimorphic roots clearly shown under hill top; water table has risen after deforestation which has preserved the roots 60yrs after deforestation</t>
  </si>
  <si>
    <t>Dipterocarpus forest</t>
  </si>
  <si>
    <t>deforested farm land</t>
  </si>
  <si>
    <t>hill top</t>
  </si>
  <si>
    <t>20 (current)</t>
  </si>
  <si>
    <t>13 (current)</t>
  </si>
  <si>
    <t>densely fractured sand- and siltston</t>
  </si>
  <si>
    <t>sand layer over claey layer over fractured bedrcok</t>
  </si>
  <si>
    <t>The distribution of root biomass as a function of depth indicates a high amount of root biomass at a depth ranged from 20 m to 32 m; The current presence of a water table suggests that the roots of the past trees had to reach a watersaturated zone, probably deeper, to meet the water and nutrient requirements; It is widely accepted that the change in land use has led to a radical change in the hydrological balance within the NT, namely a rise in groundwater due to the increase in deep aquifer recharge, an evapotranspiration decrease of seasonal crops</t>
  </si>
  <si>
    <t>Dipterocarpus</t>
  </si>
  <si>
    <t>Mulia &amp; Dupraz, 2006</t>
  </si>
  <si>
    <t>Populus euramericana cv. I214</t>
  </si>
  <si>
    <t>hybrid poplar</t>
  </si>
  <si>
    <t>soil coring to 3m</t>
  </si>
  <si>
    <t>sandy alluvial fluvisol, 8% clay, 42% silt, 50% sand, gravel at 1.1–1.3 m and 2.5–2.9 m depth</t>
  </si>
  <si>
    <t>In both our plots, the alluvial water table was 3–4 m deep at the end of the summer, calling for exploring the tree root profiles to a depth of 3 m.</t>
  </si>
  <si>
    <t>site moved to a nearby tree plantation at 138m elevation; dimorhic root profiles found; did not record the Restinclie`res site because it is the same site as Cardinael et al 2015 (walnut and wheat)</t>
  </si>
  <si>
    <t>Ve´ze´nobres site</t>
  </si>
  <si>
    <t>S~ao Paulo State, SE Brazil</t>
  </si>
  <si>
    <t>Cretaceous sandstone</t>
  </si>
  <si>
    <t>this is a modeling study but nearly all the variables are also measured in tht field through the rotation cycle. Recorded here are water table depth and rooting depth amongst all the observations. The model performs very well in simulating the many variables including soil moisture at multiple levels to 10m depth</t>
  </si>
  <si>
    <t>David et al., 2013</t>
  </si>
  <si>
    <t>near Lisbon, Portugal</t>
  </si>
  <si>
    <t xml:space="preserve"> cork oak</t>
  </si>
  <si>
    <t>Companhia das Lezirias</t>
  </si>
  <si>
    <t>mostly in Oct-Apr</t>
  </si>
  <si>
    <t>well-drained deep Haplic Arenosol, high K, thick clay 9m</t>
  </si>
  <si>
    <t>Results showed a dimorphic root system with a network of superficial roots linked to sinker roots, and a taproot diverting into tangles of deep fine roots submerged for long periods, with parenchyma aerenchyma. Transpiration was not restricted in summer due to root access to groundwater. The isotopic d18O signature of twig xylem water was similar to that of groundwater in the dry season.</t>
  </si>
  <si>
    <t>1.5-4.5</t>
  </si>
  <si>
    <t>site moved closer to 15m elevation; most comprehensive study with sap flow, soil and groundwater, isotopes; dimorphic profile</t>
  </si>
  <si>
    <t>David et al., 2004</t>
  </si>
  <si>
    <t>Quercus rotundifolia</t>
  </si>
  <si>
    <t>sweet acorn oak</t>
  </si>
  <si>
    <t>Herdade da Mitra experimental area</t>
  </si>
  <si>
    <t>near Évora, SE Lisbon, Portugal</t>
  </si>
  <si>
    <t>crown pruned, understory grazed by sheet/goats</t>
  </si>
  <si>
    <t>fractured gneiss</t>
  </si>
  <si>
    <t>very shallow (0.3m deep) sandy Cambisol</t>
  </si>
  <si>
    <t>13-15</t>
  </si>
  <si>
    <t>Tree roots must thus have direct access to the 13m deep water table in order to sustain the summer transpiration when the upper soil dries out. The groundwater reservoir is located at a highly fractured
and permeable rock layer, which may be indicative of small seasonal water table fluctuations. Under such conditions, the occurrence of long lasting anaerobic conditions in the upper layers is unlikely, allowing the development and the maintenance of a deep root system. The small variation in water potential near the roots during the study period (Fig. 8) is consistent with the direct access of roots to the water  table, suggesting a continued water supply from the groundwater.</t>
  </si>
  <si>
    <t>sap flow, stem water potential near root</t>
  </si>
  <si>
    <t>site moved to match given elevation and to aforesst; rooting depth inferred from sapflow in summer drought, given shallow soil and fractured rock aquifers below</t>
  </si>
  <si>
    <t>Zhang et al., 1999</t>
  </si>
  <si>
    <t>Reading, England</t>
  </si>
  <si>
    <t>University</t>
  </si>
  <si>
    <t>Sonning Farm of Reading University</t>
  </si>
  <si>
    <t>floodplain of the River Thames</t>
  </si>
  <si>
    <t>1.2 - 1.3</t>
  </si>
  <si>
    <t>Populus trichocarpa Torr. &amp; A. Gray  x P. tacamahaca L. (Clone TT32).</t>
  </si>
  <si>
    <t>soil coring to 1.5m</t>
  </si>
  <si>
    <t>site moved off street to a row of trees; rooting profile not given directly but reported in Zhang 1996 thesis, although authors state "Three soil cores at distances of 0, 1 and 2 m from the line of trees were taken in early August to determine root distribution vertically and horizontally along the line of trees"</t>
  </si>
  <si>
    <t>The seasonal pattern of tree water loss followed potential evaporation with a peak in late June or early July; The water balance of the system indicated that poplar trees took 15--60% of water transpired from groundwater, with the proportion increasing as the soil in the unsaturated zone dried out</t>
  </si>
  <si>
    <t>experimental farm</t>
  </si>
  <si>
    <t>temporate broad-leaf forest</t>
  </si>
  <si>
    <t>Grevillea robusta</t>
  </si>
  <si>
    <t>Senna spectabilis</t>
  </si>
  <si>
    <t>&gt; 3.0</t>
  </si>
  <si>
    <t>Livesley et al., 2000</t>
  </si>
  <si>
    <t>very fine, kaolinitic, 73% clay, 8% sand</t>
  </si>
  <si>
    <t>trench wall to 3.3m depth</t>
  </si>
  <si>
    <t>soil coring to 1.8m</t>
  </si>
  <si>
    <t xml:space="preserve">Root length density of grevillea, senna and maize was greatest in the topsoil and generally decreased exponentially with depth. Root length density of both tree species decreased in the topsoil during the cropping season (Figures 3 and 4). </t>
  </si>
  <si>
    <t>southern silky oak, silky oak, or Australian silver oak</t>
  </si>
  <si>
    <t>elevation seems 100m higher on GE; caution: trees only 3 years old; A classi example of deep soil, abundant rain, and exponential profile</t>
  </si>
  <si>
    <t>Spectacular cassia, mhomba (Kiswahili), mwenu (Kikuyu); calceolaria shower, cassia, pisabed, yellow shower</t>
  </si>
  <si>
    <t>Nyabeda, western Kenya</t>
  </si>
  <si>
    <t>inter-cropping</t>
  </si>
  <si>
    <t>Joslin et al., 2006</t>
  </si>
  <si>
    <t>Oak Ridge, TN</t>
  </si>
  <si>
    <t>west ORR sites</t>
  </si>
  <si>
    <t>east ORR sites</t>
  </si>
  <si>
    <t>Quercus alba L.. Q. prinus L., Q. coccinea Muenchh., Q. falcata Michx., Q. rubra L.</t>
  </si>
  <si>
    <t>white oak, chestnut oak, scarlet oak, southern red oak, northern red oak</t>
  </si>
  <si>
    <t>All sites are upland-oak forests; Cores were divided into four mineral soil-depth intervals (0–15, 15–30, 30–60, 60–90 cm); Averaging across all sites, approx. 50% of the total profile fine-root mass was in the 0–15-cm layer of the mineral soil. The 15–30-cm depth interval contained 16% of total root mass. The thicker 30–60-cm interval contained 17%, while 60–90 cm had approx. 10%. The O horizon (1–5 cm thick) contained 7%.</t>
  </si>
  <si>
    <t>sites roughly located based on the EOS article by Trumbore et al., 2002; coring seems to encounter and be stopped at rocky material; coring depth to 90cm not always achieved</t>
  </si>
  <si>
    <t>Hendrick &amp; Pregitzer, 1996</t>
  </si>
  <si>
    <t>N. lower peninsula, Michigan</t>
  </si>
  <si>
    <t xml:space="preserve">Acer saccharum, Acer rubrum (L.), Fagus grandifolia (L.), Prunus serotina (Ehrh.), Quercus rubra (L.). </t>
  </si>
  <si>
    <t>sugar and red maple, American beech, black cherry, red oak</t>
  </si>
  <si>
    <t>southern forest</t>
  </si>
  <si>
    <t>northern forest</t>
  </si>
  <si>
    <t>Alfic and Typic Haplorthods on glacial till</t>
  </si>
  <si>
    <t>Entic and Typic Haplorthods on glacial till</t>
  </si>
  <si>
    <t>minirhizotrons to 1.1m depth</t>
  </si>
  <si>
    <t>southern site has dimorphic root production all yr except spring (Fig.1)</t>
  </si>
  <si>
    <t>shallow roots were responsible for the majority of total production and mortality. Nearly half of all roots growing and dying in the 1 -m profile occurred in the upper 20 cm of the soil, while roots located at depths of 75 cm or more accounted for only 11% of annual production and 4% of annual mortality. .. Episodic deep root production during the growing season appeared to be related to periods of high water deman.</t>
  </si>
  <si>
    <t>N. of Poite Noire, Congo</t>
  </si>
  <si>
    <t>&gt; 6.0</t>
  </si>
  <si>
    <t>deep Ferralic Arenosols, 85% sand</t>
  </si>
  <si>
    <t>white gum</t>
  </si>
  <si>
    <t>Eucalyptus alba x hybrids</t>
  </si>
  <si>
    <t>trech wall</t>
  </si>
  <si>
    <t>site picked in plantation 80m elevation 20km N of Pointe Noire; rooting depth inferred from soil organic material (Table-1); method inferred from Laclau et al 2001 which listed the same soil properties and described the method of counting roots on exposed trech walls</t>
  </si>
  <si>
    <t>Laclau et al., 2004, 2001</t>
  </si>
  <si>
    <t>From the 2001 paper: There was both vertical and horizontal anisotropy in the distribution of fine roots in the three profiles, with root density decreasing sharply with depth and increasing with distance from the stump. There were large areas with low root density, even in the topsoil. Below a depth of 3 m, fine roots were spatially concentrated and most of the soil volume was not explored by roots.</t>
  </si>
  <si>
    <t>Germon et al. 2016</t>
  </si>
  <si>
    <t>primary tropical rain forest</t>
  </si>
  <si>
    <t>Burkea africana, Isoberlinia doka, Monotes kerstingii, Afrormosia laxiflora, Butyrospermum paradoxum, Erythrophleum africanum and Terminalia avicennioid; grass: Hyparrhenia subplumosa, H. chrysargyrea, Schizachyrium domingense, Loudetiopsis scaettae, Andropogon ascinodis, A. schirensis and Monocymbium ceresiiform</t>
  </si>
  <si>
    <t>Salis et al., 2014</t>
  </si>
  <si>
    <t xml:space="preserve">Nhecolândia Pantanal, MG, Brazil </t>
  </si>
  <si>
    <t>savanna woodland, Nhumirim Experimental Farm</t>
  </si>
  <si>
    <t>open woody savanna, Nhumirim Experimental Farm</t>
  </si>
  <si>
    <t>mostly in May-Sep</t>
  </si>
  <si>
    <t>mostly Oct-Apr</t>
  </si>
  <si>
    <t>Tropical savanna</t>
  </si>
  <si>
    <t>Annona dioica A.St.-Hil</t>
  </si>
  <si>
    <t>0.7+-0.2</t>
  </si>
  <si>
    <t>mean of 10 samples</t>
  </si>
  <si>
    <t>Casearia sylvestris Sw.</t>
  </si>
  <si>
    <t>Cecropia pachystachya Trécul</t>
  </si>
  <si>
    <t>Curatella americana L.</t>
  </si>
  <si>
    <t>Dipteryx alata Vogel</t>
  </si>
  <si>
    <t>Mouriri elliptica Mart.</t>
  </si>
  <si>
    <t>Sapium haematospermum Müll.Arg.</t>
  </si>
  <si>
    <t>Simarouba versicolorA.St.-Hil.</t>
  </si>
  <si>
    <t>Tabebuia aurea Benth. &amp; Hook.f.</t>
  </si>
  <si>
    <t>Zanthoxylum rigidum Humb. &amp; Bonpl.</t>
  </si>
  <si>
    <t>Annona dioica</t>
  </si>
  <si>
    <t>mean of 15 samples</t>
  </si>
  <si>
    <t>Bowdichia virgilioides Kunth</t>
  </si>
  <si>
    <t>Byrsonima cydoniifolia Mart.</t>
  </si>
  <si>
    <t>Caryocar brasiliense Cambess.</t>
  </si>
  <si>
    <t>Diospyros hispida A.DC.</t>
  </si>
  <si>
    <t>Mouriri elliptica</t>
  </si>
  <si>
    <t>Stryphnodendron adstringens (Mart.)
Coville</t>
  </si>
  <si>
    <t>Tabebuia aurea</t>
  </si>
  <si>
    <t>sandy Spodosols, 94-96% sand, unfertile</t>
  </si>
  <si>
    <t>mean of 4 samples, max=1.4m ("The deepest recorded root depths were 1.4 m (Zanthoxylum rigidum) for savanna woodland")</t>
  </si>
  <si>
    <t>The root systems of woody species in savanna physiognomies in the Pantanal are shorter and lighter than those observed in other savannas, due to the singular effect of the higher water table level in relation to the soil surface. Most species in the Pantanal are typical of savanna vegetation occurring in Brazil’s central-western plateau, such as..., which were described by Rawitscher (1948) as having deep roots (3 to 8 m). In these same species, we observed shorter roots (&lt;1.4 m) in two savanna physiognomies in the Pantanal wetland. This characteristic had already been observed by Dubs (1992) in savanna forest of the Pantanal in eight savanna tree species displaying root depths no greater than 1.2 m. This ‘‘shortness’’ of roots found in savanna physiognomies of the Pantanal can be explained by the fact that the water table is closer to ground level. According to Gradella et al. (2009), the water table can reach 1.5 m below the soil surface in areas of semideciduous forest in the Pantanal, which probably limits the growth of plant roots... The physiognomies of savanna woodland and open woody savanna occur slightly below the topographic level of the forested areas; hence, these landscapes can be more influenced by the water table. We believe that the water table in the Pantanal plays an important role in determining plant root depth. Savanna species cannot tolerate hypoxia in roots (Joly and Crawford, 1982); hence, woody plants in the Pantanal have a relatively narrower soil layer where roots can grow freely. The maximum depth of the root system is thus limited by the maximum level the water table reaches in the rainy season, when the groundwater is recharged... Some savanna species such as Stryphnodendron adstringens can occur across a wide gradient of savanna physiognomies, adapting to different water table depths. This species also occurs in open woody savanna in the Pantanal. From the data shown in this article, the same wide plasticity may also be occurring in Curatella americana, Tabebuia aurea and Mouriri elliptica.</t>
  </si>
  <si>
    <t>1.0 - 2.5</t>
  </si>
  <si>
    <t>0.5 - 2.0</t>
  </si>
  <si>
    <t>This study shows how small differences in WTD leads clear zonations of vegetation. It also has other data such as root biomass and lateral extend. It nicely shows plasticity of roots to WTD - same species with different rooting depth depending on WTD.</t>
  </si>
  <si>
    <t>below the above zone, but still above the flooding, with shallower water table</t>
  </si>
  <si>
    <t>below the highest ground (forest, deepest water table), but not flooded</t>
  </si>
  <si>
    <t>Rutherford, 1983</t>
  </si>
  <si>
    <t>Biomass and distribution of 55 Ochna pulchra root systems were determined using water under pressure for excavation; Ochna pulchra roots were gradually exposed in blocks, the total volume of which was 81 m3 and with an average depth of 2.02 m. Most of the root mass of Ochna pulchra occurred in the upper 60 cm of soil; All the larger individuals of Ochna pulchra had thinner roots usually proceeding fairly perpendicularly to bedrock (2.2 m) where they penetrated the pebble layer but not the sandstone bedrock. Fine roots of Ochna pulchra occurred, at least to some extent, throughout the profile.</t>
  </si>
  <si>
    <t>Root distribution of Burkea africana was studied to one side of a typical individual6.6 m tall by hand excavation using trowels. Excavation was to bedrock, 2.2 m below soil surface, and was limited to roots with a diameter larger than 4 mm; Burkea africana was found to have an extensively developed surface root system undulating at between 0.5 and 0.6 m depth to a maximum distance of 20.5 m from the base of the tree; From the base of the tree there were some thick heart roots which proceeded downwards at an angle of usually steeper than 45°, branching before bedrock and entering the pebble layer, but as far as could be ascertained, did not enter the bedrock itself.</t>
  </si>
  <si>
    <t>Root distribution of the characteristic superficial lateral root systems of three trees of Terminalia sericea (heights: 6.1, 5.9 and 3.4 m) were studied using essentially the same technique. Plants with a superficial root system in addition to a deep ranging system may be referred to have a bimorphic type of root system. It is particularly in Terminalia sericea that the upper part of the bimorphic root system is especially well developed, forming a diffuse plate root system;</t>
  </si>
  <si>
    <t>the Nylsvley Nature Reserve</t>
  </si>
  <si>
    <t>mainly in summer</t>
  </si>
  <si>
    <t>light summer grazing by cattle</t>
  </si>
  <si>
    <t>northern Transvaal, South Africa</t>
  </si>
  <si>
    <t>sand, well drained</t>
  </si>
  <si>
    <t>sandstone with conglomerate and a thin, superficial alluvial pebble layer</t>
  </si>
  <si>
    <t>clusterleaf, silver cluster-leaf or silver terminalia in English, vaalboom in Afrikaans and mususu in Venda</t>
  </si>
  <si>
    <t>well-drained upper slope</t>
  </si>
  <si>
    <t>sand over bedrock; sand  promotes deep roots, but shallow bedrock stops roots</t>
  </si>
  <si>
    <t>Karizumi, 1979</t>
  </si>
  <si>
    <t>temperate broadleaf forest, montane forest</t>
  </si>
  <si>
    <t>Cycas revoluta Thunb.</t>
  </si>
  <si>
    <t>Nine-state, Hokkaido, Japan</t>
  </si>
  <si>
    <t>Ginkgo biloba Linn.</t>
  </si>
  <si>
    <t>Torreya nucifera Sieb. et Zucc.</t>
  </si>
  <si>
    <t>humus loam</t>
  </si>
  <si>
    <t>32yr old 1.5m tall; roots flatten out on top of C horizon horizontally</t>
  </si>
  <si>
    <t>Taxus cuspidata Sieb. et Zucc.</t>
  </si>
  <si>
    <t>Taxus cuspidata var. umbraculifera Makino</t>
  </si>
  <si>
    <t>Taxus baccata Linn.</t>
  </si>
  <si>
    <t>Podocarpus macrophyllus D. Don</t>
  </si>
  <si>
    <t>Araucaria araucana K. Koch</t>
  </si>
  <si>
    <t>Araucaria cunninghamii Sweet</t>
  </si>
  <si>
    <t>sandy loam to  sand</t>
  </si>
  <si>
    <t>Abies homolepis Sieb. et Zucc.</t>
  </si>
  <si>
    <t>Abies firma Sieb. et Zucc.</t>
  </si>
  <si>
    <t>Abies mariesii Mast.</t>
  </si>
  <si>
    <t>Abies veitchii Lindl.</t>
  </si>
  <si>
    <t>Tsuga sieboldii Carr.</t>
  </si>
  <si>
    <t>Tsuga diversijolia Mast.</t>
  </si>
  <si>
    <t>40yr old 14m tall; deep roots vertical in C horizon</t>
  </si>
  <si>
    <t>14yr old 9m tall; deep roots vertical in B horizon</t>
  </si>
  <si>
    <t>50yr old 11m tall; deep roots vertical in C horizon</t>
  </si>
  <si>
    <t>30yr old 3m tall; end roots vertical in B Hhorizon</t>
  </si>
  <si>
    <t>35yr old 4m tall; shallow lateral roots, all in A horizon</t>
  </si>
  <si>
    <t>50yr old 13m tall; end roots vertical into C horizon</t>
  </si>
  <si>
    <t>36yr old 14m tall; several deep tap roots with fine branches near end into the C horizon</t>
  </si>
  <si>
    <t>Tsuga canadensis Carr.</t>
  </si>
  <si>
    <t>35yr old 8m tall; roots through 2.5 paleosol sequences, dense fine roots in each A horizon</t>
  </si>
  <si>
    <t>Picea jezoensis var. hondoensis Rehder</t>
  </si>
  <si>
    <t>90yr old 16m tall; extentive shallow roots ending in C horizon</t>
  </si>
  <si>
    <t>Picea maximowiczii Regel</t>
  </si>
  <si>
    <t>sand loam to humus loam</t>
  </si>
  <si>
    <t>85yr old 15m tall; extentive shallow roots ending in C horizon</t>
  </si>
  <si>
    <t>60yr old 14m tall; extentive shallow roots ending in C horizon</t>
  </si>
  <si>
    <t>70yr old 16m tall; extensive lateral roots; several vertical roots through 2.5 paleosol sequences, dense fine roots in each A horizon</t>
  </si>
  <si>
    <t>Picea exelsa Link.</t>
  </si>
  <si>
    <t>47yr old 10m tall; several branching tap roots ending in C horizon</t>
  </si>
  <si>
    <t>80yr old 16m tall; extentive shallow roots penetrating 2 paleosols ending in C horizon, more lateral roots in A horizons</t>
  </si>
  <si>
    <t>Picea smithiana Boiss.</t>
  </si>
  <si>
    <t>60yr old 14m tall;  shallow roots all in A horizon</t>
  </si>
  <si>
    <t>55yr old 19m; large shallow lateral roots; deep roots vertical into C horizon</t>
  </si>
  <si>
    <t>30yr old 14m; large shallow lateral roots ending in A horizon</t>
  </si>
  <si>
    <t>Pinus densiflora Sieb. et Zucc.</t>
  </si>
  <si>
    <t>45yr old 14m tall; depp tap roots into C horizon ending in fine branches</t>
  </si>
  <si>
    <t>40yr old 16m tall; two very deep tap roots penetrating 3 paleosols into C horizon (1.5m in C)</t>
  </si>
  <si>
    <t>30yr old 2m tall; small shallow roots mostly in A, flatten out at B horizon</t>
  </si>
  <si>
    <t>Pinus thunbergii Pari.</t>
  </si>
  <si>
    <t>Pinus densiflora var. umbraculifera Mayr</t>
  </si>
  <si>
    <t>40yr old 15m tall; 2 tap roots branching into C horizon</t>
  </si>
  <si>
    <t>45yr old 16m tall; two very deep tap roots penetrating 3 paleosols into C horizon (&gt;1m in C)</t>
  </si>
  <si>
    <t>Pinus pentaphylla Mayr</t>
  </si>
  <si>
    <t>50yr old 15m tall; finely branched roots ending in B horizon</t>
  </si>
  <si>
    <t>30yr old 5m tall; roots penetrating 2.5 paleosols with denser roots in A horizons</t>
  </si>
  <si>
    <t>Pinus koraiensis Sieb. et Zucc.</t>
  </si>
  <si>
    <t>60yr old 16m tall; roots penetrating 3 paleosols</t>
  </si>
  <si>
    <t>60yr old 15m tall; roots penetrating 3 paleosols, ending in C horizon</t>
  </si>
  <si>
    <t>Pinus pumila Regel</t>
  </si>
  <si>
    <t>25yr old 2m tall; shallow roots all in A horizon</t>
  </si>
  <si>
    <t>Pinus rigidrt Mill.</t>
  </si>
  <si>
    <t>50yr old 14m tall; evenly fine branched roots ending in C</t>
  </si>
  <si>
    <t>60yr old 18m tall; deep roots penetrating 3 paleosols, ending in C horizon; denser roots in A horizons</t>
  </si>
  <si>
    <t>Pinus strobus Linn.</t>
  </si>
  <si>
    <t>30yr old 10m tall; many tap roots penetrate nearly 2m into C horizon</t>
  </si>
  <si>
    <t xml:space="preserve">55yr old 19m; large shallow lateral root plate with fine roots going down below like a shaving brush; all roots in top 1.5 paleosol; waterlogging seems a cause </t>
  </si>
  <si>
    <t>55yr old 16m tall; like above, but fine roots reached much deeper, penetrating 2.5 paleosol; large WT fluctuation seems a cause</t>
  </si>
  <si>
    <t>55yr old 18m tall; like above, but one tap penetrated 2.5 paleosol, forming a second lower tier of lateral roots from which fine roots grow downward</t>
  </si>
  <si>
    <t>55yr ??m tall; land steeply sloping, strong tap roots went down, penetratin 2 paleosol sequence, denser roots in A horizons</t>
  </si>
  <si>
    <t>45yr old 15m tall; tap roots ending in B</t>
  </si>
  <si>
    <t>Pinus bungeana Zucc.</t>
  </si>
  <si>
    <t>35yr old 3.5m tall; strong tap roots ending in B</t>
  </si>
  <si>
    <t>Pinus taeda Linn.</t>
  </si>
  <si>
    <t>50yr old 15m tall; many deep vertical roots penetrate vertically into C horizon</t>
  </si>
  <si>
    <t>40yr old 15m tall; deep tap root penetrated 3 paleosols into C</t>
  </si>
  <si>
    <t>35yr old 17m tall; miltiple tap roots penetrated 3 paleosols and 1 whole m into C</t>
  </si>
  <si>
    <t>Pinus palustris Mill.</t>
  </si>
  <si>
    <t>50yr old 16m tall; 2 strong tap roots penetrate deep into C, branching out into may vertical fine roots at the end</t>
  </si>
  <si>
    <t>Pinus pinaster Aiton.</t>
  </si>
  <si>
    <t>45yr old 15m tall; 2 tap roots penetrate nearly 2m deep into C</t>
  </si>
  <si>
    <t>50yr old 14m tall; shallow lateral roots with short vertical roots below, all ending in B</t>
  </si>
  <si>
    <t>Pinus banksiana Lamb.</t>
  </si>
  <si>
    <t>40yr old 14m tall; shallow roots on sloping soil with a few deeper stranglers, penetrating and ending in 3 paleosols</t>
  </si>
  <si>
    <t>Pinus sylvestris Linn.</t>
  </si>
  <si>
    <t>60yr old 14m tall; strong tap root ending in B</t>
  </si>
  <si>
    <t>Pinus luchuensis Mayr</t>
  </si>
  <si>
    <t>sandy loam to loam</t>
  </si>
  <si>
    <t>25yr old 7m tall; very sparsely branched, tap roots penetrate over 2.5m into C horizon</t>
  </si>
  <si>
    <t>Cedrus deodara Loud.</t>
  </si>
  <si>
    <t>deodar cedar, Himalayan cedar</t>
  </si>
  <si>
    <t>40yr old 14m tall; evenly distributed roots ending in B</t>
  </si>
  <si>
    <t>16m tall; few tap roots penetrating and terminating in 3 paleosols</t>
  </si>
  <si>
    <t>Keteleeria davidiana Beiss.</t>
  </si>
  <si>
    <t>60yr old 12m tall; numerous strong lateral roots bend sharply downward within 1m of trunk, and penetrate deeply into C, 2m into C; most unusual form</t>
  </si>
  <si>
    <t>Sciadopitys verticillata Sieb. et Zucc.</t>
  </si>
  <si>
    <t>Japanese umbrella-pine</t>
  </si>
  <si>
    <t>60yr old 8m tall; evenly distributed roots ending in C</t>
  </si>
  <si>
    <t>Cryptomeria japonica D. Don</t>
  </si>
  <si>
    <t>Japanese sugi pine or Japanese red-cedar</t>
  </si>
  <si>
    <t>50yr old 16m tall; several tap roots ending in B</t>
  </si>
  <si>
    <t>25yr old; evenly distributed, with many fine roots, few large roots, ending in C</t>
  </si>
  <si>
    <t>Cunninghamia lanceolata Hook.</t>
  </si>
  <si>
    <t>China-fir (though not a fir)</t>
  </si>
  <si>
    <t>40m old 8m tall; even roots, tap roots ending in B</t>
  </si>
  <si>
    <t>Metasequoia glyptostroboides Hu et Cheng</t>
  </si>
  <si>
    <t xml:space="preserve"> dawn redwood</t>
  </si>
  <si>
    <t>Sequoia sempervirens Endl.</t>
  </si>
  <si>
    <t>coastal redwood, California redwood</t>
  </si>
  <si>
    <t>50yr old 12m tall; many tap roots ending in C vertically</t>
  </si>
  <si>
    <t>loam, sandy loam</t>
  </si>
  <si>
    <t>Taxodium distichum Rich.</t>
  </si>
  <si>
    <t>baldcypress, cypress, southern-cypress, white-cypress, tidewater red-cypress, Gulf-cypress, red-cypress, or swamp cypress</t>
  </si>
  <si>
    <t>40yr old 16m tall; very deep and vertical tap roots ending with fine branches in C horizon; amazing how a swamp tree can be so deep rooted!</t>
  </si>
  <si>
    <t>Thuja standishii Carr.</t>
  </si>
  <si>
    <t>Japanese Thuja</t>
  </si>
  <si>
    <t>40yr old 11m tall; shallow even roots ending in C</t>
  </si>
  <si>
    <t>Thuja occidentalis Linn.</t>
  </si>
  <si>
    <t>northern white-cedar or eastern arborvitae</t>
  </si>
  <si>
    <t>25yr old 5m tall; shallow roots mostly in A, large lateral roots bend upwards</t>
  </si>
  <si>
    <t>8m tall; roots penetrating and ending in 2 paleosols, with dense roots in each A horizon</t>
  </si>
  <si>
    <t>Biota orientalis Endl. (Platycladus orientalis)</t>
  </si>
  <si>
    <t>Chinese thuja, Oriental arborvitae, Chinese arborvitae, biota or oriental thuja</t>
  </si>
  <si>
    <t>45yr old 8m tall; boney roots with fine roots attached, ending on top of C horizon</t>
  </si>
  <si>
    <t>40yr old 14m tall; roots penetrate 2 paleosols with dense roots in each A horizon</t>
  </si>
  <si>
    <t>Thujopsis dolabrata Sieb. et Zucc.</t>
  </si>
  <si>
    <t>false arborvitae, hiba arborvitae</t>
  </si>
  <si>
    <t>60yr old 16m tall; one deep tap root penetrate into rocky saprolite</t>
  </si>
  <si>
    <t>Chamaecyparis obtusa Endl.</t>
  </si>
  <si>
    <t>Japanese cypress, hinoki cypress</t>
  </si>
  <si>
    <t>65yr old 17m tall; dense fine roots ending in B</t>
  </si>
  <si>
    <t>18m tall; dense roots penetrated 1.5m into rocky saprolite!</t>
  </si>
  <si>
    <t>40yr old 15m tall; roots into 2 paleosols, with dense roots in each A horizon</t>
  </si>
  <si>
    <t>40yr old 14m tall; roots into 2 paleosols, with dense roots in each A horizon</t>
  </si>
  <si>
    <t>Chamaecyparis pisifera var. filifera Mast.</t>
  </si>
  <si>
    <t>sawara cypress</t>
  </si>
  <si>
    <t>30yr old 3m tall; shallow roots ending in B</t>
  </si>
  <si>
    <t>Chamaecyparis pisifera Endl.</t>
  </si>
  <si>
    <t>60yr old 15m tall; even and ense roots through 2 paleosols</t>
  </si>
  <si>
    <t>Chamaecyparis pisifera var. plumosa Mast.</t>
  </si>
  <si>
    <t>30yr old 9m tall; even roots ending in B horizon</t>
  </si>
  <si>
    <t>Chamaecyparis pisifera var. squarrosa Mast.</t>
  </si>
  <si>
    <t>40yr old 9m tall; even roots less dense, through A,B, and A again horizon</t>
  </si>
  <si>
    <t>Chamaecyparis lawsoniana Parl.</t>
  </si>
  <si>
    <t>25yr old 8m tall; fin roots ending in B</t>
  </si>
  <si>
    <t>Cupressus macrocarpa Hart.</t>
  </si>
  <si>
    <t>70yr old 12m tall; strong vertical roots reaching top of C horizon</t>
  </si>
  <si>
    <t>Juniperus conferta Parl.</t>
  </si>
  <si>
    <t>shore juniper (grow on sand dunes)</t>
  </si>
  <si>
    <t>35yrs old 0.8m tall; shallow roots ending in shallow B</t>
  </si>
  <si>
    <t>Juniperus taxifolia Hook.</t>
  </si>
  <si>
    <t>Bonin Islands juniper</t>
  </si>
  <si>
    <t>30yr old 0.6m tall; sparse woody roots reaching top of B</t>
  </si>
  <si>
    <t>Juniperus utilis Koidz. (Juniperus rigida)</t>
  </si>
  <si>
    <t>needle juniper</t>
  </si>
  <si>
    <t>Sabina chinensis Antoine (Juniperus sabina)</t>
  </si>
  <si>
    <t>savin juniper, savin</t>
  </si>
  <si>
    <t>Juniperus chinensis var. pyramidalis Beiss</t>
  </si>
  <si>
    <t>Chinese juniper</t>
  </si>
  <si>
    <t>10yr old 3.4m; fine even roots ending in B; no large woody roots</t>
  </si>
  <si>
    <t>Sabina sargentii Nakai (Juniperus chinensis var. sargentii)</t>
  </si>
  <si>
    <t>60yr old 1.2m; sparse wavey large woody roots have fine branches; ending in B</t>
  </si>
  <si>
    <t>Sabina procumbens Iwata et Kusaka</t>
  </si>
  <si>
    <t>pu di bai (paving ground juniper)</t>
  </si>
  <si>
    <t>30yr old 1.2m; sparse wavey, and mostly lateral large woody roots have fine branches; ending in A</t>
  </si>
  <si>
    <t>Sabina virginiana Antoine</t>
  </si>
  <si>
    <t>yan bai (yan juniper)</t>
  </si>
  <si>
    <t xml:space="preserve">red cedar, eastern redcedar, Virginian juniper, eastern juniper, red juniper, pencil cedar, and aromatic cedar </t>
  </si>
  <si>
    <t>30yr old 5m tall; even roots ending in B</t>
  </si>
  <si>
    <t>sago palm, king sago, sago cycad, Japanese sago palm</t>
  </si>
  <si>
    <t>ginkgo, ginkgo tree, maidenhair tree</t>
  </si>
  <si>
    <t>kaya, Japanese torreya, Japanese nutmeg-yew</t>
  </si>
  <si>
    <t>Japanese yew, spreading yew</t>
  </si>
  <si>
    <t>English yew, European yew</t>
  </si>
  <si>
    <t xml:space="preserve"> yew plum pine, Buddhist pine, fern pine</t>
  </si>
  <si>
    <t>Podocarpus nagi Zoll. et Moritzi (Nageia nagi)</t>
  </si>
  <si>
    <t>Asian bayberry</t>
  </si>
  <si>
    <t>monkey puzzle tree, monkey tail tree, Chilean pine</t>
  </si>
  <si>
    <t>hoop pine, colonial pine, Queensland pine, Dorrigo pine, Moreton Bay pine, Richmond River pine</t>
  </si>
  <si>
    <t>Nikko fir</t>
  </si>
  <si>
    <t xml:space="preserve"> momi fir</t>
  </si>
  <si>
    <t>Abies sachalinensis Mast.</t>
  </si>
  <si>
    <t>Sakhalin fir</t>
  </si>
  <si>
    <t>Maries' fir</t>
  </si>
  <si>
    <t>Veitch's fir, Veitch's silver-fir</t>
  </si>
  <si>
    <t>southern Japanese hemlock</t>
  </si>
  <si>
    <t>northern Japanese hemlock, kometsuga</t>
  </si>
  <si>
    <t>eastern hemlock, eastern hemlock-spruce, or Canadian hemlock</t>
  </si>
  <si>
    <t>Jezo spruce, Yezo spruce, Hondo spruce</t>
  </si>
  <si>
    <t xml:space="preserve"> Japanese bush spruce</t>
  </si>
  <si>
    <t>Picea bicolor Mayr (Picea alcoquiana var. alcoquiana)</t>
  </si>
  <si>
    <t>Alcock spruce</t>
  </si>
  <si>
    <t>Picea koyamai Shirasawa</t>
  </si>
  <si>
    <t>Koyama's spruce</t>
  </si>
  <si>
    <t>Picea exelsa Link. (Picea abies)</t>
  </si>
  <si>
    <t>Morinda spruce, West Himalayan spruce</t>
  </si>
  <si>
    <t>Larix leptolepis Gord. (Larix leptolepis)</t>
  </si>
  <si>
    <t xml:space="preserve"> Japanese larch, karamatsu</t>
  </si>
  <si>
    <t>Korean red pine, Japanese pine, Japanese red pine</t>
  </si>
  <si>
    <t>black pine, Japanese black pine, Japanese pine</t>
  </si>
  <si>
    <t xml:space="preserve"> five-needle pine, Ulleungdo white pine, or Japanese white pine</t>
  </si>
  <si>
    <t xml:space="preserve"> Korean pine</t>
  </si>
  <si>
    <t>Siberian dwarf pine, dwarf Siberian pine, dwarf stone pine, Japanese stone pine, or creeping pine</t>
  </si>
  <si>
    <t>eastern white pine, northern white pine, white pine, Weymouth pine (British), soft pine</t>
  </si>
  <si>
    <t>Bunge's pine, lacebark pine, white-barked pine</t>
  </si>
  <si>
    <t xml:space="preserve"> longleaf pine</t>
  </si>
  <si>
    <t xml:space="preserve"> maritime pine, cluster pine</t>
  </si>
  <si>
    <t>Pinus griffithii McCleland (Pinus wallichiana)</t>
  </si>
  <si>
    <t>Bhutan pine, blue pine, Himalayan pine, and Himalayan white pine</t>
  </si>
  <si>
    <t>Jack pine,  grey pine, scrub pine</t>
  </si>
  <si>
    <t xml:space="preserve">Scots pine </t>
  </si>
  <si>
    <t>Luchu pine, Okinawa pine</t>
  </si>
  <si>
    <t>shallow sandy loam on volcanic rock</t>
  </si>
  <si>
    <t>50yr old 9m tall; end roots vertical into C horizon</t>
  </si>
  <si>
    <t>40yr old 9m tall; end roots vertical into C horizon</t>
  </si>
  <si>
    <t>63yr old 15m tall; end roots vertical in B horizon</t>
  </si>
  <si>
    <t>80yr old 16m tall; end roots vertical in C horizaon</t>
  </si>
  <si>
    <t>Ogasawara National Park</t>
  </si>
  <si>
    <t>location estimated; 80yr old 17m tall; end roots vetical into C horizon; land steeply inclined</t>
  </si>
  <si>
    <t>location estimated; 80yr old 19m tall; end roots vetical into C horizon; land steeply inclined</t>
  </si>
  <si>
    <t>location estimated; 80yr old 17m tall; much smaller and sparser roots ending in B horizon; land steeply inclined</t>
  </si>
  <si>
    <t>location estimated; 50yr old 16m tall; very deep, strong single tap root (&gt;2m into C horizon), and very strong shallow lateral roots</t>
  </si>
  <si>
    <t>Mt. Fuji</t>
  </si>
  <si>
    <t>Tokyo U learning forest</t>
  </si>
  <si>
    <t>location estimated; 25yr old 8m tall; even roots ending vertically in C</t>
  </si>
  <si>
    <t>Miura Peninsula</t>
  </si>
  <si>
    <t>location estimated; 70yr old 15m tall; strong roots with fine branches penetrate 0.5m into C</t>
  </si>
  <si>
    <t>Asahikawa</t>
  </si>
  <si>
    <t>location estimated; 60yr old 14m tall; end roots vertical ending in B horizon</t>
  </si>
  <si>
    <t>Kagoshima</t>
  </si>
  <si>
    <t>location estimated; 50yr old 15m tall; end roots vertical in C horizon</t>
  </si>
  <si>
    <t>Okayama</t>
  </si>
  <si>
    <t>location estimated; 35yr old 6m tall; extensive lateral roots in B (missing A), with deeper roots into C</t>
  </si>
  <si>
    <t>on a slope with shallow soil</t>
  </si>
  <si>
    <t xml:space="preserve">Hachimantai </t>
  </si>
  <si>
    <t>location estimated; 40yr old 10m tall; end roots vertica into C horizon, with extentisve strong shallow lateral roots</t>
  </si>
  <si>
    <t>Karrfalt, 1981</t>
  </si>
  <si>
    <t>Selaginella selaginoides (L.) Link</t>
  </si>
  <si>
    <t>lesser clubmoss, club spikemoss, northern spikemoss, low spikemoss, prickly mountain-moss</t>
  </si>
  <si>
    <t>New York?</t>
  </si>
  <si>
    <t>Niklas et al., 2002</t>
  </si>
  <si>
    <t>Sonora, Mexico, Sonoran coast</t>
  </si>
  <si>
    <t>west-facing bajada</t>
  </si>
  <si>
    <t>Pachycereus pringlei</t>
  </si>
  <si>
    <t>Mexican giant cardon, elephant cactus</t>
  </si>
  <si>
    <t>large cactus</t>
  </si>
  <si>
    <t>The root system of P. pringlei is laterally extensive but shallow;three large lateral roots measure 5.15, 3.89 and 4.11m in length; In contrast, the bayonet (tap) root measured 0.18 m in diameter at the stem junction and was 1.15 m deep. The depth of sinker roots ranged between 0.31 and 0.72 m. These features varied little across an additional 17 plants differing in size. Bayonet roots were invariably deep and appeared established before lateral root proliferation and extension</t>
  </si>
  <si>
    <t>van Rees &amp;  Comerford, 1986</t>
  </si>
  <si>
    <t>sandy spodosol, poorly drained</t>
  </si>
  <si>
    <t>0.8-1.3</t>
  </si>
  <si>
    <t>7km NE of Gainsville, FL</t>
  </si>
  <si>
    <t>Pinus elliottii Engelm. var. elliottiz</t>
  </si>
  <si>
    <t>20yr old plantation</t>
  </si>
  <si>
    <t>saw palmetto</t>
  </si>
  <si>
    <t>Serenoa repens</t>
  </si>
  <si>
    <t>small palm</t>
  </si>
  <si>
    <t>subtropical mixed forest</t>
  </si>
  <si>
    <t>coring, trench, tap root excavation</t>
  </si>
  <si>
    <t>on flat coastal plain sands</t>
  </si>
  <si>
    <t>Pine roots frequently grew inside large diameter (3-5 mm), dead roots of palmetto; 66% of the E horizon samples had all pine roots occurring inside these palmetto roots.</t>
  </si>
  <si>
    <t>"Comparing the vertical root distribution of pine and palmetto showed that both were deep, extensive rooting species. It was interesting to note that under a fluctuating water table regime and with high density clay horizons, the roots of both species developed to
such a degree in the top of the argillic horizon. The taproot measurements suggested that at least the top 1 to 2m of the argillic were influenced to some degree by these species."</t>
  </si>
  <si>
    <t>Slash pine taproots extended between 200 and 330 cm below the surface, (i.e., 1-2.3 m into the argillic horizon).. One sinker root, originating from a taproot in the A horizon, reached a depth of 250 cm… The penetration of mechanically extracted taproots from a nearby stand ranged from 144 to 330 cm, with a mean depth of 208 cm.</t>
  </si>
  <si>
    <t>Reynolds, 1970</t>
  </si>
  <si>
    <t>near Oxford, UK, Bagley Wood</t>
  </si>
  <si>
    <t>SE facing 1/18 slope</t>
  </si>
  <si>
    <t>Vertical soil profiles showed that these latter horizons usually prevent Douglas fir roots extending below about 87 cm. However, these bands are not completely continuous and occasionally roots reach 140 em often being localised in old root channels.</t>
  </si>
  <si>
    <t>coarse sand to sandy loam 2m thick, alternating with soft and hard sand (from gravel)</t>
  </si>
  <si>
    <t>yes to 1.07m</t>
  </si>
  <si>
    <t>Pseudotsuga taxifolia (poir.) Britt.</t>
  </si>
  <si>
    <t>Zhou et al., 2017</t>
  </si>
  <si>
    <t>40yr old lantation</t>
  </si>
  <si>
    <t>Inner Mongolia, China, Oasis at S edge of Badain Jaran Desert, foothill of Quilian Mt.</t>
  </si>
  <si>
    <t>desert oasis</t>
  </si>
  <si>
    <t>20yr plantation</t>
  </si>
  <si>
    <t>40yr old plantation</t>
  </si>
  <si>
    <t>saxaul, black saxaul, sacsaoul, saksaul</t>
  </si>
  <si>
    <t>4.65 +/-0.58</t>
  </si>
  <si>
    <t>4.88 +/-0.57</t>
  </si>
  <si>
    <t>&gt;75% in summer</t>
  </si>
  <si>
    <t>foothill oasis</t>
  </si>
  <si>
    <t>4.4 +/-0.44</t>
  </si>
  <si>
    <t>4.56+/-0.52</t>
  </si>
  <si>
    <t>the main water source for 5‐year‐old shrubs was shallow soil water. Water sources of 10‐year‐old shrubs shifted depending on the soil water conditions during the season. Although their tap roots could absorb deep soil water, the plantation main water sources were from soil water, and about 50% of water originated from shallow and mid soil. The 20‐ and 40‐year‐old shrubs acquired water mainly from permanent groundwater.  The deeply rooted 20‐ and 40‐year‐old shrubs have the ability to exploit a deep and reliable water source</t>
  </si>
  <si>
    <t>precip this year only; rooting and WT depths as mean from 3 trenches</t>
  </si>
  <si>
    <t>sand (90%), silt (6%), clay (4%)</t>
  </si>
  <si>
    <t>Wang et al., 2016</t>
  </si>
  <si>
    <t>Tundra (tussock-sedge,
dwarf-shrub, moss tundra)</t>
  </si>
  <si>
    <t>N. Siberia, Russia</t>
  </si>
  <si>
    <t>Eriophorum vaginatum L / Arctagrostis latifolia (R. Br.) Griseb / Calamagrostis holmii Lange</t>
  </si>
  <si>
    <t>tussock-sedge</t>
  </si>
  <si>
    <t>drawf shrub</t>
  </si>
  <si>
    <t>Betula nana L. / Salix pulchra Cham / evergreen Vaccinium vitis-idaea L and Rhododendron subarcticum Harmaja</t>
  </si>
  <si>
    <t>76mm in summer</t>
  </si>
  <si>
    <t>drained thermokarst lake</t>
  </si>
  <si>
    <t>roothing depth restricked by frost table depth</t>
  </si>
  <si>
    <t>Trieste, NE Italy</t>
  </si>
  <si>
    <t>Nardini et al., 2016</t>
  </si>
  <si>
    <t>Bac Cave</t>
  </si>
  <si>
    <t>Prunus mahaleb</t>
  </si>
  <si>
    <t>cave soil</t>
  </si>
  <si>
    <t>mahaleb cherry, St Lucie cherry</t>
  </si>
  <si>
    <t>clay cave soil</t>
  </si>
  <si>
    <t>The Bac Cave is 16mdeep and extends for about 130 m.  The base is covered by clay deposits where roots can be observed down to a depth of about 10–13m with respect to the soil surface above the cave</t>
  </si>
  <si>
    <t>the other 2 species uptake water between surface rain and deep cave soil; exact depth cannot be assertained.</t>
  </si>
  <si>
    <t>Ellsworth &amp; Sternberg, 2015</t>
  </si>
  <si>
    <t>central Florida</t>
  </si>
  <si>
    <t>subtropical scrub forest</t>
  </si>
  <si>
    <t>Sandhill Recently Burned (SHRB)</t>
  </si>
  <si>
    <t>24.3 +/- 0.1</t>
  </si>
  <si>
    <t>burned 2002</t>
  </si>
  <si>
    <t>coring to 1.5m, isotope</t>
  </si>
  <si>
    <t>well-drained, acid,  sands, very low nutrient and organic matter content</t>
  </si>
  <si>
    <t>61% in Jun-Sep</t>
  </si>
  <si>
    <t>on high sand ridge</t>
  </si>
  <si>
    <t>Carya floridana Sarg./ Q. laevis Walter</t>
  </si>
  <si>
    <t>scrub hickory / turkey oak</t>
  </si>
  <si>
    <t xml:space="preserve">myrtle oak / sand live oak / rusty staggerbush </t>
  </si>
  <si>
    <t>Quercus myrtifolia Willd./ Q. geminata Small /Lyonia ferruginea (Walter) Nutt</t>
  </si>
  <si>
    <t>depth of water uptake did not differ between deciduous and evergreen species; when deciduous woody species had leaves, they accessed principally deep water similar to that of evergreen plants.</t>
  </si>
  <si>
    <t>cores too shallow, esp for sandy soils; evergreen or deciduous did not differ in uptake depth in upper soils (&lt;1.5m deep) but they may differ in the deeper soils</t>
  </si>
  <si>
    <t>Dai et al., 2015</t>
  </si>
  <si>
    <t>Xinjiang province, China, southern edge of Gurbantonggut Desert</t>
  </si>
  <si>
    <t>70–180</t>
  </si>
  <si>
    <t>25% as snow</t>
  </si>
  <si>
    <t>Haloxylon persicum</t>
  </si>
  <si>
    <t>saxaul, black saxaul, sacsaoul or saksaul</t>
  </si>
  <si>
    <t>succulent stem/no leaf</t>
  </si>
  <si>
    <t>white saxaul</t>
  </si>
  <si>
    <t>large shrub C4</t>
  </si>
  <si>
    <t>The sand dune site was 11 m higher than the inter-dune site, with the groundwater table at about 4 m for the inter-dune lowland and 15 m for dune crest.</t>
  </si>
  <si>
    <t>O18 isotope</t>
  </si>
  <si>
    <t>dune crest</t>
  </si>
  <si>
    <t>location best to reconcile"345m elevation" and "dune top is 11m above dune valley" and the given lat-lon; rooting depth inferred from isotopes of stems - both species use GW, but dune valley species use &gt;80% GW, crest species use &lt;20% GW</t>
  </si>
  <si>
    <t>Abbott et al. 1991</t>
  </si>
  <si>
    <t>shrub-steppe</t>
  </si>
  <si>
    <t>SE Idaho, INEL</t>
  </si>
  <si>
    <t>crested wheatgrass</t>
  </si>
  <si>
    <t>stream bank wheatgrass</t>
  </si>
  <si>
    <t>basin wildrye</t>
  </si>
  <si>
    <t>big sagebrush</t>
  </si>
  <si>
    <t>yellow rabbitbrush, green rabbitbrush</t>
  </si>
  <si>
    <t>undisturbed site</t>
  </si>
  <si>
    <r>
      <rPr>
        <vertAlign val="superscript"/>
        <sz val="9"/>
        <color rgb="FF0070C0"/>
        <rFont val="Calibri"/>
        <family val="2"/>
        <scheme val="minor"/>
      </rPr>
      <t>131</t>
    </r>
    <r>
      <rPr>
        <sz val="9"/>
        <color rgb="FF0070C0"/>
        <rFont val="Calibri"/>
        <family val="2"/>
        <scheme val="minor"/>
      </rPr>
      <t>I radio tracer</t>
    </r>
  </si>
  <si>
    <t>semi-arid shrub-steppe</t>
  </si>
  <si>
    <t>36% in Apr-Jun</t>
  </si>
  <si>
    <t>Agropyron cristatum L.</t>
  </si>
  <si>
    <t>Leymus cinerus (Scribner &amp; Merrill) A. Love</t>
  </si>
  <si>
    <t>bottlebrush squirreltail</t>
  </si>
  <si>
    <t>Elymus lanceolatus (Scribner &amp; J. G. Smith) Gould</t>
  </si>
  <si>
    <t>Elymus elymoides (Raf.) Sweezy</t>
  </si>
  <si>
    <t>Chrysothamnus viscidiflorus (Hook.) Nutt.</t>
  </si>
  <si>
    <t>Artemesia tridentata ssp. wyomingensis)</t>
  </si>
  <si>
    <t>sandy loam to clay; calcic Aridisols of eolian origin, shallow and variable in depth</t>
  </si>
  <si>
    <t>&gt; 0.8</t>
  </si>
  <si>
    <t>0.75 - 1</t>
  </si>
  <si>
    <t>1 - 1.25</t>
  </si>
  <si>
    <t>0.5 - 0.75</t>
  </si>
  <si>
    <t>transplanteed 2yr ago</t>
  </si>
  <si>
    <t>Soil moisture, rather than soil disturbance, seemed to dictate root depth; The field work for this study was conducted in June and July of 1987 and 1988, two very dry years that received only half of the usual winter soil moisture recharge; Variations in the soil water content are frequently the major cause of differences in maximum rooting depth; soil moisture is measured to the maximum depth allowed (20-141 cm) by the underlying bedrock; The maximum root depths observed for shrubs were less than those reported in other studies for larger, more mature plants m'26) possibly because the shrubs examined were young plants 15-30 cm in height that had been transplanted 2 years earlier. Shallow basalt did not seem to limit maximum rooting depth. In three out of 12 root profiles (Fig. 3), the underlying basalt prevented deeper investigation than the maximum depth at which roots were detected. In all three of these cases, the maximum root depth in the adjacent soil type (where basalt was deeper) was less than that with
the shallow basalt.</t>
  </si>
  <si>
    <t>Cline et al. 1977</t>
  </si>
  <si>
    <t>Arid Lands Ecology Reserve</t>
  </si>
  <si>
    <t>nice data showing how the wetting depth and the resulting soil moisure profile determines rooting depth, regardless distrubance - all it matters is the depth of soil wetting; site location guessed, to be near the INEL on an undistrubed lot</t>
  </si>
  <si>
    <t>sagebrush / bluebunch wheatgrass</t>
  </si>
  <si>
    <t>Artemesia tridentata / Agropyron spicatum</t>
  </si>
  <si>
    <t>soil cores to 1.6m</t>
  </si>
  <si>
    <t>Hanford, SC Washington State</t>
  </si>
  <si>
    <t>Bromus tectorum</t>
  </si>
  <si>
    <t>cheatgrass</t>
  </si>
  <si>
    <t>Ritzville silt-loam</t>
  </si>
  <si>
    <t>gentle, east-facing slope</t>
  </si>
  <si>
    <t>invaded abandoned farmland</t>
  </si>
  <si>
    <t>site guessed to look like abandoned farmland at 305m elevation within the reserve</t>
  </si>
  <si>
    <t>the cheatgrass community because the plants die by mid-May. The cheatgrass community has most of its roots in the surface decimeter of soil and relatively few roots deeper in the profile as compared to the bluebunch wheatgrass community.</t>
  </si>
  <si>
    <t xml:space="preserve">Through the summer, transpiration continued in the  wheatgrass community by the perennial evergreen species such as big sagebrush, erigeron (Erigeron filifolius), and phlox (Phlox Zongifolia). </t>
  </si>
  <si>
    <t>site guessed to be on the same slope but higher at 396m elevation in a shrub land near road</t>
  </si>
  <si>
    <t>bunchgrass</t>
  </si>
  <si>
    <t>Hironaka 1961</t>
  </si>
  <si>
    <t>Gem County, Idaho</t>
  </si>
  <si>
    <t>Brent silt loam, developed on an old alluvial fan and has a relatively deep (43 inches) and well-developed profile</t>
  </si>
  <si>
    <t>site guessed to on a west-facing slope on alluvial fan with 792m elevation near crop fields</t>
  </si>
  <si>
    <t>semi-arid pasture</t>
  </si>
  <si>
    <t>medusahead</t>
  </si>
  <si>
    <t>Elymus caput-medusae</t>
  </si>
  <si>
    <t>Agropyron desertorum</t>
  </si>
  <si>
    <t>Agropyron intermedium</t>
  </si>
  <si>
    <t>intermediate wheatgrass</t>
  </si>
  <si>
    <t>desert crested wheatgrass</t>
  </si>
  <si>
    <t>growth cloth bags</t>
  </si>
  <si>
    <r>
      <t>3</t>
    </r>
    <r>
      <rPr>
        <vertAlign val="superscript"/>
        <sz val="9"/>
        <color rgb="FF0070C0"/>
        <rFont val="Calibri"/>
        <family val="2"/>
        <scheme val="minor"/>
      </rPr>
      <t>o</t>
    </r>
    <r>
      <rPr>
        <sz val="9"/>
        <color rgb="FF0070C0"/>
        <rFont val="Calibri"/>
        <family val="2"/>
        <scheme val="minor"/>
      </rPr>
      <t xml:space="preserve"> slope facing west</t>
    </r>
  </si>
  <si>
    <t>Hulbert, 1955</t>
  </si>
  <si>
    <t>winter annual</t>
  </si>
  <si>
    <t>Bromus japanicus</t>
  </si>
  <si>
    <t>Bromus commutatus</t>
  </si>
  <si>
    <t>Bromus sterilis</t>
  </si>
  <si>
    <t>Bromus brizaeformis</t>
  </si>
  <si>
    <t>Bromus racemosus</t>
  </si>
  <si>
    <t>sand/silt loam</t>
  </si>
  <si>
    <t>S-facing side of Clearwater River Valley</t>
  </si>
  <si>
    <t>Lewiston, Nez Perce County, Idaho</t>
  </si>
  <si>
    <t>field brome</t>
  </si>
  <si>
    <t>poverty brome</t>
  </si>
  <si>
    <t>meadow brome</t>
  </si>
  <si>
    <t>annual / biennial</t>
  </si>
  <si>
    <t>rattlesnake brome</t>
  </si>
  <si>
    <t>bald brome</t>
  </si>
  <si>
    <t>location guessed to be on the south-facing side of the river, 4 mi N of Lewiston, near an old highway by farm fields at 350m elevation; hint on wetting depth to be the depth of caliché</t>
  </si>
  <si>
    <t>soil pits, LiCl tracer, coring</t>
  </si>
  <si>
    <t>semi-arid thrub-steppe</t>
  </si>
  <si>
    <t>The soil was wetted at least down to the caliche layer during the winter; The long roots were found to be so nearly straight and vertical; Roots were found to be very abundant in the top 2 to 3 din of soil, becoming gradually sparser in the deeper layers.  B. japonicus had a greater proportion of roots at the 8-14 dm depths than the others; Judging by the results of the first method, it is believed that all these data from the lithium method are less than the maximum extent of the roots of the plants tested except for the one test at a depth of 2 m. It was not expected that roots of B. tectornm would penetrate the caliche layer to that extent. However, since the washing method showed that the roots entered this hard layer, the lithium test suggesting penetration 5 dm into the caliche layer does not seem unreasonable.</t>
  </si>
  <si>
    <t>Spence 1937</t>
  </si>
  <si>
    <t>Boise, Idaho</t>
  </si>
  <si>
    <t>Long Gulch area north</t>
  </si>
  <si>
    <t>Long Gulch area south</t>
  </si>
  <si>
    <t>Achillea lanulosa</t>
  </si>
  <si>
    <t>Poa secunda</t>
  </si>
  <si>
    <t>Elk Creek area</t>
  </si>
  <si>
    <t>Festuca idahoensis</t>
  </si>
  <si>
    <t>Pentstemon glabra</t>
  </si>
  <si>
    <t>Vicia americana</t>
  </si>
  <si>
    <t>Aster spp.</t>
  </si>
  <si>
    <t>Phlox longifolia</t>
  </si>
  <si>
    <t>Clematis hirsutissima</t>
  </si>
  <si>
    <t>Astragalus purshii</t>
  </si>
  <si>
    <t>1.0 - 1.4</t>
  </si>
  <si>
    <t>Crepis spp</t>
  </si>
  <si>
    <t>Viola purpurea</t>
  </si>
  <si>
    <t>Wood Creek area</t>
  </si>
  <si>
    <t>Cow Creek area north</t>
  </si>
  <si>
    <t>Trinity Ridge area</t>
  </si>
  <si>
    <t>Fall Creek area</t>
  </si>
  <si>
    <t>Lester Creek area</t>
  </si>
  <si>
    <t>western yarrow</t>
  </si>
  <si>
    <t>Lactuca scariola integrata (Lactuca serriola integrata)</t>
  </si>
  <si>
    <t>prickly lettuce, milk thistle, compass plant, scarole</t>
  </si>
  <si>
    <t>Sandberg bluegrass</t>
  </si>
  <si>
    <t>Agropyron inerme (Pseudoroegneria spicata)</t>
  </si>
  <si>
    <t>beardless wheatgrass</t>
  </si>
  <si>
    <t>Carex geyeri</t>
  </si>
  <si>
    <t>Geyer's sedge</t>
  </si>
  <si>
    <t>Idaho fescue</t>
  </si>
  <si>
    <t>Stipa lettermanii (Achnatherum lettermanii)</t>
  </si>
  <si>
    <t>Letterman's needlegrass</t>
  </si>
  <si>
    <t>sawsepal penstemon</t>
  </si>
  <si>
    <t>forb / subshrub</t>
  </si>
  <si>
    <t>Scouler's woollyweed</t>
  </si>
  <si>
    <t>aster</t>
  </si>
  <si>
    <t>American vetch</t>
  </si>
  <si>
    <t>forb / vine (rhizomatous)</t>
  </si>
  <si>
    <t>longleaf phlox</t>
  </si>
  <si>
    <t>Potentilla blaschkeana (Potentilla gracilis?)</t>
  </si>
  <si>
    <t>slender cinquefoil, graceful cinquefoil</t>
  </si>
  <si>
    <t>parsnipflower buckwheat</t>
  </si>
  <si>
    <t>Lupinus spp</t>
  </si>
  <si>
    <t>lupine, lupin</t>
  </si>
  <si>
    <t>hairy clematis</t>
  </si>
  <si>
    <t>Lappula floribunda (Hackelia floribunda)</t>
  </si>
  <si>
    <t>manyflower stickseed</t>
  </si>
  <si>
    <t>woollypod milkvetch</t>
  </si>
  <si>
    <t>Aplopappus lanuginosus (Haplopappus lanuginosus, Stenotus lanuginosus)</t>
  </si>
  <si>
    <t>woolly mock goldenweed</t>
  </si>
  <si>
    <t>hawksbeard</t>
  </si>
  <si>
    <t>goosefoot violet</t>
  </si>
  <si>
    <t xml:space="preserve">The root systems of 50 species were excavated and charted; the operator dug a trench with a shovel along the contour of the slope about 15 cm down the hill from the plants. The trench was made wide enough for a man to work in and as deep as the deepest roots to be excavated. An ice pick was then used to work away the soil and expose the roots which were drawnt o scaleo n coordinate paper. Detailed study of the drawings revealed that eachs pecies has a definite root pattern from which individual specimen deviate but little. To be sure, individuals growing on north and east aspects tend to develop a more compact and shallower root system than do plants of the same species on south and west aspects. This tendency is most marked among the annual forbs. When considered as a single group, the patterns of the root system of the 50 species excavated formed a fairly continuous series from the simple taproot of some of the annual herbs to the profusion of fibrous roots of Carex geyerii, with numerous gradations between these two extremes. </t>
  </si>
  <si>
    <t>45% slope, S exposure</t>
  </si>
  <si>
    <t>loose coarse granite, very little humus</t>
  </si>
  <si>
    <t>67% slope, N exposure</t>
  </si>
  <si>
    <t>loose coarse granite, high humus</t>
  </si>
  <si>
    <t>37% slope, SW facing</t>
  </si>
  <si>
    <t>Granitic clay, thin humus</t>
  </si>
  <si>
    <t>45% slope, E facing</t>
  </si>
  <si>
    <t>loose coarse granite, low humus</t>
  </si>
  <si>
    <t>48% slope, S facing</t>
  </si>
  <si>
    <t>36% slope, S facing</t>
  </si>
  <si>
    <t>glacial drift of granitic origin, fairly rich in humus</t>
  </si>
  <si>
    <t>37% slope, SE facing</t>
  </si>
  <si>
    <t>granitic clay, thin humus</t>
  </si>
  <si>
    <t>72% slope, N facing</t>
  </si>
  <si>
    <t>lsoose coarse granite, fair amount of humus</t>
  </si>
  <si>
    <t>site guessed by plant abunance list at each site; locations gussed from first searching the name of the area on GE, then by data in Table 1 giving slope, exposure and elevation, looking for the nerest point that satisfy the data. This study shows that  NE fascing slopes have shallower roots than SW facing. N-facing slopes have much higher plant cover (43% vs 12% at Long gulch)</t>
  </si>
  <si>
    <t>Pearson, 1965</t>
  </si>
  <si>
    <t>Artemesia tridentata</t>
  </si>
  <si>
    <t>sheet lava</t>
  </si>
  <si>
    <t>sandy loam of lava origin</t>
  </si>
  <si>
    <t>&lt;30% in May-Sep</t>
  </si>
  <si>
    <t>drawling</t>
  </si>
  <si>
    <t>Rexburg, E Idaho</t>
  </si>
  <si>
    <t xml:space="preserve">Ricks College campus </t>
  </si>
  <si>
    <t>grazed</t>
  </si>
  <si>
    <t>Snake river plateau</t>
  </si>
  <si>
    <t>Most of the root mass, over 80%, was concentrated in the upper 20 cm of the soil and only 18% in the second 20 cm. Examination of soil below this level indicated that not more than about 2% of the root mass was located below the 40-cm level. When entire individual plants were excavated, it was again apparent that over half to nearly all of the dry weiglht was below the surface of the soil. One sagebruslh plant which was excavated had 55% of the dry weight underground and 45% in the stems and leaves (Fig. 2)</t>
  </si>
  <si>
    <t>a case of bedrock stopping roots</t>
  </si>
  <si>
    <t>Link et al. 1990</t>
  </si>
  <si>
    <t>Hanford, SC Washington state</t>
  </si>
  <si>
    <t>Bromus tectorum L.</t>
  </si>
  <si>
    <t>Poa sandbergii Vasey</t>
  </si>
  <si>
    <t>Sandberg’s bluegrass</t>
  </si>
  <si>
    <t>mostly in fall / winter</t>
  </si>
  <si>
    <t>loamy sand on coarse sand</t>
  </si>
  <si>
    <t>burned 6yr ago</t>
  </si>
  <si>
    <t>The greatest depth of roots observed for large individuals of cheatgrass was 45 to 50 cm, which reaches into the coarse sand zone of the profile. The greatest depth observed for large individuals of Sandberg’s bluegrass was 35 cm. The majority of the root mass occurred in the top 10 cm of the soil for both species. Little root mass was found below 20 cm.</t>
  </si>
  <si>
    <t>Link et al. 1994</t>
  </si>
  <si>
    <t>Grayia spinosa</t>
  </si>
  <si>
    <t>dune swale</t>
  </si>
  <si>
    <t>spiny hopsage</t>
  </si>
  <si>
    <t>integrated root biomass down to 195cm was significantly greater under the G. spinosa coppice dunes than under the A. tridentata swales (9x more, esp. in top 90cm); the majority of roots were above depth of 90cm; root biomass with depth was not significantly different under A. tridentat swales</t>
  </si>
  <si>
    <t>Richards &amp; Caldwell 1987</t>
  </si>
  <si>
    <t>Logan, Utah</t>
  </si>
  <si>
    <t>gravelly loam to sandy loam</t>
  </si>
  <si>
    <t>mas rooting depth taken as 2.5 because the profile excludeed &lt;0.3mm roots and ended at 2.2m; location from Caldwell et al 1981</t>
  </si>
  <si>
    <t>The soil water potential data and experimental results suggest that at night water absorhed from moist soil by deeper roots is transported to and lost from roots into drier upper soil layers</t>
  </si>
  <si>
    <t>sandy loam developed on alluvial fan</t>
  </si>
  <si>
    <t>Reynolds &amp; Fraley, 1989</t>
  </si>
  <si>
    <t>aeolian sandy loam and loess</t>
  </si>
  <si>
    <t>E of Idaho Falls, ID (INEL)</t>
  </si>
  <si>
    <t>35% in Apr-Jun</t>
  </si>
  <si>
    <t>Agropyron cristatum</t>
  </si>
  <si>
    <t>Elymus elymoides</t>
  </si>
  <si>
    <t>squirreltail</t>
  </si>
  <si>
    <t>Leymus cinerus</t>
  </si>
  <si>
    <t>Oryzopsis hymenoides</t>
  </si>
  <si>
    <t>indian rice grass</t>
  </si>
  <si>
    <t>disturbed site</t>
  </si>
  <si>
    <t>32P radio tracer</t>
  </si>
  <si>
    <t>undistrubed site</t>
  </si>
  <si>
    <t>Chrysothamous vicidiflorus</t>
  </si>
  <si>
    <t>yellow rabbitbrush</t>
  </si>
  <si>
    <t>Cordylanthus ramosus</t>
  </si>
  <si>
    <t>bushy bird's beak</t>
  </si>
  <si>
    <t>clayey silt</t>
  </si>
  <si>
    <t xml:space="preserve">Root depth and lateral spread were determined for five plant species using radiotracer techniques. Depth data only were collected from two additional species. Big sagebrush (Artemisia tridentata), the deepest rooted species examined, had roots extending to a depth of 225 cm. Roots of Great Basin wildrye (Leymus cinereus), the deepest rooted grass, were detected to 200 cm. The maximum lateral spread of both of these species was 100 cm and occurred at a depth of 40 cm. </t>
  </si>
  <si>
    <t>locations guessed to be within the INEL faciliaties/lands, one at a distrubed site (Test Area North), the other at an undistrubed site to the south at a comparable elevation</t>
  </si>
  <si>
    <t>Klepper et al., 1985</t>
  </si>
  <si>
    <t>Kleinhampl &amp; Koteff, 1960</t>
  </si>
  <si>
    <t>gray rabbitbrush</t>
  </si>
  <si>
    <t>green rabbitbrush</t>
  </si>
  <si>
    <t>Chrysothamnus viscidiflorus</t>
  </si>
  <si>
    <t>antelope bitterbrush</t>
  </si>
  <si>
    <t>Purshia tridentata</t>
  </si>
  <si>
    <t>Atriplex (Grayia) spinosa</t>
  </si>
  <si>
    <t>needle and thread grass</t>
  </si>
  <si>
    <t>hoary aster</t>
  </si>
  <si>
    <t>Aster canescens</t>
  </si>
  <si>
    <t>turpentine cymopterus</t>
  </si>
  <si>
    <t>Cymopterus terebinthinus</t>
  </si>
  <si>
    <t>Carey's balsamroot</t>
  </si>
  <si>
    <t>Balsamorhiza careyana</t>
  </si>
  <si>
    <t>snowy buckwheat</t>
  </si>
  <si>
    <t>Eriogonum niveum</t>
  </si>
  <si>
    <t>Salsola kali</t>
  </si>
  <si>
    <t>bursage</t>
  </si>
  <si>
    <t>Ambrosia acanthicarpa</t>
  </si>
  <si>
    <t>prickly lettuce</t>
  </si>
  <si>
    <t>Latuca serriola</t>
  </si>
  <si>
    <t>summer annual</t>
  </si>
  <si>
    <t>Russian thistle</t>
  </si>
  <si>
    <t>sandy-loam to silty loam</t>
  </si>
  <si>
    <t>site-4</t>
  </si>
  <si>
    <t>site-3</t>
  </si>
  <si>
    <t>base of alluvial fan</t>
  </si>
  <si>
    <t>midslope to river</t>
  </si>
  <si>
    <t>further downslope to river</t>
  </si>
  <si>
    <t>near river</t>
  </si>
  <si>
    <t>Tap-root with wel l-developed laterals in the upper meter</t>
  </si>
  <si>
    <t>Strong tap- root with few laterals in upper meter</t>
  </si>
  <si>
    <t>Tap-root with a number of small lateral roots in upper meter</t>
  </si>
  <si>
    <t>Apparently not tap -rooted ; many woody roots in upper meter</t>
  </si>
  <si>
    <t>Fibrous shallow roots appear to have mycorrhizal sheath</t>
  </si>
  <si>
    <t>Fibrous root system extends about one meter laterally from the center of the plant</t>
  </si>
  <si>
    <t>Weak tap-root which tapers to single-root size at a depth generally about 10-20 cm. Small laterals</t>
  </si>
  <si>
    <t>Strong storage tap- root which smells of "bitter carrot." Grows more or less vertically.</t>
  </si>
  <si>
    <t>Strong storage tap-root which does not grow vertically, but tends to be at an angle to vertical.</t>
  </si>
  <si>
    <t>Hany laterals at about 5- 10 cm below the surface; tap-root at 10 em is no larger than laterals, but does grow vertically</t>
  </si>
  <si>
    <t>Tap- root strong but many laterals present at all depths, especially late in the season</t>
  </si>
  <si>
    <t>soil texture based on other studies at the same site (e.g., Link) and author notes that soil texture is similar across the 4 sites; max rooting depth is based on profile data for species, and the rest given as mean of more than one samples +/- std, but estimated to a single value by Samples et al 2015, who appear to have direct access to data being in the same lab; locations of samples are estimated: zooming in GE, the sites with more larger shrubs likely are the sites of large shrub samples, and vice versa. Also have seasonal profiles for 4 species</t>
  </si>
  <si>
    <t>Tap-root , but tapers rapidly, many thread- like laterals</t>
  </si>
  <si>
    <t>Shallow, weak tap-root; many small laterals, especially in upper few cm</t>
  </si>
  <si>
    <t>0.8 +/- 0.3</t>
  </si>
  <si>
    <t>0.7 +/- 0.2</t>
  </si>
  <si>
    <t>1.4 (1.1 +/- 0.3)</t>
  </si>
  <si>
    <t>0.8 +/- 0.1</t>
  </si>
  <si>
    <t>0.6 +/- 0.1</t>
  </si>
  <si>
    <t>forb (creeping rhizomes)</t>
  </si>
  <si>
    <t>Artemeisia tridentata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</si>
</sst>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0000"/>
  </numFmts>
  <fonts count="14" x14ac:knownFonts="1">
    <font>
      <sz val="11"/>
      <color theme="1"/>
      <name val="Calibri"/>
      <family val="2"/>
      <scheme val="minor"/>
    </font>
    <font>
      <sz val="9"/>
      <color theme="1"/>
      <name val="Calibri"/>
      <family val="2"/>
      <scheme val="minor"/>
    </font>
    <font>
      <i/>
      <sz val="9"/>
      <color theme="1"/>
      <name val="Calibri"/>
      <family val="2"/>
      <scheme val="minor"/>
    </font>
    <font>
      <b/>
      <sz val="9"/>
      <color theme="1"/>
      <name val="Calibri"/>
      <family val="2"/>
      <scheme val="minor"/>
    </font>
    <font>
      <b/>
      <i/>
      <sz val="9"/>
      <color theme="1"/>
      <name val="Calibri"/>
      <family val="2"/>
      <scheme val="minor"/>
    </font>
    <font>
      <sz val="9"/>
      <color theme="1"/>
      <name val="Calibri"/>
      <family val="2"/>
    </font>
    <font>
      <sz val="9"/>
      <name val="Calibri"/>
      <family val="2"/>
      <scheme val="minor"/>
    </font>
    <font>
      <vertAlign val="superscript"/>
      <sz val="9"/>
      <color theme="1"/>
      <name val="Calibri"/>
      <family val="2"/>
      <scheme val="minor"/>
    </font>
    <font>
      <sz val="9"/>
      <color rgb="FFFF0000"/>
      <name val="Calibri"/>
      <family val="2"/>
      <scheme val="minor"/>
    </font>
    <font>
      <sz val="9"/>
      <color rgb="FF0070C0"/>
      <name val="Calibri"/>
      <family val="2"/>
      <scheme val="minor"/>
    </font>
    <font>
      <i/>
      <sz val="9"/>
      <color rgb="FF0070C0"/>
      <name val="Calibri"/>
      <family val="2"/>
      <scheme val="minor"/>
    </font>
    <font>
      <vertAlign val="superscript"/>
      <sz val="9"/>
      <color rgb="FF0070C0"/>
      <name val="Calibri"/>
      <family val="2"/>
      <scheme val="minor"/>
    </font>
    <font>
      <sz val="8"/>
      <color rgb="FF0070C0"/>
      <name val="Arial"/>
      <family val="2"/>
    </font>
    <font>
      <i/>
      <sz val="8"/>
      <color rgb="FF0070C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2">
    <xf numFmtId="0" fontId="0" fillId="0" borderId="0" xfId="0"/>
    <xf numFmtId="0" fontId="2"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0" fontId="2" fillId="2" borderId="1" xfId="0" applyFont="1" applyFill="1" applyBorder="1" applyAlignment="1">
      <alignment horizontal="center" vertical="center" wrapText="1"/>
    </xf>
    <xf numFmtId="2" fontId="1" fillId="2" borderId="1" xfId="0" applyNumberFormat="1" applyFont="1" applyFill="1" applyBorder="1" applyAlignment="1">
      <alignment horizontal="center" vertical="center" wrapText="1"/>
    </xf>
    <xf numFmtId="164"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16" fontId="1"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2" fontId="1" fillId="2" borderId="3"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1" fontId="3"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16" fontId="1" fillId="0" borderId="1" xfId="0" applyNumberFormat="1" applyFont="1" applyBorder="1" applyAlignment="1">
      <alignment horizontal="center" vertical="center" wrapText="1"/>
    </xf>
    <xf numFmtId="0" fontId="1" fillId="2" borderId="3" xfId="0" applyFont="1" applyFill="1" applyBorder="1" applyAlignment="1">
      <alignment horizontal="center" vertical="center" wrapText="1"/>
    </xf>
    <xf numFmtId="1" fontId="6" fillId="0" borderId="1" xfId="0" applyNumberFormat="1" applyFont="1" applyBorder="1" applyAlignment="1">
      <alignment horizontal="center" vertical="center" wrapText="1"/>
    </xf>
    <xf numFmtId="1" fontId="6" fillId="2" borderId="1"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1" xfId="0" applyFont="1" applyBorder="1" applyAlignment="1">
      <alignment vertical="center" wrapText="1"/>
    </xf>
    <xf numFmtId="164" fontId="6" fillId="0" borderId="1" xfId="0" applyNumberFormat="1" applyFont="1" applyBorder="1" applyAlignment="1">
      <alignment horizontal="center" vertical="center" wrapText="1"/>
    </xf>
    <xf numFmtId="164" fontId="6" fillId="2" borderId="1" xfId="0" applyNumberFormat="1" applyFont="1" applyFill="1" applyBorder="1" applyAlignment="1">
      <alignment horizontal="center" vertical="center" wrapText="1"/>
    </xf>
    <xf numFmtId="1" fontId="1" fillId="2" borderId="2" xfId="0" applyNumberFormat="1" applyFont="1" applyFill="1" applyBorder="1" applyAlignment="1">
      <alignment horizontal="center" vertical="center" wrapText="1"/>
    </xf>
    <xf numFmtId="0" fontId="1" fillId="2" borderId="1" xfId="0" quotePrefix="1" applyFont="1" applyFill="1" applyBorder="1" applyAlignment="1">
      <alignment horizontal="center" vertical="center" wrapText="1"/>
    </xf>
    <xf numFmtId="0" fontId="1" fillId="2" borderId="5" xfId="0" applyFont="1" applyFill="1" applyBorder="1" applyAlignment="1">
      <alignment vertical="center" wrapText="1"/>
    </xf>
    <xf numFmtId="0" fontId="1" fillId="2" borderId="1" xfId="0" applyFont="1" applyFill="1" applyBorder="1" applyAlignment="1">
      <alignment vertical="center" wrapText="1"/>
    </xf>
    <xf numFmtId="49" fontId="1" fillId="0" borderId="1" xfId="0" applyNumberFormat="1" applyFont="1" applyBorder="1" applyAlignment="1">
      <alignment horizontal="center" vertical="center" wrapText="1"/>
    </xf>
    <xf numFmtId="0" fontId="1" fillId="0" borderId="1" xfId="0" quotePrefix="1" applyFont="1" applyBorder="1" applyAlignment="1">
      <alignment horizontal="center" vertical="center" wrapText="1"/>
    </xf>
    <xf numFmtId="164" fontId="1" fillId="2" borderId="2" xfId="0" applyNumberFormat="1" applyFont="1" applyFill="1" applyBorder="1" applyAlignment="1">
      <alignment horizontal="center" vertical="center" wrapText="1"/>
    </xf>
    <xf numFmtId="2" fontId="1" fillId="2" borderId="2"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2" fontId="1" fillId="3" borderId="1" xfId="0" applyNumberFormat="1" applyFont="1" applyFill="1" applyBorder="1" applyAlignment="1">
      <alignment horizontal="center" vertical="center" wrapText="1"/>
    </xf>
    <xf numFmtId="1" fontId="1" fillId="3"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166" fontId="1" fillId="2" borderId="1" xfId="0" applyNumberFormat="1" applyFont="1" applyFill="1" applyBorder="1" applyAlignment="1">
      <alignment horizontal="center" vertical="center" wrapText="1"/>
    </xf>
    <xf numFmtId="166" fontId="1" fillId="0" borderId="1" xfId="0" applyNumberFormat="1" applyFont="1" applyBorder="1" applyAlignment="1">
      <alignment horizontal="center" vertical="center" wrapText="1"/>
    </xf>
    <xf numFmtId="0" fontId="1" fillId="0" borderId="2" xfId="0" applyFont="1" applyBorder="1" applyAlignment="1">
      <alignment vertical="center" wrapText="1"/>
    </xf>
    <xf numFmtId="0" fontId="1" fillId="2" borderId="2" xfId="0" applyFont="1" applyFill="1" applyBorder="1" applyAlignment="1">
      <alignment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2" fontId="1" fillId="0" borderId="2"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1" fontId="1" fillId="4" borderId="1" xfId="0" applyNumberFormat="1"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2" fontId="1" fillId="4" borderId="1"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2" fontId="1" fillId="5" borderId="1" xfId="0" applyNumberFormat="1" applyFont="1" applyFill="1" applyBorder="1" applyAlignment="1">
      <alignment horizontal="center" vertical="center" wrapText="1"/>
    </xf>
    <xf numFmtId="1" fontId="1" fillId="5" borderId="1" xfId="0" applyNumberFormat="1"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0" borderId="3" xfId="0" applyFont="1" applyBorder="1" applyAlignment="1">
      <alignment vertical="center" wrapText="1"/>
    </xf>
    <xf numFmtId="0" fontId="1" fillId="2" borderId="3" xfId="0" applyFont="1" applyFill="1" applyBorder="1" applyAlignment="1">
      <alignment vertical="center" wrapText="1"/>
    </xf>
    <xf numFmtId="16" fontId="1" fillId="5"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166" fontId="1" fillId="6" borderId="1" xfId="0" applyNumberFormat="1" applyFont="1" applyFill="1" applyBorder="1" applyAlignment="1">
      <alignment horizontal="center" vertical="center" wrapText="1"/>
    </xf>
    <xf numFmtId="1" fontId="1" fillId="6" borderId="1" xfId="0" applyNumberFormat="1" applyFont="1" applyFill="1" applyBorder="1" applyAlignment="1">
      <alignment horizontal="center" vertical="center" wrapText="1"/>
    </xf>
    <xf numFmtId="0" fontId="1" fillId="6" borderId="2" xfId="0"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165" fontId="1" fillId="0" borderId="1"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1" fontId="1" fillId="0" borderId="2"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3" fillId="0" borderId="3" xfId="0" applyFont="1" applyBorder="1" applyAlignment="1">
      <alignment horizontal="center" vertical="center" wrapText="1"/>
    </xf>
    <xf numFmtId="0" fontId="4" fillId="0" borderId="1" xfId="0" applyFont="1" applyBorder="1" applyAlignment="1">
      <alignment horizontal="center" vertical="center" wrapText="1"/>
    </xf>
    <xf numFmtId="164" fontId="1" fillId="0" borderId="2"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1"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2" fontId="9" fillId="2" borderId="1" xfId="0" applyNumberFormat="1" applyFont="1" applyFill="1" applyBorder="1" applyAlignment="1">
      <alignment horizontal="center" vertical="center" wrapText="1"/>
    </xf>
    <xf numFmtId="1" fontId="9" fillId="2" borderId="1" xfId="0" applyNumberFormat="1" applyFont="1" applyFill="1" applyBorder="1" applyAlignment="1">
      <alignment horizontal="center" vertical="center" wrapText="1"/>
    </xf>
    <xf numFmtId="164" fontId="9" fillId="2" borderId="1" xfId="0" applyNumberFormat="1"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16" fontId="9" fillId="0" borderId="1" xfId="0" applyNumberFormat="1" applyFont="1" applyBorder="1" applyAlignment="1">
      <alignment horizontal="center" vertical="center" wrapText="1"/>
    </xf>
    <xf numFmtId="0" fontId="9"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2" fontId="9" fillId="7" borderId="1" xfId="0" applyNumberFormat="1" applyFont="1" applyFill="1" applyBorder="1" applyAlignment="1">
      <alignment horizontal="center" vertical="center" wrapText="1"/>
    </xf>
    <xf numFmtId="1" fontId="9" fillId="7" borderId="1" xfId="0" applyNumberFormat="1" applyFont="1" applyFill="1" applyBorder="1" applyAlignment="1">
      <alignment horizontal="center" vertical="center" wrapText="1"/>
    </xf>
    <xf numFmtId="16" fontId="9" fillId="7" borderId="1" xfId="0" applyNumberFormat="1" applyFont="1" applyFill="1" applyBorder="1" applyAlignment="1">
      <alignment horizontal="center" vertical="center" wrapText="1"/>
    </xf>
    <xf numFmtId="164" fontId="9" fillId="7" borderId="1" xfId="0" applyNumberFormat="1"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2" fontId="9" fillId="6" borderId="1" xfId="0" applyNumberFormat="1" applyFont="1" applyFill="1" applyBorder="1" applyAlignment="1">
      <alignment horizontal="center" vertical="center" wrapText="1"/>
    </xf>
    <xf numFmtId="1" fontId="9" fillId="6" borderId="1" xfId="0" applyNumberFormat="1" applyFont="1" applyFill="1" applyBorder="1" applyAlignment="1">
      <alignment horizontal="center" vertical="center" wrapText="1"/>
    </xf>
    <xf numFmtId="16" fontId="9" fillId="6" borderId="1" xfId="0" applyNumberFormat="1" applyFont="1" applyFill="1" applyBorder="1" applyAlignment="1">
      <alignment horizontal="center" vertical="center" wrapText="1"/>
    </xf>
    <xf numFmtId="164" fontId="9" fillId="6" borderId="1" xfId="0" applyNumberFormat="1"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0" borderId="1" xfId="0" applyFont="1" applyBorder="1" applyAlignment="1">
      <alignment horizontal="left" vertical="top" wrapText="1"/>
    </xf>
    <xf numFmtId="0" fontId="1"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9" fillId="0" borderId="5"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1" fontId="1" fillId="0" borderId="5" xfId="0" applyNumberFormat="1" applyFont="1" applyBorder="1" applyAlignment="1">
      <alignment horizontal="center" vertical="center" wrapText="1"/>
    </xf>
    <xf numFmtId="1" fontId="1" fillId="2" borderId="5" xfId="0" applyNumberFormat="1"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2" fillId="2" borderId="5" xfId="0" applyFont="1" applyFill="1" applyBorder="1" applyAlignment="1">
      <alignment horizontal="center" vertical="center" wrapText="1"/>
    </xf>
    <xf numFmtId="164" fontId="1" fillId="2" borderId="5" xfId="0" applyNumberFormat="1"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16" fontId="1" fillId="6" borderId="1" xfId="0" applyNumberFormat="1" applyFont="1" applyFill="1" applyBorder="1" applyAlignment="1">
      <alignment horizontal="center" vertical="center" wrapText="1"/>
    </xf>
    <xf numFmtId="0" fontId="1" fillId="6" borderId="3" xfId="0" applyFont="1" applyFill="1" applyBorder="1" applyAlignment="1">
      <alignment horizontal="center" vertical="center" wrapText="1"/>
    </xf>
    <xf numFmtId="16" fontId="9" fillId="2" borderId="1"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167" fontId="1" fillId="0" borderId="1" xfId="0" applyNumberFormat="1" applyFont="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164" fontId="3" fillId="0" borderId="2" xfId="0" applyNumberFormat="1" applyFont="1" applyBorder="1" applyAlignment="1">
      <alignment horizontal="center" vertical="center" wrapText="1"/>
    </xf>
    <xf numFmtId="164" fontId="3" fillId="0" borderId="3" xfId="0" applyNumberFormat="1" applyFont="1" applyBorder="1" applyAlignment="1">
      <alignment horizontal="center" vertical="center" wrapText="1"/>
    </xf>
    <xf numFmtId="1" fontId="3" fillId="0" borderId="2" xfId="0" applyNumberFormat="1" applyFont="1" applyBorder="1" applyAlignment="1">
      <alignment horizontal="center" vertical="center" wrapText="1"/>
    </xf>
    <xf numFmtId="1" fontId="3" fillId="0" borderId="3" xfId="0" applyNumberFormat="1" applyFont="1" applyBorder="1" applyAlignment="1">
      <alignment horizontal="center" vertical="center" wrapText="1"/>
    </xf>
    <xf numFmtId="0" fontId="1" fillId="4" borderId="2"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3</xdr:col>
      <xdr:colOff>95250</xdr:colOff>
      <xdr:row>774</xdr:row>
      <xdr:rowOff>38099</xdr:rowOff>
    </xdr:from>
    <xdr:to>
      <xdr:col>3</xdr:col>
      <xdr:colOff>621195</xdr:colOff>
      <xdr:row>775</xdr:row>
      <xdr:rowOff>4240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9946" y="205579316"/>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182217</xdr:colOff>
      <xdr:row>776</xdr:row>
      <xdr:rowOff>150008</xdr:rowOff>
    </xdr:from>
    <xdr:to>
      <xdr:col>4</xdr:col>
      <xdr:colOff>733</xdr:colOff>
      <xdr:row>776</xdr:row>
      <xdr:rowOff>265043</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36913" y="206237878"/>
          <a:ext cx="489407" cy="115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322289</xdr:colOff>
      <xdr:row>777</xdr:row>
      <xdr:rowOff>124239</xdr:rowOff>
    </xdr:from>
    <xdr:to>
      <xdr:col>3</xdr:col>
      <xdr:colOff>646047</xdr:colOff>
      <xdr:row>778</xdr:row>
      <xdr:rowOff>3727</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76985" y="206485435"/>
          <a:ext cx="323758" cy="144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41415</xdr:colOff>
      <xdr:row>764</xdr:row>
      <xdr:rowOff>74543</xdr:rowOff>
    </xdr:from>
    <xdr:to>
      <xdr:col>3</xdr:col>
      <xdr:colOff>613525</xdr:colOff>
      <xdr:row>764</xdr:row>
      <xdr:rowOff>238125</xdr:rowOff>
    </xdr:to>
    <xdr:pic>
      <xdr:nvPicPr>
        <xdr:cNvPr id="7" name="Picture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96111" y="202882500"/>
          <a:ext cx="572110" cy="163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115956</xdr:colOff>
      <xdr:row>765</xdr:row>
      <xdr:rowOff>29993</xdr:rowOff>
    </xdr:from>
    <xdr:to>
      <xdr:col>3</xdr:col>
      <xdr:colOff>488673</xdr:colOff>
      <xdr:row>765</xdr:row>
      <xdr:rowOff>220317</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0652" y="203111276"/>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132522</xdr:colOff>
      <xdr:row>766</xdr:row>
      <xdr:rowOff>33130</xdr:rowOff>
    </xdr:from>
    <xdr:to>
      <xdr:col>3</xdr:col>
      <xdr:colOff>505239</xdr:colOff>
      <xdr:row>766</xdr:row>
      <xdr:rowOff>223454</xdr:rowOff>
    </xdr:to>
    <xdr:pic>
      <xdr:nvPicPr>
        <xdr:cNvPr id="9" name="Picture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87218" y="20338773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124239</xdr:colOff>
      <xdr:row>767</xdr:row>
      <xdr:rowOff>41414</xdr:rowOff>
    </xdr:from>
    <xdr:to>
      <xdr:col>3</xdr:col>
      <xdr:colOff>496956</xdr:colOff>
      <xdr:row>767</xdr:row>
      <xdr:rowOff>231738</xdr:rowOff>
    </xdr:to>
    <xdr:pic>
      <xdr:nvPicPr>
        <xdr:cNvPr id="10" name="Picture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366934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124239</xdr:colOff>
      <xdr:row>768</xdr:row>
      <xdr:rowOff>41414</xdr:rowOff>
    </xdr:from>
    <xdr:ext cx="372717" cy="190324"/>
    <xdr:pic>
      <xdr:nvPicPr>
        <xdr:cNvPr id="11" name="Picture 1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366934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124239</xdr:colOff>
      <xdr:row>769</xdr:row>
      <xdr:rowOff>41414</xdr:rowOff>
    </xdr:from>
    <xdr:ext cx="372717" cy="190324"/>
    <xdr:pic>
      <xdr:nvPicPr>
        <xdr:cNvPr id="12" name="Picture 11">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366934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124239</xdr:colOff>
      <xdr:row>770</xdr:row>
      <xdr:rowOff>41414</xdr:rowOff>
    </xdr:from>
    <xdr:ext cx="372717" cy="190324"/>
    <xdr:pic>
      <xdr:nvPicPr>
        <xdr:cNvPr id="13" name="Picture 1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366934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124239</xdr:colOff>
      <xdr:row>772</xdr:row>
      <xdr:rowOff>41414</xdr:rowOff>
    </xdr:from>
    <xdr:ext cx="372717" cy="190324"/>
    <xdr:pic>
      <xdr:nvPicPr>
        <xdr:cNvPr id="15" name="Picture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366934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248480</xdr:colOff>
      <xdr:row>771</xdr:row>
      <xdr:rowOff>149087</xdr:rowOff>
    </xdr:from>
    <xdr:to>
      <xdr:col>3</xdr:col>
      <xdr:colOff>637762</xdr:colOff>
      <xdr:row>772</xdr:row>
      <xdr:rowOff>7896</xdr:rowOff>
    </xdr:to>
    <xdr:pic>
      <xdr:nvPicPr>
        <xdr:cNvPr id="16" name="Picture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203176" y="204870326"/>
          <a:ext cx="389282" cy="123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24849</xdr:colOff>
      <xdr:row>773</xdr:row>
      <xdr:rowOff>124242</xdr:rowOff>
    </xdr:from>
    <xdr:to>
      <xdr:col>3</xdr:col>
      <xdr:colOff>664929</xdr:colOff>
      <xdr:row>773</xdr:row>
      <xdr:rowOff>233138</xdr:rowOff>
    </xdr:to>
    <xdr:pic>
      <xdr:nvPicPr>
        <xdr:cNvPr id="17" name="Picture 16">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79545" y="205392133"/>
          <a:ext cx="640080" cy="108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124239</xdr:colOff>
      <xdr:row>775</xdr:row>
      <xdr:rowOff>57978</xdr:rowOff>
    </xdr:from>
    <xdr:ext cx="372717" cy="190324"/>
    <xdr:pic>
      <xdr:nvPicPr>
        <xdr:cNvPr id="18" name="Picture 17">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5872521"/>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140808</xdr:colOff>
      <xdr:row>781</xdr:row>
      <xdr:rowOff>41415</xdr:rowOff>
    </xdr:from>
    <xdr:ext cx="372717" cy="190324"/>
    <xdr:pic>
      <xdr:nvPicPr>
        <xdr:cNvPr id="20" name="Picture 19">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4" y="206949263"/>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74547</xdr:colOff>
      <xdr:row>782</xdr:row>
      <xdr:rowOff>24849</xdr:rowOff>
    </xdr:from>
    <xdr:to>
      <xdr:col>3</xdr:col>
      <xdr:colOff>600492</xdr:colOff>
      <xdr:row>782</xdr:row>
      <xdr:rowOff>256034</xdr:rowOff>
    </xdr:to>
    <xdr:pic>
      <xdr:nvPicPr>
        <xdr:cNvPr id="21" name="Picture 2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9243" y="207206023"/>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91113</xdr:colOff>
      <xdr:row>784</xdr:row>
      <xdr:rowOff>24849</xdr:rowOff>
    </xdr:from>
    <xdr:to>
      <xdr:col>3</xdr:col>
      <xdr:colOff>617058</xdr:colOff>
      <xdr:row>784</xdr:row>
      <xdr:rowOff>256034</xdr:rowOff>
    </xdr:to>
    <xdr:pic>
      <xdr:nvPicPr>
        <xdr:cNvPr id="24" name="Picture 23">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5809" y="207752675"/>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107678</xdr:colOff>
      <xdr:row>785</xdr:row>
      <xdr:rowOff>24849</xdr:rowOff>
    </xdr:from>
    <xdr:to>
      <xdr:col>3</xdr:col>
      <xdr:colOff>633623</xdr:colOff>
      <xdr:row>785</xdr:row>
      <xdr:rowOff>256034</xdr:rowOff>
    </xdr:to>
    <xdr:pic>
      <xdr:nvPicPr>
        <xdr:cNvPr id="25" name="Picture 24">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2374" y="208026001"/>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91109</xdr:colOff>
      <xdr:row>786</xdr:row>
      <xdr:rowOff>33131</xdr:rowOff>
    </xdr:from>
    <xdr:to>
      <xdr:col>3</xdr:col>
      <xdr:colOff>617054</xdr:colOff>
      <xdr:row>786</xdr:row>
      <xdr:rowOff>264316</xdr:rowOff>
    </xdr:to>
    <xdr:pic>
      <xdr:nvPicPr>
        <xdr:cNvPr id="26" name="Picture 25">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5805" y="208307609"/>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33132</xdr:colOff>
      <xdr:row>787</xdr:row>
      <xdr:rowOff>41401</xdr:rowOff>
    </xdr:from>
    <xdr:to>
      <xdr:col>3</xdr:col>
      <xdr:colOff>646045</xdr:colOff>
      <xdr:row>787</xdr:row>
      <xdr:rowOff>180975</xdr:rowOff>
    </xdr:to>
    <xdr:pic>
      <xdr:nvPicPr>
        <xdr:cNvPr id="28" name="Picture 27">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8" y="208589205"/>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41413</xdr:colOff>
      <xdr:row>783</xdr:row>
      <xdr:rowOff>74544</xdr:rowOff>
    </xdr:from>
    <xdr:to>
      <xdr:col>3</xdr:col>
      <xdr:colOff>654326</xdr:colOff>
      <xdr:row>783</xdr:row>
      <xdr:rowOff>214118</xdr:rowOff>
    </xdr:to>
    <xdr:pic>
      <xdr:nvPicPr>
        <xdr:cNvPr id="29" name="Picture 28">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09" y="207529044"/>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49695</xdr:colOff>
      <xdr:row>788</xdr:row>
      <xdr:rowOff>91108</xdr:rowOff>
    </xdr:from>
    <xdr:to>
      <xdr:col>3</xdr:col>
      <xdr:colOff>662608</xdr:colOff>
      <xdr:row>788</xdr:row>
      <xdr:rowOff>230682</xdr:rowOff>
    </xdr:to>
    <xdr:pic>
      <xdr:nvPicPr>
        <xdr:cNvPr id="30" name="Picture 29">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004391" y="208912238"/>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140805</xdr:colOff>
      <xdr:row>789</xdr:row>
      <xdr:rowOff>57978</xdr:rowOff>
    </xdr:from>
    <xdr:ext cx="372717" cy="149086"/>
    <xdr:pic>
      <xdr:nvPicPr>
        <xdr:cNvPr id="31" name="Picture 30">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1" y="209152435"/>
          <a:ext cx="372717" cy="1490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140804</xdr:colOff>
      <xdr:row>790</xdr:row>
      <xdr:rowOff>49696</xdr:rowOff>
    </xdr:from>
    <xdr:ext cx="372717" cy="190500"/>
    <xdr:pic>
      <xdr:nvPicPr>
        <xdr:cNvPr id="32" name="Picture 31">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0" y="20941747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74543</xdr:colOff>
      <xdr:row>791</xdr:row>
      <xdr:rowOff>24848</xdr:rowOff>
    </xdr:from>
    <xdr:to>
      <xdr:col>3</xdr:col>
      <xdr:colOff>600488</xdr:colOff>
      <xdr:row>791</xdr:row>
      <xdr:rowOff>256033</xdr:rowOff>
    </xdr:to>
    <xdr:pic>
      <xdr:nvPicPr>
        <xdr:cNvPr id="33" name="Picture 32">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9239" y="209665957"/>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74547</xdr:colOff>
      <xdr:row>792</xdr:row>
      <xdr:rowOff>24849</xdr:rowOff>
    </xdr:from>
    <xdr:to>
      <xdr:col>3</xdr:col>
      <xdr:colOff>600492</xdr:colOff>
      <xdr:row>792</xdr:row>
      <xdr:rowOff>256034</xdr:rowOff>
    </xdr:to>
    <xdr:pic>
      <xdr:nvPicPr>
        <xdr:cNvPr id="34" name="Picture 33">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9243" y="209939284"/>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99391</xdr:colOff>
      <xdr:row>793</xdr:row>
      <xdr:rowOff>41413</xdr:rowOff>
    </xdr:from>
    <xdr:ext cx="372717" cy="190500"/>
    <xdr:pic>
      <xdr:nvPicPr>
        <xdr:cNvPr id="35" name="Picture 34">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54087" y="21022917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xdr:colOff>
      <xdr:row>794</xdr:row>
      <xdr:rowOff>66261</xdr:rowOff>
    </xdr:from>
    <xdr:to>
      <xdr:col>3</xdr:col>
      <xdr:colOff>637761</xdr:colOff>
      <xdr:row>794</xdr:row>
      <xdr:rowOff>205835</xdr:rowOff>
    </xdr:to>
    <xdr:pic>
      <xdr:nvPicPr>
        <xdr:cNvPr id="36" name="Picture 35">
          <a:extLst>
            <a:ext uri="{FF2B5EF4-FFF2-40B4-BE49-F238E27FC236}">
              <a16:creationId xmlns:a16="http://schemas.microsoft.com/office/drawing/2014/main" id="{00000000-0008-0000-0000-00002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0527348"/>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157370</xdr:colOff>
      <xdr:row>795</xdr:row>
      <xdr:rowOff>49696</xdr:rowOff>
    </xdr:from>
    <xdr:ext cx="372717" cy="190500"/>
    <xdr:pic>
      <xdr:nvPicPr>
        <xdr:cNvPr id="37" name="Picture 36">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2066" y="21078410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149087</xdr:colOff>
      <xdr:row>796</xdr:row>
      <xdr:rowOff>49695</xdr:rowOff>
    </xdr:from>
    <xdr:ext cx="372717" cy="190500"/>
    <xdr:pic>
      <xdr:nvPicPr>
        <xdr:cNvPr id="38" name="Picture 37">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3783" y="21105743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41413</xdr:colOff>
      <xdr:row>797</xdr:row>
      <xdr:rowOff>74544</xdr:rowOff>
    </xdr:from>
    <xdr:to>
      <xdr:col>3</xdr:col>
      <xdr:colOff>654326</xdr:colOff>
      <xdr:row>797</xdr:row>
      <xdr:rowOff>214118</xdr:rowOff>
    </xdr:to>
    <xdr:pic>
      <xdr:nvPicPr>
        <xdr:cNvPr id="39" name="Picture 38">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09" y="211355609"/>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157369</xdr:colOff>
      <xdr:row>798</xdr:row>
      <xdr:rowOff>49695</xdr:rowOff>
    </xdr:from>
    <xdr:ext cx="372717" cy="190500"/>
    <xdr:pic>
      <xdr:nvPicPr>
        <xdr:cNvPr id="40" name="Picture 39">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2065" y="211604086"/>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41415</xdr:colOff>
      <xdr:row>799</xdr:row>
      <xdr:rowOff>91113</xdr:rowOff>
    </xdr:from>
    <xdr:to>
      <xdr:col>3</xdr:col>
      <xdr:colOff>654328</xdr:colOff>
      <xdr:row>799</xdr:row>
      <xdr:rowOff>230687</xdr:rowOff>
    </xdr:to>
    <xdr:pic>
      <xdr:nvPicPr>
        <xdr:cNvPr id="41" name="Picture 40">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11" y="211918830"/>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323022</xdr:colOff>
      <xdr:row>779</xdr:row>
      <xdr:rowOff>124238</xdr:rowOff>
    </xdr:from>
    <xdr:to>
      <xdr:col>4</xdr:col>
      <xdr:colOff>3229</xdr:colOff>
      <xdr:row>780</xdr:row>
      <xdr:rowOff>5097</xdr:rowOff>
    </xdr:to>
    <xdr:pic>
      <xdr:nvPicPr>
        <xdr:cNvPr id="42" name="Picture 41">
          <a:extLst>
            <a:ext uri="{FF2B5EF4-FFF2-40B4-BE49-F238E27FC236}">
              <a16:creationId xmlns:a16="http://schemas.microsoft.com/office/drawing/2014/main" id="{00000000-0008-0000-0000-00002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77718" y="207032086"/>
          <a:ext cx="346957" cy="149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33130</xdr:colOff>
      <xdr:row>800</xdr:row>
      <xdr:rowOff>82826</xdr:rowOff>
    </xdr:from>
    <xdr:to>
      <xdr:col>3</xdr:col>
      <xdr:colOff>646043</xdr:colOff>
      <xdr:row>800</xdr:row>
      <xdr:rowOff>222400</xdr:rowOff>
    </xdr:to>
    <xdr:pic>
      <xdr:nvPicPr>
        <xdr:cNvPr id="44" name="Picture 43">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6" y="212730522"/>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33130</xdr:colOff>
      <xdr:row>801</xdr:row>
      <xdr:rowOff>91109</xdr:rowOff>
    </xdr:from>
    <xdr:to>
      <xdr:col>3</xdr:col>
      <xdr:colOff>646043</xdr:colOff>
      <xdr:row>801</xdr:row>
      <xdr:rowOff>230683</xdr:rowOff>
    </xdr:to>
    <xdr:pic>
      <xdr:nvPicPr>
        <xdr:cNvPr id="45" name="Picture 44">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6" y="213012131"/>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157369</xdr:colOff>
      <xdr:row>802</xdr:row>
      <xdr:rowOff>66261</xdr:rowOff>
    </xdr:from>
    <xdr:ext cx="372717" cy="190500"/>
    <xdr:pic>
      <xdr:nvPicPr>
        <xdr:cNvPr id="46" name="Picture 45">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2065" y="21326060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132521</xdr:colOff>
      <xdr:row>803</xdr:row>
      <xdr:rowOff>41413</xdr:rowOff>
    </xdr:from>
    <xdr:ext cx="372717" cy="190500"/>
    <xdr:pic>
      <xdr:nvPicPr>
        <xdr:cNvPr id="47" name="Picture 46">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87217" y="213509087"/>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xdr:colOff>
      <xdr:row>804</xdr:row>
      <xdr:rowOff>91109</xdr:rowOff>
    </xdr:from>
    <xdr:to>
      <xdr:col>3</xdr:col>
      <xdr:colOff>637761</xdr:colOff>
      <xdr:row>804</xdr:row>
      <xdr:rowOff>230683</xdr:rowOff>
    </xdr:to>
    <xdr:pic>
      <xdr:nvPicPr>
        <xdr:cNvPr id="48" name="Picture 47">
          <a:extLst>
            <a:ext uri="{FF2B5EF4-FFF2-40B4-BE49-F238E27FC236}">
              <a16:creationId xmlns:a16="http://schemas.microsoft.com/office/drawing/2014/main" id="{00000000-0008-0000-0000-000030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3832109"/>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165652</xdr:colOff>
      <xdr:row>805</xdr:row>
      <xdr:rowOff>57978</xdr:rowOff>
    </xdr:from>
    <xdr:ext cx="372717" cy="190500"/>
    <xdr:pic>
      <xdr:nvPicPr>
        <xdr:cNvPr id="49" name="Picture 48">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8" y="21407230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41413</xdr:colOff>
      <xdr:row>806</xdr:row>
      <xdr:rowOff>57978</xdr:rowOff>
    </xdr:from>
    <xdr:to>
      <xdr:col>3</xdr:col>
      <xdr:colOff>654326</xdr:colOff>
      <xdr:row>806</xdr:row>
      <xdr:rowOff>197552</xdr:rowOff>
    </xdr:to>
    <xdr:pic>
      <xdr:nvPicPr>
        <xdr:cNvPr id="50" name="Picture 49">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09" y="214345630"/>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33130</xdr:colOff>
      <xdr:row>807</xdr:row>
      <xdr:rowOff>91109</xdr:rowOff>
    </xdr:from>
    <xdr:to>
      <xdr:col>3</xdr:col>
      <xdr:colOff>646043</xdr:colOff>
      <xdr:row>807</xdr:row>
      <xdr:rowOff>230683</xdr:rowOff>
    </xdr:to>
    <xdr:pic>
      <xdr:nvPicPr>
        <xdr:cNvPr id="51" name="Picture 50">
          <a:extLst>
            <a:ext uri="{FF2B5EF4-FFF2-40B4-BE49-F238E27FC236}">
              <a16:creationId xmlns:a16="http://schemas.microsoft.com/office/drawing/2014/main" id="{00000000-0008-0000-0000-000033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6" y="214652087"/>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33130</xdr:colOff>
      <xdr:row>808</xdr:row>
      <xdr:rowOff>82826</xdr:rowOff>
    </xdr:from>
    <xdr:to>
      <xdr:col>3</xdr:col>
      <xdr:colOff>646043</xdr:colOff>
      <xdr:row>808</xdr:row>
      <xdr:rowOff>222400</xdr:rowOff>
    </xdr:to>
    <xdr:pic>
      <xdr:nvPicPr>
        <xdr:cNvPr id="52" name="Picture 51">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6" y="214917130"/>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24848</xdr:colOff>
      <xdr:row>809</xdr:row>
      <xdr:rowOff>82826</xdr:rowOff>
    </xdr:from>
    <xdr:to>
      <xdr:col>3</xdr:col>
      <xdr:colOff>637761</xdr:colOff>
      <xdr:row>809</xdr:row>
      <xdr:rowOff>222400</xdr:rowOff>
    </xdr:to>
    <xdr:pic>
      <xdr:nvPicPr>
        <xdr:cNvPr id="53" name="Picture 52">
          <a:extLst>
            <a:ext uri="{FF2B5EF4-FFF2-40B4-BE49-F238E27FC236}">
              <a16:creationId xmlns:a16="http://schemas.microsoft.com/office/drawing/2014/main" id="{00000000-0008-0000-0000-00003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5190456"/>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165652</xdr:colOff>
      <xdr:row>810</xdr:row>
      <xdr:rowOff>41413</xdr:rowOff>
    </xdr:from>
    <xdr:ext cx="372717" cy="190500"/>
    <xdr:pic>
      <xdr:nvPicPr>
        <xdr:cNvPr id="54" name="Picture 53">
          <a:extLst>
            <a:ext uri="{FF2B5EF4-FFF2-40B4-BE49-F238E27FC236}">
              <a16:creationId xmlns:a16="http://schemas.microsoft.com/office/drawing/2014/main" id="{00000000-0008-0000-0000-00003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8" y="215422370"/>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149087</xdr:colOff>
      <xdr:row>811</xdr:row>
      <xdr:rowOff>41413</xdr:rowOff>
    </xdr:from>
    <xdr:ext cx="372717" cy="190500"/>
    <xdr:pic>
      <xdr:nvPicPr>
        <xdr:cNvPr id="55" name="Picture 54">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3783" y="215695696"/>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140805</xdr:colOff>
      <xdr:row>812</xdr:row>
      <xdr:rowOff>57978</xdr:rowOff>
    </xdr:from>
    <xdr:ext cx="372717" cy="190500"/>
    <xdr:pic>
      <xdr:nvPicPr>
        <xdr:cNvPr id="56" name="Picture 55">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1" y="215985587"/>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xdr:colOff>
      <xdr:row>813</xdr:row>
      <xdr:rowOff>74543</xdr:rowOff>
    </xdr:from>
    <xdr:to>
      <xdr:col>3</xdr:col>
      <xdr:colOff>637761</xdr:colOff>
      <xdr:row>813</xdr:row>
      <xdr:rowOff>214117</xdr:rowOff>
    </xdr:to>
    <xdr:pic>
      <xdr:nvPicPr>
        <xdr:cNvPr id="57" name="Picture 56">
          <a:extLst>
            <a:ext uri="{FF2B5EF4-FFF2-40B4-BE49-F238E27FC236}">
              <a16:creationId xmlns:a16="http://schemas.microsoft.com/office/drawing/2014/main" id="{00000000-0008-0000-0000-00003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6275478"/>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24848</xdr:colOff>
      <xdr:row>814</xdr:row>
      <xdr:rowOff>74543</xdr:rowOff>
    </xdr:from>
    <xdr:to>
      <xdr:col>3</xdr:col>
      <xdr:colOff>637761</xdr:colOff>
      <xdr:row>814</xdr:row>
      <xdr:rowOff>214117</xdr:rowOff>
    </xdr:to>
    <xdr:pic>
      <xdr:nvPicPr>
        <xdr:cNvPr id="58" name="Picture 57">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6548804"/>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132522</xdr:colOff>
      <xdr:row>815</xdr:row>
      <xdr:rowOff>49696</xdr:rowOff>
    </xdr:from>
    <xdr:ext cx="372717" cy="190500"/>
    <xdr:pic>
      <xdr:nvPicPr>
        <xdr:cNvPr id="59" name="Picture 58">
          <a:extLst>
            <a:ext uri="{FF2B5EF4-FFF2-40B4-BE49-F238E27FC236}">
              <a16:creationId xmlns:a16="http://schemas.microsoft.com/office/drawing/2014/main" id="{00000000-0008-0000-0000-00003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87218" y="216797283"/>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140804</xdr:colOff>
      <xdr:row>816</xdr:row>
      <xdr:rowOff>66261</xdr:rowOff>
    </xdr:from>
    <xdr:ext cx="372717" cy="190500"/>
    <xdr:pic>
      <xdr:nvPicPr>
        <xdr:cNvPr id="60" name="Picture 59">
          <a:extLst>
            <a:ext uri="{FF2B5EF4-FFF2-40B4-BE49-F238E27FC236}">
              <a16:creationId xmlns:a16="http://schemas.microsoft.com/office/drawing/2014/main" id="{00000000-0008-0000-0000-00003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0" y="21708717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140804</xdr:colOff>
      <xdr:row>817</xdr:row>
      <xdr:rowOff>49697</xdr:rowOff>
    </xdr:from>
    <xdr:ext cx="372717" cy="190500"/>
    <xdr:pic>
      <xdr:nvPicPr>
        <xdr:cNvPr id="61" name="Picture 60">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0" y="217343936"/>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41413</xdr:colOff>
      <xdr:row>818</xdr:row>
      <xdr:rowOff>99391</xdr:rowOff>
    </xdr:from>
    <xdr:to>
      <xdr:col>3</xdr:col>
      <xdr:colOff>654326</xdr:colOff>
      <xdr:row>818</xdr:row>
      <xdr:rowOff>238965</xdr:rowOff>
    </xdr:to>
    <xdr:pic>
      <xdr:nvPicPr>
        <xdr:cNvPr id="62" name="Picture 61">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09" y="217666956"/>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165653</xdr:colOff>
      <xdr:row>819</xdr:row>
      <xdr:rowOff>57978</xdr:rowOff>
    </xdr:from>
    <xdr:ext cx="372717" cy="190500"/>
    <xdr:pic>
      <xdr:nvPicPr>
        <xdr:cNvPr id="63" name="Picture 62">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9" y="21789886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41414</xdr:colOff>
      <xdr:row>820</xdr:row>
      <xdr:rowOff>99391</xdr:rowOff>
    </xdr:from>
    <xdr:to>
      <xdr:col>4</xdr:col>
      <xdr:colOff>10603</xdr:colOff>
      <xdr:row>820</xdr:row>
      <xdr:rowOff>208287</xdr:rowOff>
    </xdr:to>
    <xdr:pic>
      <xdr:nvPicPr>
        <xdr:cNvPr id="64" name="Picture 63">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96110" y="218213608"/>
          <a:ext cx="640080" cy="108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140804</xdr:colOff>
      <xdr:row>821</xdr:row>
      <xdr:rowOff>49696</xdr:rowOff>
    </xdr:from>
    <xdr:ext cx="372717" cy="190500"/>
    <xdr:pic>
      <xdr:nvPicPr>
        <xdr:cNvPr id="66" name="Picture 65">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0" y="21843723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xdr:colOff>
      <xdr:row>822</xdr:row>
      <xdr:rowOff>66261</xdr:rowOff>
    </xdr:from>
    <xdr:to>
      <xdr:col>3</xdr:col>
      <xdr:colOff>637761</xdr:colOff>
      <xdr:row>822</xdr:row>
      <xdr:rowOff>205835</xdr:rowOff>
    </xdr:to>
    <xdr:pic>
      <xdr:nvPicPr>
        <xdr:cNvPr id="67" name="Picture 66">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8727131"/>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132521</xdr:colOff>
      <xdr:row>823</xdr:row>
      <xdr:rowOff>57978</xdr:rowOff>
    </xdr:from>
    <xdr:ext cx="372717" cy="190500"/>
    <xdr:pic>
      <xdr:nvPicPr>
        <xdr:cNvPr id="68" name="Picture 67">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87217" y="21899217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91110</xdr:colOff>
      <xdr:row>824</xdr:row>
      <xdr:rowOff>46394</xdr:rowOff>
    </xdr:from>
    <xdr:to>
      <xdr:col>3</xdr:col>
      <xdr:colOff>538370</xdr:colOff>
      <xdr:row>824</xdr:row>
      <xdr:rowOff>244336</xdr:rowOff>
    </xdr:to>
    <xdr:pic>
      <xdr:nvPicPr>
        <xdr:cNvPr id="69" name="Picture 68">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045806" y="219253916"/>
          <a:ext cx="447260" cy="197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140805</xdr:colOff>
      <xdr:row>825</xdr:row>
      <xdr:rowOff>57978</xdr:rowOff>
    </xdr:from>
    <xdr:ext cx="372717" cy="190500"/>
    <xdr:pic>
      <xdr:nvPicPr>
        <xdr:cNvPr id="70" name="Picture 69">
          <a:extLst>
            <a:ext uri="{FF2B5EF4-FFF2-40B4-BE49-F238E27FC236}">
              <a16:creationId xmlns:a16="http://schemas.microsoft.com/office/drawing/2014/main" id="{00000000-0008-0000-0000-00004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1" y="219538826"/>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496957</xdr:colOff>
      <xdr:row>826</xdr:row>
      <xdr:rowOff>99948</xdr:rowOff>
    </xdr:from>
    <xdr:to>
      <xdr:col>4</xdr:col>
      <xdr:colOff>8282</xdr:colOff>
      <xdr:row>826</xdr:row>
      <xdr:rowOff>207065</xdr:rowOff>
    </xdr:to>
    <xdr:pic>
      <xdr:nvPicPr>
        <xdr:cNvPr id="71" name="Picture 70">
          <a:extLst>
            <a:ext uri="{FF2B5EF4-FFF2-40B4-BE49-F238E27FC236}">
              <a16:creationId xmlns:a16="http://schemas.microsoft.com/office/drawing/2014/main" id="{00000000-0008-0000-0000-000047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822174" y="219854122"/>
          <a:ext cx="811695" cy="107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140804</xdr:colOff>
      <xdr:row>827</xdr:row>
      <xdr:rowOff>33131</xdr:rowOff>
    </xdr:from>
    <xdr:ext cx="372717" cy="190500"/>
    <xdr:pic>
      <xdr:nvPicPr>
        <xdr:cNvPr id="72" name="Picture 71">
          <a:extLst>
            <a:ext uri="{FF2B5EF4-FFF2-40B4-BE49-F238E27FC236}">
              <a16:creationId xmlns:a16="http://schemas.microsoft.com/office/drawing/2014/main" id="{00000000-0008-0000-0000-00004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0" y="220060631"/>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140121</xdr:colOff>
      <xdr:row>828</xdr:row>
      <xdr:rowOff>140803</xdr:rowOff>
    </xdr:from>
    <xdr:to>
      <xdr:col>4</xdr:col>
      <xdr:colOff>796</xdr:colOff>
      <xdr:row>829</xdr:row>
      <xdr:rowOff>2</xdr:rowOff>
    </xdr:to>
    <xdr:pic>
      <xdr:nvPicPr>
        <xdr:cNvPr id="73" name="Picture 72">
          <a:extLst>
            <a:ext uri="{FF2B5EF4-FFF2-40B4-BE49-F238E27FC236}">
              <a16:creationId xmlns:a16="http://schemas.microsoft.com/office/drawing/2014/main" id="{00000000-0008-0000-0000-00004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094817" y="220441629"/>
          <a:ext cx="527425" cy="13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173935</xdr:colOff>
      <xdr:row>829</xdr:row>
      <xdr:rowOff>41413</xdr:rowOff>
    </xdr:from>
    <xdr:ext cx="372717" cy="190500"/>
    <xdr:pic>
      <xdr:nvPicPr>
        <xdr:cNvPr id="74" name="Picture 73">
          <a:extLst>
            <a:ext uri="{FF2B5EF4-FFF2-40B4-BE49-F238E27FC236}">
              <a16:creationId xmlns:a16="http://schemas.microsoft.com/office/drawing/2014/main" id="{00000000-0008-0000-0000-00004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8631" y="220615565"/>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182217</xdr:colOff>
      <xdr:row>830</xdr:row>
      <xdr:rowOff>49696</xdr:rowOff>
    </xdr:from>
    <xdr:ext cx="372717" cy="190500"/>
    <xdr:pic>
      <xdr:nvPicPr>
        <xdr:cNvPr id="75" name="Picture 74">
          <a:extLst>
            <a:ext uri="{FF2B5EF4-FFF2-40B4-BE49-F238E27FC236}">
              <a16:creationId xmlns:a16="http://schemas.microsoft.com/office/drawing/2014/main" id="{00000000-0008-0000-0000-00004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36913" y="22089717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173935</xdr:colOff>
      <xdr:row>831</xdr:row>
      <xdr:rowOff>41413</xdr:rowOff>
    </xdr:from>
    <xdr:ext cx="372717" cy="190500"/>
    <xdr:pic>
      <xdr:nvPicPr>
        <xdr:cNvPr id="76" name="Picture 75">
          <a:extLst>
            <a:ext uri="{FF2B5EF4-FFF2-40B4-BE49-F238E27FC236}">
              <a16:creationId xmlns:a16="http://schemas.microsoft.com/office/drawing/2014/main" id="{00000000-0008-0000-0000-00004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8631" y="221162217"/>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165652</xdr:colOff>
      <xdr:row>832</xdr:row>
      <xdr:rowOff>49695</xdr:rowOff>
    </xdr:from>
    <xdr:ext cx="372717" cy="190500"/>
    <xdr:pic>
      <xdr:nvPicPr>
        <xdr:cNvPr id="77" name="Picture 76">
          <a:extLst>
            <a:ext uri="{FF2B5EF4-FFF2-40B4-BE49-F238E27FC236}">
              <a16:creationId xmlns:a16="http://schemas.microsoft.com/office/drawing/2014/main" id="{00000000-0008-0000-0000-00004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8" y="221443825"/>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41413</xdr:colOff>
      <xdr:row>833</xdr:row>
      <xdr:rowOff>82826</xdr:rowOff>
    </xdr:from>
    <xdr:to>
      <xdr:col>3</xdr:col>
      <xdr:colOff>654326</xdr:colOff>
      <xdr:row>833</xdr:row>
      <xdr:rowOff>222400</xdr:rowOff>
    </xdr:to>
    <xdr:pic>
      <xdr:nvPicPr>
        <xdr:cNvPr id="78" name="Picture 77">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09" y="221750283"/>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173935</xdr:colOff>
      <xdr:row>834</xdr:row>
      <xdr:rowOff>66261</xdr:rowOff>
    </xdr:from>
    <xdr:ext cx="372717" cy="190500"/>
    <xdr:pic>
      <xdr:nvPicPr>
        <xdr:cNvPr id="79" name="Picture 78">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8631" y="22200704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33131</xdr:colOff>
      <xdr:row>835</xdr:row>
      <xdr:rowOff>99391</xdr:rowOff>
    </xdr:from>
    <xdr:to>
      <xdr:col>3</xdr:col>
      <xdr:colOff>646044</xdr:colOff>
      <xdr:row>835</xdr:row>
      <xdr:rowOff>238965</xdr:rowOff>
    </xdr:to>
    <xdr:pic>
      <xdr:nvPicPr>
        <xdr:cNvPr id="80" name="Picture 79">
          <a:extLst>
            <a:ext uri="{FF2B5EF4-FFF2-40B4-BE49-F238E27FC236}">
              <a16:creationId xmlns:a16="http://schemas.microsoft.com/office/drawing/2014/main" id="{00000000-0008-0000-0000-000050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7" y="222313500"/>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115956</xdr:colOff>
      <xdr:row>836</xdr:row>
      <xdr:rowOff>49696</xdr:rowOff>
    </xdr:from>
    <xdr:to>
      <xdr:col>3</xdr:col>
      <xdr:colOff>563216</xdr:colOff>
      <xdr:row>836</xdr:row>
      <xdr:rowOff>247638</xdr:rowOff>
    </xdr:to>
    <xdr:pic>
      <xdr:nvPicPr>
        <xdr:cNvPr id="81" name="Picture 80">
          <a:extLst>
            <a:ext uri="{FF2B5EF4-FFF2-40B4-BE49-F238E27FC236}">
              <a16:creationId xmlns:a16="http://schemas.microsoft.com/office/drawing/2014/main" id="{00000000-0008-0000-0000-00005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070652" y="222537131"/>
          <a:ext cx="447260" cy="197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173935</xdr:colOff>
      <xdr:row>837</xdr:row>
      <xdr:rowOff>49695</xdr:rowOff>
    </xdr:from>
    <xdr:ext cx="372717" cy="190500"/>
    <xdr:pic>
      <xdr:nvPicPr>
        <xdr:cNvPr id="82" name="Picture 81">
          <a:extLst>
            <a:ext uri="{FF2B5EF4-FFF2-40B4-BE49-F238E27FC236}">
              <a16:creationId xmlns:a16="http://schemas.microsoft.com/office/drawing/2014/main" id="{00000000-0008-0000-0000-00005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8631" y="222810456"/>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115956</xdr:colOff>
      <xdr:row>838</xdr:row>
      <xdr:rowOff>49696</xdr:rowOff>
    </xdr:from>
    <xdr:to>
      <xdr:col>3</xdr:col>
      <xdr:colOff>563216</xdr:colOff>
      <xdr:row>838</xdr:row>
      <xdr:rowOff>247638</xdr:rowOff>
    </xdr:to>
    <xdr:pic>
      <xdr:nvPicPr>
        <xdr:cNvPr id="83" name="Picture 82">
          <a:extLst>
            <a:ext uri="{FF2B5EF4-FFF2-40B4-BE49-F238E27FC236}">
              <a16:creationId xmlns:a16="http://schemas.microsoft.com/office/drawing/2014/main" id="{00000000-0008-0000-0000-000053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070652" y="223083783"/>
          <a:ext cx="447260" cy="197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24848</xdr:colOff>
      <xdr:row>839</xdr:row>
      <xdr:rowOff>82826</xdr:rowOff>
    </xdr:from>
    <xdr:to>
      <xdr:col>3</xdr:col>
      <xdr:colOff>637761</xdr:colOff>
      <xdr:row>839</xdr:row>
      <xdr:rowOff>222400</xdr:rowOff>
    </xdr:to>
    <xdr:pic>
      <xdr:nvPicPr>
        <xdr:cNvPr id="84" name="Picture 83">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23390239"/>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49696</xdr:colOff>
      <xdr:row>840</xdr:row>
      <xdr:rowOff>82827</xdr:rowOff>
    </xdr:from>
    <xdr:to>
      <xdr:col>3</xdr:col>
      <xdr:colOff>662609</xdr:colOff>
      <xdr:row>840</xdr:row>
      <xdr:rowOff>222401</xdr:rowOff>
    </xdr:to>
    <xdr:pic>
      <xdr:nvPicPr>
        <xdr:cNvPr id="85" name="Picture 84">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004392" y="223663566"/>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149087</xdr:colOff>
      <xdr:row>841</xdr:row>
      <xdr:rowOff>41413</xdr:rowOff>
    </xdr:from>
    <xdr:ext cx="372717" cy="190500"/>
    <xdr:pic>
      <xdr:nvPicPr>
        <xdr:cNvPr id="86" name="Picture 85">
          <a:extLst>
            <a:ext uri="{FF2B5EF4-FFF2-40B4-BE49-F238E27FC236}">
              <a16:creationId xmlns:a16="http://schemas.microsoft.com/office/drawing/2014/main" id="{00000000-0008-0000-0000-00005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3783" y="223895478"/>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16565</xdr:colOff>
      <xdr:row>842</xdr:row>
      <xdr:rowOff>91109</xdr:rowOff>
    </xdr:from>
    <xdr:to>
      <xdr:col>3</xdr:col>
      <xdr:colOff>629478</xdr:colOff>
      <xdr:row>842</xdr:row>
      <xdr:rowOff>230683</xdr:rowOff>
    </xdr:to>
    <xdr:pic>
      <xdr:nvPicPr>
        <xdr:cNvPr id="87" name="Picture 86">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1261" y="224218500"/>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157369</xdr:colOff>
      <xdr:row>843</xdr:row>
      <xdr:rowOff>57978</xdr:rowOff>
    </xdr:from>
    <xdr:ext cx="372717" cy="190500"/>
    <xdr:pic>
      <xdr:nvPicPr>
        <xdr:cNvPr id="88" name="Picture 87">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2065" y="224458695"/>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149087</xdr:colOff>
      <xdr:row>844</xdr:row>
      <xdr:rowOff>49696</xdr:rowOff>
    </xdr:from>
    <xdr:ext cx="372717" cy="190500"/>
    <xdr:pic>
      <xdr:nvPicPr>
        <xdr:cNvPr id="89" name="Picture 88">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3783" y="22472373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xdr:colOff>
      <xdr:row>845</xdr:row>
      <xdr:rowOff>74544</xdr:rowOff>
    </xdr:from>
    <xdr:to>
      <xdr:col>3</xdr:col>
      <xdr:colOff>637761</xdr:colOff>
      <xdr:row>845</xdr:row>
      <xdr:rowOff>214118</xdr:rowOff>
    </xdr:to>
    <xdr:pic>
      <xdr:nvPicPr>
        <xdr:cNvPr id="90" name="Picture 89">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25021914"/>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157370</xdr:colOff>
      <xdr:row>846</xdr:row>
      <xdr:rowOff>41413</xdr:rowOff>
    </xdr:from>
    <xdr:ext cx="372717" cy="190500"/>
    <xdr:pic>
      <xdr:nvPicPr>
        <xdr:cNvPr id="91" name="Picture 90">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2066" y="22526210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149087</xdr:colOff>
      <xdr:row>847</xdr:row>
      <xdr:rowOff>57979</xdr:rowOff>
    </xdr:from>
    <xdr:ext cx="372717" cy="190500"/>
    <xdr:pic>
      <xdr:nvPicPr>
        <xdr:cNvPr id="92" name="Picture 91">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3783" y="225552001"/>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152400</xdr:colOff>
      <xdr:row>848</xdr:row>
      <xdr:rowOff>61292</xdr:rowOff>
    </xdr:from>
    <xdr:ext cx="372717" cy="190500"/>
    <xdr:pic>
      <xdr:nvPicPr>
        <xdr:cNvPr id="93" name="Picture 92">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7096" y="225828640"/>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353842</xdr:colOff>
      <xdr:row>849</xdr:row>
      <xdr:rowOff>124238</xdr:rowOff>
    </xdr:from>
    <xdr:to>
      <xdr:col>3</xdr:col>
      <xdr:colOff>633719</xdr:colOff>
      <xdr:row>850</xdr:row>
      <xdr:rowOff>1345</xdr:rowOff>
    </xdr:to>
    <xdr:pic>
      <xdr:nvPicPr>
        <xdr:cNvPr id="94" name="Picture 93">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308538" y="226164912"/>
          <a:ext cx="279877" cy="150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255232</xdr:colOff>
      <xdr:row>850</xdr:row>
      <xdr:rowOff>107674</xdr:rowOff>
    </xdr:from>
    <xdr:to>
      <xdr:col>3</xdr:col>
      <xdr:colOff>639972</xdr:colOff>
      <xdr:row>850</xdr:row>
      <xdr:rowOff>219074</xdr:rowOff>
    </xdr:to>
    <xdr:pic>
      <xdr:nvPicPr>
        <xdr:cNvPr id="95" name="Picture 94">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209928" y="226421674"/>
          <a:ext cx="384740" cy="11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182217</xdr:colOff>
      <xdr:row>851</xdr:row>
      <xdr:rowOff>24847</xdr:rowOff>
    </xdr:from>
    <xdr:ext cx="372717" cy="190500"/>
    <xdr:pic>
      <xdr:nvPicPr>
        <xdr:cNvPr id="96" name="Picture 95">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36913" y="226612173"/>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165652</xdr:colOff>
      <xdr:row>852</xdr:row>
      <xdr:rowOff>49696</xdr:rowOff>
    </xdr:from>
    <xdr:ext cx="372717" cy="190500"/>
    <xdr:pic>
      <xdr:nvPicPr>
        <xdr:cNvPr id="97" name="Picture 96">
          <a:extLst>
            <a:ext uri="{FF2B5EF4-FFF2-40B4-BE49-F238E27FC236}">
              <a16:creationId xmlns:a16="http://schemas.microsoft.com/office/drawing/2014/main" id="{00000000-0008-0000-0000-00006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8" y="226910348"/>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165652</xdr:colOff>
      <xdr:row>853</xdr:row>
      <xdr:rowOff>41413</xdr:rowOff>
    </xdr:from>
    <xdr:ext cx="372717" cy="190500"/>
    <xdr:pic>
      <xdr:nvPicPr>
        <xdr:cNvPr id="98" name="Picture 97">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8" y="227175391"/>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165653</xdr:colOff>
      <xdr:row>854</xdr:row>
      <xdr:rowOff>33130</xdr:rowOff>
    </xdr:from>
    <xdr:ext cx="372717" cy="190500"/>
    <xdr:pic>
      <xdr:nvPicPr>
        <xdr:cNvPr id="99" name="Picture 98">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9" y="22744043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331303</xdr:colOff>
      <xdr:row>778</xdr:row>
      <xdr:rowOff>115956</xdr:rowOff>
    </xdr:from>
    <xdr:ext cx="331305" cy="142362"/>
    <xdr:pic>
      <xdr:nvPicPr>
        <xdr:cNvPr id="106" name="Picture 105">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85999" y="206750478"/>
          <a:ext cx="331305" cy="1423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323021</xdr:colOff>
      <xdr:row>780</xdr:row>
      <xdr:rowOff>140804</xdr:rowOff>
    </xdr:from>
    <xdr:ext cx="327679" cy="140804"/>
    <xdr:pic>
      <xdr:nvPicPr>
        <xdr:cNvPr id="108" name="Picture 107">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77717" y="207321978"/>
          <a:ext cx="327679" cy="1408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25"/>
  <sheetViews>
    <sheetView tabSelected="1" zoomScale="115" zoomScaleNormal="115" workbookViewId="0">
      <pane xSplit="15" ySplit="2" topLeftCell="P1820" activePane="bottomRight" state="frozen"/>
      <selection pane="topRight" activeCell="N1" sqref="N1"/>
      <selection pane="bottomLeft" activeCell="A3" sqref="A3"/>
      <selection pane="bottomRight" activeCell="X1831" sqref="X1831"/>
    </sheetView>
  </sheetViews>
  <sheetFormatPr baseColWidth="10" defaultColWidth="9.1640625" defaultRowHeight="21.75" customHeight="1" x14ac:dyDescent="0.2"/>
  <cols>
    <col min="1" max="1" width="10" style="7" customWidth="1"/>
    <col min="2" max="2" width="9.83203125" style="7" customWidth="1"/>
    <col min="3" max="3" width="9.5" style="7" customWidth="1"/>
    <col min="4" max="4" width="10" style="7" customWidth="1"/>
    <col min="5" max="5" width="9.83203125" style="7" customWidth="1"/>
    <col min="6" max="6" width="10.5" style="7" customWidth="1"/>
    <col min="7" max="7" width="8.83203125" style="7" customWidth="1"/>
    <col min="8" max="8" width="10" style="1" customWidth="1"/>
    <col min="9" max="9" width="8.1640625" style="7" customWidth="1"/>
    <col min="10" max="11" width="7.5" style="7" customWidth="1"/>
    <col min="12" max="12" width="8.6640625" style="6" customWidth="1"/>
    <col min="13" max="13" width="9.5" style="6" customWidth="1"/>
    <col min="14" max="14" width="8.6640625" style="6" customWidth="1"/>
    <col min="15" max="15" width="8.6640625" style="45" customWidth="1"/>
    <col min="16" max="16" width="9.83203125" style="2" customWidth="1"/>
    <col min="17" max="17" width="9.33203125" style="7" customWidth="1"/>
    <col min="18" max="18" width="11.5" style="7" customWidth="1"/>
    <col min="19" max="19" width="8.33203125" style="7" customWidth="1"/>
    <col min="20" max="20" width="8.1640625" style="7" customWidth="1"/>
    <col min="21" max="21" width="9.83203125" style="7" customWidth="1"/>
    <col min="22" max="22" width="6.1640625" style="7" customWidth="1"/>
    <col min="23" max="23" width="8.33203125" style="7" customWidth="1"/>
    <col min="24" max="25" width="8.83203125" style="5" customWidth="1"/>
    <col min="26" max="26" width="7.5" style="6" customWidth="1"/>
    <col min="27" max="27" width="31" style="7" customWidth="1"/>
    <col min="28" max="28" width="24" style="7" customWidth="1"/>
    <col min="29" max="29" width="15.33203125" style="7" customWidth="1"/>
    <col min="30" max="16384" width="9.1640625" style="7"/>
  </cols>
  <sheetData>
    <row r="1" spans="1:29" s="15" customFormat="1" ht="21.75" customHeight="1" x14ac:dyDescent="0.2">
      <c r="A1" s="145" t="s">
        <v>3</v>
      </c>
      <c r="B1" s="145" t="s">
        <v>15</v>
      </c>
      <c r="C1" s="145" t="s">
        <v>5</v>
      </c>
      <c r="D1" s="146" t="s">
        <v>5744</v>
      </c>
      <c r="E1" s="148" t="s">
        <v>211</v>
      </c>
      <c r="F1" s="149"/>
      <c r="G1" s="149"/>
      <c r="H1" s="150"/>
      <c r="I1" s="146" t="s">
        <v>1</v>
      </c>
      <c r="J1" s="146" t="s">
        <v>4240</v>
      </c>
      <c r="K1" s="146" t="s">
        <v>5745</v>
      </c>
      <c r="L1" s="148" t="s">
        <v>8</v>
      </c>
      <c r="M1" s="149"/>
      <c r="N1" s="150"/>
      <c r="O1" s="148" t="s">
        <v>9</v>
      </c>
      <c r="P1" s="149"/>
      <c r="Q1" s="150"/>
      <c r="R1" s="148" t="s">
        <v>11</v>
      </c>
      <c r="S1" s="149"/>
      <c r="T1" s="149"/>
      <c r="U1" s="149"/>
      <c r="V1" s="150"/>
      <c r="W1" s="146" t="s">
        <v>7</v>
      </c>
      <c r="X1" s="151" t="s">
        <v>12</v>
      </c>
      <c r="Y1" s="151" t="s">
        <v>13</v>
      </c>
      <c r="Z1" s="153" t="s">
        <v>2</v>
      </c>
      <c r="AA1" s="146" t="s">
        <v>17</v>
      </c>
      <c r="AB1" s="145" t="s">
        <v>4</v>
      </c>
      <c r="AC1" s="146" t="s">
        <v>4541</v>
      </c>
    </row>
    <row r="2" spans="1:29" s="15" customFormat="1" ht="21.75" customHeight="1" x14ac:dyDescent="0.2">
      <c r="A2" s="145"/>
      <c r="B2" s="145"/>
      <c r="C2" s="145"/>
      <c r="D2" s="147"/>
      <c r="E2" s="74" t="s">
        <v>5741</v>
      </c>
      <c r="F2" s="74" t="s">
        <v>5742</v>
      </c>
      <c r="G2" s="15" t="s">
        <v>0</v>
      </c>
      <c r="H2" s="75" t="s">
        <v>5743</v>
      </c>
      <c r="I2" s="147"/>
      <c r="J2" s="147"/>
      <c r="K2" s="147"/>
      <c r="L2" s="16" t="s">
        <v>5746</v>
      </c>
      <c r="M2" s="16" t="s">
        <v>4851</v>
      </c>
      <c r="N2" s="16" t="s">
        <v>24</v>
      </c>
      <c r="O2" s="109" t="s">
        <v>6</v>
      </c>
      <c r="P2" s="17" t="s">
        <v>10</v>
      </c>
      <c r="Q2" s="15" t="s">
        <v>44</v>
      </c>
      <c r="R2" s="15" t="s">
        <v>14</v>
      </c>
      <c r="S2" s="15" t="s">
        <v>22</v>
      </c>
      <c r="T2" s="15" t="s">
        <v>25</v>
      </c>
      <c r="U2" s="15" t="s">
        <v>26</v>
      </c>
      <c r="V2" s="15" t="s">
        <v>25</v>
      </c>
      <c r="W2" s="147"/>
      <c r="X2" s="152"/>
      <c r="Y2" s="152"/>
      <c r="Z2" s="154"/>
      <c r="AA2" s="147"/>
      <c r="AB2" s="145"/>
      <c r="AC2" s="147"/>
    </row>
    <row r="3" spans="1:29" s="8" customFormat="1" ht="21.75" customHeight="1" x14ac:dyDescent="0.2">
      <c r="A3" s="8" t="s">
        <v>721</v>
      </c>
      <c r="B3" s="8" t="s">
        <v>725</v>
      </c>
      <c r="C3" s="8" t="s">
        <v>722</v>
      </c>
      <c r="D3" s="8" t="s">
        <v>723</v>
      </c>
      <c r="E3" s="8" t="s">
        <v>33</v>
      </c>
      <c r="F3" s="8" t="s">
        <v>212</v>
      </c>
      <c r="G3" s="8" t="s">
        <v>724</v>
      </c>
      <c r="H3" s="3" t="s">
        <v>2845</v>
      </c>
      <c r="I3" s="4">
        <v>0.98</v>
      </c>
      <c r="J3" s="4" t="s">
        <v>4367</v>
      </c>
      <c r="K3" s="4" t="s">
        <v>5713</v>
      </c>
      <c r="L3" s="14"/>
      <c r="M3" s="14"/>
      <c r="N3" s="14"/>
      <c r="O3" s="110"/>
      <c r="P3" s="4"/>
      <c r="R3" s="8" t="s">
        <v>742</v>
      </c>
      <c r="X3" s="13">
        <v>67.247</v>
      </c>
      <c r="Y3" s="13">
        <v>26.8505</v>
      </c>
      <c r="Z3" s="14">
        <v>170</v>
      </c>
      <c r="AA3" s="19"/>
      <c r="AB3" s="8" t="s">
        <v>5015</v>
      </c>
    </row>
    <row r="4" spans="1:29" s="8" customFormat="1" ht="21.75" customHeight="1" x14ac:dyDescent="0.2">
      <c r="A4" s="8" t="s">
        <v>721</v>
      </c>
      <c r="B4" s="8" t="s">
        <v>725</v>
      </c>
      <c r="C4" s="8" t="s">
        <v>722</v>
      </c>
      <c r="D4" s="8" t="s">
        <v>1105</v>
      </c>
      <c r="E4" s="8" t="s">
        <v>33</v>
      </c>
      <c r="F4" s="8" t="s">
        <v>212</v>
      </c>
      <c r="G4" s="8" t="s">
        <v>724</v>
      </c>
      <c r="H4" s="3" t="s">
        <v>2845</v>
      </c>
      <c r="I4" s="4">
        <v>1</v>
      </c>
      <c r="J4" s="4" t="s">
        <v>4367</v>
      </c>
      <c r="K4" s="4" t="s">
        <v>5713</v>
      </c>
      <c r="L4" s="14"/>
      <c r="M4" s="14"/>
      <c r="N4" s="14"/>
      <c r="O4" s="110"/>
      <c r="P4" s="4"/>
      <c r="R4" s="8" t="s">
        <v>743</v>
      </c>
      <c r="X4" s="13">
        <v>67.8536</v>
      </c>
      <c r="Y4" s="13">
        <v>26.665199999999999</v>
      </c>
      <c r="Z4" s="14">
        <v>228</v>
      </c>
      <c r="AA4" s="19"/>
      <c r="AB4" s="8" t="s">
        <v>726</v>
      </c>
    </row>
    <row r="5" spans="1:29" s="8" customFormat="1" ht="21.75" customHeight="1" x14ac:dyDescent="0.2">
      <c r="A5" s="8" t="s">
        <v>721</v>
      </c>
      <c r="B5" s="8" t="s">
        <v>725</v>
      </c>
      <c r="C5" s="8" t="s">
        <v>722</v>
      </c>
      <c r="D5" s="8" t="s">
        <v>727</v>
      </c>
      <c r="E5" s="8" t="s">
        <v>33</v>
      </c>
      <c r="F5" s="8" t="s">
        <v>212</v>
      </c>
      <c r="G5" s="8" t="s">
        <v>724</v>
      </c>
      <c r="H5" s="3" t="s">
        <v>2845</v>
      </c>
      <c r="I5" s="4">
        <v>0.56000000000000005</v>
      </c>
      <c r="J5" s="4" t="s">
        <v>4367</v>
      </c>
      <c r="K5" s="4" t="s">
        <v>5713</v>
      </c>
      <c r="L5" s="14"/>
      <c r="M5" s="14"/>
      <c r="N5" s="14"/>
      <c r="O5" s="110"/>
      <c r="P5" s="4"/>
      <c r="R5" s="8" t="s">
        <v>744</v>
      </c>
      <c r="X5" s="13">
        <v>67.152199999999993</v>
      </c>
      <c r="Y5" s="13">
        <v>26.94</v>
      </c>
      <c r="Z5" s="14">
        <v>238</v>
      </c>
      <c r="AA5" s="19"/>
      <c r="AB5" s="8" t="s">
        <v>728</v>
      </c>
    </row>
    <row r="6" spans="1:29" s="8" customFormat="1" ht="21.75" customHeight="1" x14ac:dyDescent="0.2">
      <c r="A6" s="8" t="s">
        <v>721</v>
      </c>
      <c r="B6" s="8" t="s">
        <v>725</v>
      </c>
      <c r="C6" s="8" t="s">
        <v>722</v>
      </c>
      <c r="D6" s="8" t="s">
        <v>729</v>
      </c>
      <c r="E6" s="8" t="s">
        <v>33</v>
      </c>
      <c r="F6" s="8" t="s">
        <v>212</v>
      </c>
      <c r="G6" s="8" t="s">
        <v>730</v>
      </c>
      <c r="H6" s="3" t="s">
        <v>2846</v>
      </c>
      <c r="I6" s="4">
        <v>0.9</v>
      </c>
      <c r="J6" s="4" t="s">
        <v>4367</v>
      </c>
      <c r="K6" s="4" t="s">
        <v>5713</v>
      </c>
      <c r="L6" s="14"/>
      <c r="M6" s="14"/>
      <c r="N6" s="14"/>
      <c r="O6" s="110"/>
      <c r="P6" s="4"/>
      <c r="X6" s="13">
        <v>66.637299999999996</v>
      </c>
      <c r="Y6" s="13">
        <v>25.345700000000001</v>
      </c>
      <c r="Z6" s="14">
        <v>100</v>
      </c>
      <c r="AA6" s="19"/>
      <c r="AB6" s="8" t="s">
        <v>731</v>
      </c>
    </row>
    <row r="7" spans="1:29" s="8" customFormat="1" ht="21.75" customHeight="1" x14ac:dyDescent="0.2">
      <c r="A7" s="8" t="s">
        <v>721</v>
      </c>
      <c r="B7" s="8" t="s">
        <v>725</v>
      </c>
      <c r="C7" s="8" t="s">
        <v>722</v>
      </c>
      <c r="D7" s="8" t="s">
        <v>732</v>
      </c>
      <c r="E7" s="8" t="s">
        <v>734</v>
      </c>
      <c r="F7" s="8" t="s">
        <v>212</v>
      </c>
      <c r="G7" s="8" t="s">
        <v>733</v>
      </c>
      <c r="H7" s="3" t="s">
        <v>2847</v>
      </c>
      <c r="I7" s="4">
        <v>0.85</v>
      </c>
      <c r="J7" s="4" t="s">
        <v>4367</v>
      </c>
      <c r="K7" s="4" t="s">
        <v>5713</v>
      </c>
      <c r="L7" s="14"/>
      <c r="M7" s="14"/>
      <c r="N7" s="14"/>
      <c r="O7" s="110"/>
      <c r="P7" s="4"/>
      <c r="R7" s="8" t="s">
        <v>743</v>
      </c>
      <c r="X7" s="13">
        <v>67.8536</v>
      </c>
      <c r="Y7" s="13">
        <v>26.665199999999999</v>
      </c>
      <c r="Z7" s="14">
        <v>228</v>
      </c>
      <c r="AA7" s="19"/>
      <c r="AB7" s="8" t="s">
        <v>741</v>
      </c>
    </row>
    <row r="8" spans="1:29" s="77" customFormat="1" ht="21.75" customHeight="1" x14ac:dyDescent="0.2">
      <c r="A8" s="77" t="s">
        <v>7776</v>
      </c>
      <c r="B8" s="77" t="s">
        <v>7778</v>
      </c>
      <c r="C8" s="77" t="s">
        <v>7786</v>
      </c>
      <c r="D8" s="77" t="s">
        <v>7784</v>
      </c>
      <c r="E8" s="77" t="s">
        <v>6317</v>
      </c>
      <c r="F8" s="77" t="s">
        <v>884</v>
      </c>
      <c r="G8" s="77" t="s">
        <v>7779</v>
      </c>
      <c r="H8" s="78" t="s">
        <v>7788</v>
      </c>
      <c r="I8" s="80" t="s">
        <v>7797</v>
      </c>
      <c r="J8" s="80" t="s">
        <v>7785</v>
      </c>
      <c r="K8" s="80" t="s">
        <v>4410</v>
      </c>
      <c r="L8" s="79">
        <v>224</v>
      </c>
      <c r="M8" s="79" t="s">
        <v>7787</v>
      </c>
      <c r="N8" s="79"/>
      <c r="O8" s="111"/>
      <c r="P8" s="80"/>
      <c r="R8" s="77" t="s">
        <v>7795</v>
      </c>
      <c r="U8" s="77" t="s">
        <v>128</v>
      </c>
      <c r="V8" s="77">
        <v>1.25</v>
      </c>
      <c r="W8" s="77" t="s">
        <v>7800</v>
      </c>
      <c r="X8" s="81">
        <v>43.5227</v>
      </c>
      <c r="Y8" s="81">
        <v>-112.05249999999999</v>
      </c>
      <c r="Z8" s="79">
        <v>1441</v>
      </c>
      <c r="AA8" s="140" t="s">
        <v>7801</v>
      </c>
      <c r="AB8" s="140" t="s">
        <v>7804</v>
      </c>
    </row>
    <row r="9" spans="1:29" s="77" customFormat="1" ht="21.75" customHeight="1" x14ac:dyDescent="0.2">
      <c r="A9" s="77" t="s">
        <v>7776</v>
      </c>
      <c r="B9" s="77" t="s">
        <v>7778</v>
      </c>
      <c r="C9" s="77" t="s">
        <v>7786</v>
      </c>
      <c r="D9" s="77" t="s">
        <v>7784</v>
      </c>
      <c r="E9" s="77" t="s">
        <v>398</v>
      </c>
      <c r="F9" s="77" t="s">
        <v>62</v>
      </c>
      <c r="G9" s="77" t="s">
        <v>7790</v>
      </c>
      <c r="H9" s="78" t="s">
        <v>7792</v>
      </c>
      <c r="I9" s="80" t="s">
        <v>7799</v>
      </c>
      <c r="J9" s="80" t="s">
        <v>7785</v>
      </c>
      <c r="K9" s="80" t="s">
        <v>4410</v>
      </c>
      <c r="L9" s="79">
        <v>224</v>
      </c>
      <c r="M9" s="79" t="s">
        <v>7787</v>
      </c>
      <c r="N9" s="79"/>
      <c r="O9" s="111"/>
      <c r="P9" s="80"/>
      <c r="R9" s="77" t="s">
        <v>7795</v>
      </c>
      <c r="U9" s="77" t="s">
        <v>128</v>
      </c>
      <c r="W9" s="77" t="s">
        <v>7800</v>
      </c>
      <c r="X9" s="81">
        <v>43.5227</v>
      </c>
      <c r="Y9" s="81">
        <v>-112.05249999999999</v>
      </c>
      <c r="Z9" s="79">
        <v>1441</v>
      </c>
      <c r="AA9" s="141"/>
      <c r="AB9" s="141"/>
    </row>
    <row r="10" spans="1:29" s="77" customFormat="1" ht="21.75" customHeight="1" x14ac:dyDescent="0.2">
      <c r="A10" s="77" t="s">
        <v>7776</v>
      </c>
      <c r="B10" s="77" t="s">
        <v>7778</v>
      </c>
      <c r="C10" s="77" t="s">
        <v>7786</v>
      </c>
      <c r="D10" s="77" t="s">
        <v>7784</v>
      </c>
      <c r="E10" s="77" t="s">
        <v>398</v>
      </c>
      <c r="F10" s="77" t="s">
        <v>62</v>
      </c>
      <c r="G10" s="77" t="s">
        <v>7780</v>
      </c>
      <c r="H10" s="78" t="s">
        <v>7791</v>
      </c>
      <c r="I10" s="80" t="s">
        <v>7797</v>
      </c>
      <c r="J10" s="80" t="s">
        <v>7785</v>
      </c>
      <c r="K10" s="80" t="s">
        <v>4410</v>
      </c>
      <c r="L10" s="79">
        <v>224</v>
      </c>
      <c r="M10" s="79" t="s">
        <v>7787</v>
      </c>
      <c r="N10" s="79"/>
      <c r="O10" s="111"/>
      <c r="P10" s="80"/>
      <c r="R10" s="77" t="s">
        <v>7795</v>
      </c>
      <c r="U10" s="77" t="s">
        <v>128</v>
      </c>
      <c r="V10" s="77">
        <v>1.25</v>
      </c>
      <c r="W10" s="77" t="s">
        <v>7800</v>
      </c>
      <c r="X10" s="81">
        <v>43.5227</v>
      </c>
      <c r="Y10" s="81">
        <v>-112.05249999999999</v>
      </c>
      <c r="Z10" s="79">
        <v>1441</v>
      </c>
      <c r="AA10" s="141"/>
      <c r="AB10" s="141"/>
    </row>
    <row r="11" spans="1:29" s="77" customFormat="1" ht="21.75" customHeight="1" x14ac:dyDescent="0.2">
      <c r="A11" s="77" t="s">
        <v>7776</v>
      </c>
      <c r="B11" s="77" t="s">
        <v>7778</v>
      </c>
      <c r="C11" s="77" t="s">
        <v>7786</v>
      </c>
      <c r="D11" s="77" t="s">
        <v>7784</v>
      </c>
      <c r="E11" s="77" t="s">
        <v>398</v>
      </c>
      <c r="F11" s="77" t="s">
        <v>62</v>
      </c>
      <c r="G11" s="77" t="s">
        <v>7781</v>
      </c>
      <c r="H11" s="78" t="s">
        <v>7789</v>
      </c>
      <c r="I11" s="80" t="s">
        <v>7798</v>
      </c>
      <c r="J11" s="80" t="s">
        <v>7785</v>
      </c>
      <c r="K11" s="80" t="s">
        <v>4410</v>
      </c>
      <c r="L11" s="79">
        <v>224</v>
      </c>
      <c r="M11" s="79" t="s">
        <v>7787</v>
      </c>
      <c r="N11" s="79"/>
      <c r="O11" s="111"/>
      <c r="P11" s="80"/>
      <c r="R11" s="77" t="s">
        <v>7795</v>
      </c>
      <c r="U11" s="77" t="s">
        <v>128</v>
      </c>
      <c r="V11" s="77">
        <v>1.25</v>
      </c>
      <c r="W11" s="77" t="s">
        <v>7800</v>
      </c>
      <c r="X11" s="81">
        <v>43.5227</v>
      </c>
      <c r="Y11" s="81">
        <v>-112.05249999999999</v>
      </c>
      <c r="Z11" s="79">
        <v>1441</v>
      </c>
      <c r="AA11" s="141"/>
      <c r="AB11" s="141"/>
    </row>
    <row r="12" spans="1:29" s="77" customFormat="1" ht="21.75" customHeight="1" x14ac:dyDescent="0.2">
      <c r="A12" s="77" t="s">
        <v>7776</v>
      </c>
      <c r="B12" s="77" t="s">
        <v>7778</v>
      </c>
      <c r="C12" s="77" t="s">
        <v>7786</v>
      </c>
      <c r="D12" s="77" t="s">
        <v>7784</v>
      </c>
      <c r="E12" s="77" t="s">
        <v>33</v>
      </c>
      <c r="F12" s="77" t="s">
        <v>214</v>
      </c>
      <c r="G12" s="77" t="s">
        <v>7782</v>
      </c>
      <c r="H12" s="78" t="s">
        <v>7794</v>
      </c>
      <c r="I12" s="80" t="s">
        <v>7797</v>
      </c>
      <c r="J12" s="80" t="s">
        <v>7785</v>
      </c>
      <c r="K12" s="80" t="s">
        <v>4410</v>
      </c>
      <c r="L12" s="79">
        <v>224</v>
      </c>
      <c r="M12" s="79" t="s">
        <v>7787</v>
      </c>
      <c r="N12" s="79"/>
      <c r="O12" s="111"/>
      <c r="P12" s="80"/>
      <c r="R12" s="77" t="s">
        <v>7795</v>
      </c>
      <c r="U12" s="77" t="s">
        <v>128</v>
      </c>
      <c r="W12" s="77" t="s">
        <v>7800</v>
      </c>
      <c r="X12" s="81">
        <v>43.5227</v>
      </c>
      <c r="Y12" s="81">
        <v>-112.05249999999999</v>
      </c>
      <c r="Z12" s="79">
        <v>1441</v>
      </c>
      <c r="AA12" s="141"/>
      <c r="AB12" s="141"/>
    </row>
    <row r="13" spans="1:29" s="77" customFormat="1" ht="21.75" customHeight="1" x14ac:dyDescent="0.2">
      <c r="A13" s="77" t="s">
        <v>7776</v>
      </c>
      <c r="B13" s="77" t="s">
        <v>7778</v>
      </c>
      <c r="C13" s="77" t="s">
        <v>7786</v>
      </c>
      <c r="D13" s="77" t="s">
        <v>7784</v>
      </c>
      <c r="E13" s="77" t="s">
        <v>734</v>
      </c>
      <c r="F13" s="77" t="s">
        <v>214</v>
      </c>
      <c r="G13" s="77" t="s">
        <v>7783</v>
      </c>
      <c r="H13" s="78" t="s">
        <v>7793</v>
      </c>
      <c r="I13" s="80" t="s">
        <v>7798</v>
      </c>
      <c r="J13" s="80" t="s">
        <v>7785</v>
      </c>
      <c r="K13" s="80" t="s">
        <v>4410</v>
      </c>
      <c r="L13" s="79">
        <v>224</v>
      </c>
      <c r="M13" s="79" t="s">
        <v>7787</v>
      </c>
      <c r="N13" s="79"/>
      <c r="O13" s="111"/>
      <c r="P13" s="80"/>
      <c r="R13" s="77" t="s">
        <v>7795</v>
      </c>
      <c r="U13" s="77" t="s">
        <v>128</v>
      </c>
      <c r="W13" s="77" t="s">
        <v>7800</v>
      </c>
      <c r="X13" s="81">
        <v>43.5227</v>
      </c>
      <c r="Y13" s="81">
        <v>-112.05249999999999</v>
      </c>
      <c r="Z13" s="79">
        <v>1441</v>
      </c>
      <c r="AA13" s="142"/>
      <c r="AB13" s="142"/>
    </row>
    <row r="14" spans="1:29" s="8" customFormat="1" ht="21.75" customHeight="1" x14ac:dyDescent="0.2">
      <c r="A14" s="8" t="s">
        <v>4471</v>
      </c>
      <c r="B14" s="8" t="s">
        <v>4475</v>
      </c>
      <c r="C14" s="8" t="s">
        <v>4476</v>
      </c>
      <c r="D14" s="8" t="s">
        <v>4474</v>
      </c>
      <c r="E14" s="8" t="s">
        <v>734</v>
      </c>
      <c r="F14" s="8" t="s">
        <v>212</v>
      </c>
      <c r="G14" s="8" t="s">
        <v>4479</v>
      </c>
      <c r="H14" s="3" t="s">
        <v>4478</v>
      </c>
      <c r="I14" s="4" t="s">
        <v>7796</v>
      </c>
      <c r="J14" s="4" t="s">
        <v>4473</v>
      </c>
      <c r="K14" s="4" t="s">
        <v>5713</v>
      </c>
      <c r="L14" s="14"/>
      <c r="M14" s="14"/>
      <c r="N14" s="14"/>
      <c r="O14" s="110" t="s">
        <v>4477</v>
      </c>
      <c r="P14" s="4"/>
      <c r="R14" s="8" t="s">
        <v>4481</v>
      </c>
      <c r="S14" s="8" t="s">
        <v>4472</v>
      </c>
      <c r="T14" s="8">
        <v>0.8</v>
      </c>
      <c r="X14" s="13">
        <f>35+33.177/60</f>
        <v>35.552950000000003</v>
      </c>
      <c r="Y14" s="13">
        <f>3+56.214/60</f>
        <v>3.9369000000000001</v>
      </c>
      <c r="Z14" s="14">
        <v>580</v>
      </c>
      <c r="AA14" s="19"/>
      <c r="AB14" s="8" t="s">
        <v>4482</v>
      </c>
    </row>
    <row r="15" spans="1:29" ht="21.75" customHeight="1" x14ac:dyDescent="0.2">
      <c r="A15" s="7" t="s">
        <v>2839</v>
      </c>
      <c r="B15" s="7" t="s">
        <v>2840</v>
      </c>
      <c r="C15" s="7" t="s">
        <v>2842</v>
      </c>
      <c r="D15" s="7" t="s">
        <v>2843</v>
      </c>
      <c r="E15" s="7" t="s">
        <v>734</v>
      </c>
      <c r="F15" s="7" t="s">
        <v>212</v>
      </c>
      <c r="G15" s="7" t="s">
        <v>2852</v>
      </c>
      <c r="H15" s="1" t="s">
        <v>2851</v>
      </c>
      <c r="I15" s="2" t="s">
        <v>2850</v>
      </c>
      <c r="J15" s="2" t="s">
        <v>4637</v>
      </c>
      <c r="K15" s="2" t="s">
        <v>4410</v>
      </c>
      <c r="L15" s="6">
        <v>1200</v>
      </c>
      <c r="M15" s="6" t="s">
        <v>2955</v>
      </c>
      <c r="O15" s="45" t="s">
        <v>2849</v>
      </c>
      <c r="R15" s="7" t="s">
        <v>2848</v>
      </c>
      <c r="U15" s="7" t="s">
        <v>2841</v>
      </c>
      <c r="V15" s="7">
        <v>1</v>
      </c>
      <c r="X15" s="5">
        <v>36.597200000000001</v>
      </c>
      <c r="Y15" s="5">
        <v>51.560899999999997</v>
      </c>
      <c r="Z15" s="6">
        <v>381</v>
      </c>
      <c r="AA15" s="7" t="s">
        <v>2853</v>
      </c>
      <c r="AB15" s="7" t="s">
        <v>2844</v>
      </c>
    </row>
    <row r="16" spans="1:29" s="8" customFormat="1" ht="21.75" customHeight="1" x14ac:dyDescent="0.2">
      <c r="A16" s="8" t="s">
        <v>16</v>
      </c>
      <c r="B16" s="8" t="s">
        <v>20</v>
      </c>
      <c r="C16" s="8" t="s">
        <v>21</v>
      </c>
      <c r="D16" s="8" t="s">
        <v>31</v>
      </c>
      <c r="E16" s="8" t="s">
        <v>33</v>
      </c>
      <c r="F16" s="8" t="s">
        <v>212</v>
      </c>
      <c r="G16" s="8" t="s">
        <v>18</v>
      </c>
      <c r="H16" s="3" t="s">
        <v>19</v>
      </c>
      <c r="I16" s="4">
        <v>2.2000000000000002</v>
      </c>
      <c r="J16" s="4" t="s">
        <v>4367</v>
      </c>
      <c r="K16" s="4" t="s">
        <v>4410</v>
      </c>
      <c r="L16" s="14">
        <v>1310</v>
      </c>
      <c r="M16" s="14"/>
      <c r="N16" s="14"/>
      <c r="O16" s="110" t="s">
        <v>34</v>
      </c>
      <c r="P16" s="4"/>
      <c r="R16" s="8" t="s">
        <v>28</v>
      </c>
      <c r="X16" s="13">
        <v>31.263999999999999</v>
      </c>
      <c r="Y16" s="13">
        <v>-84.494500000000002</v>
      </c>
      <c r="Z16" s="14">
        <v>49</v>
      </c>
      <c r="AA16" s="132" t="s">
        <v>27</v>
      </c>
      <c r="AB16" s="8" t="s">
        <v>30</v>
      </c>
    </row>
    <row r="17" spans="1:28" s="8" customFormat="1" ht="21.75" customHeight="1" x14ac:dyDescent="0.2">
      <c r="A17" s="8" t="s">
        <v>16</v>
      </c>
      <c r="B17" s="8" t="s">
        <v>20</v>
      </c>
      <c r="C17" s="8" t="s">
        <v>21</v>
      </c>
      <c r="D17" s="8" t="s">
        <v>32</v>
      </c>
      <c r="E17" s="8" t="s">
        <v>33</v>
      </c>
      <c r="F17" s="8" t="s">
        <v>212</v>
      </c>
      <c r="G17" s="8" t="s">
        <v>18</v>
      </c>
      <c r="H17" s="3" t="s">
        <v>19</v>
      </c>
      <c r="I17" s="4">
        <v>2</v>
      </c>
      <c r="J17" s="4" t="s">
        <v>4367</v>
      </c>
      <c r="K17" s="4" t="s">
        <v>4410</v>
      </c>
      <c r="L17" s="14">
        <v>1310</v>
      </c>
      <c r="M17" s="14"/>
      <c r="N17" s="14"/>
      <c r="O17" s="110" t="s">
        <v>35</v>
      </c>
      <c r="P17" s="4"/>
      <c r="R17" s="8" t="s">
        <v>29</v>
      </c>
      <c r="S17" s="8" t="s">
        <v>23</v>
      </c>
      <c r="T17" s="8">
        <v>0.5</v>
      </c>
      <c r="X17" s="13">
        <v>31.2212</v>
      </c>
      <c r="Y17" s="13">
        <v>-84.472999999999999</v>
      </c>
      <c r="Z17" s="14">
        <v>42</v>
      </c>
      <c r="AA17" s="133"/>
      <c r="AB17" s="8" t="s">
        <v>43</v>
      </c>
    </row>
    <row r="18" spans="1:28" ht="21.75" customHeight="1" x14ac:dyDescent="0.2">
      <c r="A18" s="7" t="s">
        <v>3857</v>
      </c>
      <c r="B18" s="7" t="s">
        <v>3866</v>
      </c>
      <c r="C18" s="7" t="s">
        <v>2842</v>
      </c>
      <c r="D18" s="7" t="s">
        <v>3860</v>
      </c>
      <c r="E18" s="7" t="s">
        <v>33</v>
      </c>
      <c r="F18" s="7" t="s">
        <v>212</v>
      </c>
      <c r="G18" s="7" t="s">
        <v>3859</v>
      </c>
      <c r="H18" s="1" t="s">
        <v>3858</v>
      </c>
      <c r="I18" s="2">
        <v>1.9</v>
      </c>
      <c r="J18" s="2" t="s">
        <v>4367</v>
      </c>
      <c r="K18" s="2" t="s">
        <v>4410</v>
      </c>
      <c r="L18" s="6">
        <v>1092</v>
      </c>
      <c r="O18" s="45" t="s">
        <v>3863</v>
      </c>
      <c r="R18" s="7" t="s">
        <v>3864</v>
      </c>
      <c r="W18" s="7" t="s">
        <v>3867</v>
      </c>
      <c r="X18" s="5">
        <v>36.68</v>
      </c>
      <c r="Y18" s="5">
        <v>-77.989999999999995</v>
      </c>
      <c r="Z18" s="6">
        <v>107</v>
      </c>
      <c r="AA18" s="73"/>
      <c r="AB18" s="7" t="s">
        <v>3868</v>
      </c>
    </row>
    <row r="19" spans="1:28" ht="21.75" customHeight="1" x14ac:dyDescent="0.2">
      <c r="A19" s="7" t="s">
        <v>3857</v>
      </c>
      <c r="B19" s="7" t="s">
        <v>3866</v>
      </c>
      <c r="C19" s="7" t="s">
        <v>2842</v>
      </c>
      <c r="D19" s="7" t="s">
        <v>3861</v>
      </c>
      <c r="E19" s="7" t="s">
        <v>33</v>
      </c>
      <c r="F19" s="7" t="s">
        <v>212</v>
      </c>
      <c r="G19" s="7" t="s">
        <v>3859</v>
      </c>
      <c r="H19" s="1" t="s">
        <v>3858</v>
      </c>
      <c r="I19" s="2">
        <v>1.9</v>
      </c>
      <c r="J19" s="2" t="s">
        <v>4367</v>
      </c>
      <c r="K19" s="2" t="s">
        <v>4410</v>
      </c>
      <c r="L19" s="6">
        <v>1219</v>
      </c>
      <c r="O19" s="45" t="s">
        <v>3793</v>
      </c>
      <c r="R19" s="7" t="s">
        <v>3864</v>
      </c>
      <c r="W19" s="7" t="s">
        <v>3867</v>
      </c>
      <c r="X19" s="5">
        <v>35.110300000000002</v>
      </c>
      <c r="Y19" s="5">
        <v>-76.599100000000007</v>
      </c>
      <c r="Z19" s="6">
        <v>1</v>
      </c>
      <c r="AA19" s="73"/>
      <c r="AB19" s="7" t="s">
        <v>3870</v>
      </c>
    </row>
    <row r="20" spans="1:28" ht="21.75" customHeight="1" x14ac:dyDescent="0.2">
      <c r="A20" s="7" t="s">
        <v>3857</v>
      </c>
      <c r="B20" s="7" t="s">
        <v>3866</v>
      </c>
      <c r="C20" s="7" t="s">
        <v>2842</v>
      </c>
      <c r="D20" s="7" t="s">
        <v>3862</v>
      </c>
      <c r="E20" s="7" t="s">
        <v>33</v>
      </c>
      <c r="F20" s="7" t="s">
        <v>212</v>
      </c>
      <c r="G20" s="7" t="s">
        <v>3859</v>
      </c>
      <c r="H20" s="1" t="s">
        <v>3858</v>
      </c>
      <c r="I20" s="2">
        <v>3.5</v>
      </c>
      <c r="J20" s="2" t="s">
        <v>4367</v>
      </c>
      <c r="K20" s="2" t="s">
        <v>4410</v>
      </c>
      <c r="L20" s="6">
        <v>1220</v>
      </c>
      <c r="O20" s="45" t="s">
        <v>3863</v>
      </c>
      <c r="R20" s="7" t="s">
        <v>3865</v>
      </c>
      <c r="W20" s="7" t="s">
        <v>3867</v>
      </c>
      <c r="X20" s="5">
        <v>34.909999999999997</v>
      </c>
      <c r="Y20" s="5">
        <v>-79.48</v>
      </c>
      <c r="Z20" s="6">
        <v>80</v>
      </c>
      <c r="AA20" s="73"/>
      <c r="AB20" s="7" t="s">
        <v>3869</v>
      </c>
    </row>
    <row r="21" spans="1:28" s="8" customFormat="1" ht="21.75" customHeight="1" x14ac:dyDescent="0.2">
      <c r="A21" s="8" t="s">
        <v>4414</v>
      </c>
      <c r="B21" s="8" t="s">
        <v>4406</v>
      </c>
      <c r="C21" s="8" t="s">
        <v>4416</v>
      </c>
      <c r="D21" s="8" t="s">
        <v>4415</v>
      </c>
      <c r="E21" s="8" t="s">
        <v>734</v>
      </c>
      <c r="F21" s="8" t="s">
        <v>212</v>
      </c>
      <c r="G21" s="8" t="s">
        <v>4405</v>
      </c>
      <c r="H21" s="3" t="s">
        <v>3463</v>
      </c>
      <c r="I21" s="4">
        <v>5.9</v>
      </c>
      <c r="J21" s="4" t="s">
        <v>4367</v>
      </c>
      <c r="K21" s="4" t="s">
        <v>4410</v>
      </c>
      <c r="L21" s="14"/>
      <c r="M21" s="14"/>
      <c r="N21" s="14"/>
      <c r="O21" s="110" t="s">
        <v>969</v>
      </c>
      <c r="P21" s="4"/>
      <c r="Q21" s="8">
        <v>5.9</v>
      </c>
      <c r="R21" s="8" t="s">
        <v>1804</v>
      </c>
      <c r="W21" s="8" t="s">
        <v>4417</v>
      </c>
      <c r="X21" s="13">
        <v>13.616400000000001</v>
      </c>
      <c r="Y21" s="13">
        <v>-2.28871</v>
      </c>
      <c r="Z21" s="14">
        <v>346</v>
      </c>
      <c r="AA21" s="19" t="s">
        <v>4418</v>
      </c>
      <c r="AB21" s="8" t="s">
        <v>4419</v>
      </c>
    </row>
    <row r="22" spans="1:28" s="8" customFormat="1" ht="21.75" customHeight="1" x14ac:dyDescent="0.2">
      <c r="A22" s="8" t="s">
        <v>4414</v>
      </c>
      <c r="B22" s="8" t="s">
        <v>4406</v>
      </c>
      <c r="C22" s="8" t="s">
        <v>4416</v>
      </c>
      <c r="D22" s="8" t="s">
        <v>4420</v>
      </c>
      <c r="E22" s="8" t="s">
        <v>734</v>
      </c>
      <c r="F22" s="8" t="s">
        <v>212</v>
      </c>
      <c r="G22" s="8" t="s">
        <v>4405</v>
      </c>
      <c r="H22" s="3" t="s">
        <v>3463</v>
      </c>
      <c r="I22" s="4">
        <v>2.2000000000000002</v>
      </c>
      <c r="J22" s="4" t="s">
        <v>4367</v>
      </c>
      <c r="K22" s="4" t="s">
        <v>4410</v>
      </c>
      <c r="L22" s="14"/>
      <c r="M22" s="14"/>
      <c r="N22" s="14"/>
      <c r="O22" s="110"/>
      <c r="P22" s="4"/>
      <c r="Q22" s="8">
        <v>32</v>
      </c>
      <c r="R22" s="8" t="s">
        <v>4421</v>
      </c>
      <c r="S22" s="8" t="s">
        <v>4422</v>
      </c>
      <c r="T22" s="8" t="s">
        <v>4423</v>
      </c>
      <c r="W22" s="8" t="s">
        <v>4417</v>
      </c>
      <c r="X22" s="13">
        <v>11.318</v>
      </c>
      <c r="Y22" s="13">
        <v>-2.2265000000000001</v>
      </c>
      <c r="Z22" s="14">
        <v>325</v>
      </c>
      <c r="AA22" s="19" t="s">
        <v>4425</v>
      </c>
      <c r="AB22" s="8" t="s">
        <v>4424</v>
      </c>
    </row>
    <row r="23" spans="1:28" ht="21.75" customHeight="1" x14ac:dyDescent="0.2">
      <c r="A23" s="7" t="s">
        <v>4167</v>
      </c>
      <c r="B23" s="7" t="s">
        <v>4168</v>
      </c>
      <c r="C23" s="7" t="s">
        <v>4171</v>
      </c>
      <c r="D23" s="7" t="s">
        <v>4169</v>
      </c>
      <c r="E23" s="7" t="s">
        <v>275</v>
      </c>
      <c r="F23" s="7" t="s">
        <v>217</v>
      </c>
      <c r="G23" s="7" t="s">
        <v>4170</v>
      </c>
      <c r="H23" s="1" t="s">
        <v>4173</v>
      </c>
      <c r="I23" s="2">
        <v>1.2</v>
      </c>
      <c r="J23" s="2" t="s">
        <v>4637</v>
      </c>
      <c r="K23" s="2" t="s">
        <v>4410</v>
      </c>
      <c r="L23" s="6">
        <v>310</v>
      </c>
      <c r="O23" s="45" t="s">
        <v>2459</v>
      </c>
      <c r="R23" s="7" t="s">
        <v>4175</v>
      </c>
      <c r="W23" s="7" t="s">
        <v>4176</v>
      </c>
      <c r="X23" s="5">
        <v>49.4998</v>
      </c>
      <c r="Y23" s="5">
        <v>-97.947800000000001</v>
      </c>
      <c r="Z23" s="6">
        <v>258</v>
      </c>
      <c r="AA23" s="73" t="s">
        <v>4172</v>
      </c>
      <c r="AB23" s="7" t="s">
        <v>4179</v>
      </c>
    </row>
    <row r="24" spans="1:28" ht="21.75" customHeight="1" x14ac:dyDescent="0.2">
      <c r="A24" s="7" t="s">
        <v>4167</v>
      </c>
      <c r="B24" s="7" t="s">
        <v>4168</v>
      </c>
      <c r="C24" s="7" t="s">
        <v>4171</v>
      </c>
      <c r="D24" s="7" t="s">
        <v>4174</v>
      </c>
      <c r="E24" s="7" t="s">
        <v>275</v>
      </c>
      <c r="F24" s="7" t="s">
        <v>217</v>
      </c>
      <c r="G24" s="7" t="s">
        <v>4170</v>
      </c>
      <c r="H24" s="1" t="s">
        <v>4173</v>
      </c>
      <c r="I24" s="2">
        <v>1.8</v>
      </c>
      <c r="J24" s="2" t="s">
        <v>4637</v>
      </c>
      <c r="K24" s="2" t="s">
        <v>4410</v>
      </c>
      <c r="L24" s="6">
        <v>340</v>
      </c>
      <c r="O24" s="45" t="s">
        <v>2459</v>
      </c>
      <c r="R24" s="7" t="s">
        <v>3083</v>
      </c>
      <c r="W24" s="7" t="s">
        <v>4176</v>
      </c>
      <c r="X24" s="5">
        <v>49.8125</v>
      </c>
      <c r="Y24" s="5">
        <v>-97.120800000000003</v>
      </c>
      <c r="Z24" s="6">
        <v>231</v>
      </c>
      <c r="AA24" s="73" t="s">
        <v>4177</v>
      </c>
      <c r="AB24" s="7" t="s">
        <v>4178</v>
      </c>
    </row>
    <row r="25" spans="1:28" s="8" customFormat="1" ht="21.75" customHeight="1" x14ac:dyDescent="0.2">
      <c r="A25" s="8" t="s">
        <v>6297</v>
      </c>
      <c r="B25" s="8" t="s">
        <v>6303</v>
      </c>
      <c r="C25" s="8" t="s">
        <v>6316</v>
      </c>
      <c r="D25" s="8" t="s">
        <v>6304</v>
      </c>
      <c r="E25" s="8" t="s">
        <v>398</v>
      </c>
      <c r="F25" s="8" t="s">
        <v>6326</v>
      </c>
      <c r="G25" s="8" t="s">
        <v>6318</v>
      </c>
      <c r="H25" s="3" t="s">
        <v>6298</v>
      </c>
      <c r="I25" s="4" t="s">
        <v>6309</v>
      </c>
      <c r="J25" s="4" t="s">
        <v>4367</v>
      </c>
      <c r="K25" s="4" t="s">
        <v>5713</v>
      </c>
      <c r="L25" s="14">
        <v>2000</v>
      </c>
      <c r="M25" s="14" t="s">
        <v>6307</v>
      </c>
      <c r="N25" s="14"/>
      <c r="O25" s="110" t="s">
        <v>6327</v>
      </c>
      <c r="P25" s="4"/>
      <c r="R25" s="8" t="s">
        <v>6329</v>
      </c>
      <c r="X25" s="13">
        <v>45.3033</v>
      </c>
      <c r="Y25" s="13">
        <v>-121.5124</v>
      </c>
      <c r="Z25" s="14">
        <v>1220</v>
      </c>
      <c r="AA25" s="132" t="s">
        <v>6308</v>
      </c>
      <c r="AB25" s="137" t="s">
        <v>6328</v>
      </c>
    </row>
    <row r="26" spans="1:28" s="8" customFormat="1" ht="21.75" customHeight="1" x14ac:dyDescent="0.2">
      <c r="A26" s="8" t="s">
        <v>6297</v>
      </c>
      <c r="B26" s="8" t="s">
        <v>6303</v>
      </c>
      <c r="C26" s="8" t="s">
        <v>6316</v>
      </c>
      <c r="D26" s="8" t="s">
        <v>6304</v>
      </c>
      <c r="E26" s="8" t="s">
        <v>6317</v>
      </c>
      <c r="F26" s="8" t="s">
        <v>6320</v>
      </c>
      <c r="G26" s="8" t="s">
        <v>6319</v>
      </c>
      <c r="H26" s="3" t="s">
        <v>6299</v>
      </c>
      <c r="I26" s="4" t="s">
        <v>6310</v>
      </c>
      <c r="J26" s="4" t="s">
        <v>4367</v>
      </c>
      <c r="K26" s="4" t="s">
        <v>5713</v>
      </c>
      <c r="L26" s="14">
        <v>2000</v>
      </c>
      <c r="M26" s="14" t="s">
        <v>6307</v>
      </c>
      <c r="N26" s="14"/>
      <c r="O26" s="110" t="s">
        <v>6327</v>
      </c>
      <c r="P26" s="4"/>
      <c r="R26" s="8" t="s">
        <v>6329</v>
      </c>
      <c r="X26" s="13">
        <v>45.3033</v>
      </c>
      <c r="Y26" s="13">
        <v>-121.5124</v>
      </c>
      <c r="Z26" s="14">
        <v>1220</v>
      </c>
      <c r="AA26" s="133"/>
      <c r="AB26" s="137"/>
    </row>
    <row r="27" spans="1:28" s="8" customFormat="1" ht="21.75" customHeight="1" x14ac:dyDescent="0.2">
      <c r="A27" s="8" t="s">
        <v>6297</v>
      </c>
      <c r="B27" s="8" t="s">
        <v>6303</v>
      </c>
      <c r="C27" s="8" t="s">
        <v>6316</v>
      </c>
      <c r="D27" s="8" t="s">
        <v>6305</v>
      </c>
      <c r="E27" s="8" t="s">
        <v>6317</v>
      </c>
      <c r="F27" s="8" t="s">
        <v>217</v>
      </c>
      <c r="G27" s="8" t="s">
        <v>6321</v>
      </c>
      <c r="H27" s="3" t="s">
        <v>6300</v>
      </c>
      <c r="I27" s="4" t="s">
        <v>6311</v>
      </c>
      <c r="J27" s="4" t="s">
        <v>4367</v>
      </c>
      <c r="K27" s="4" t="s">
        <v>5713</v>
      </c>
      <c r="L27" s="14">
        <v>2000</v>
      </c>
      <c r="M27" s="14" t="s">
        <v>6307</v>
      </c>
      <c r="N27" s="14"/>
      <c r="O27" s="110" t="s">
        <v>6306</v>
      </c>
      <c r="P27" s="4"/>
      <c r="R27" s="8" t="s">
        <v>6329</v>
      </c>
      <c r="X27" s="13">
        <v>45.308599999999998</v>
      </c>
      <c r="Y27" s="13">
        <v>-121.502</v>
      </c>
      <c r="Z27" s="14">
        <v>1040</v>
      </c>
      <c r="AA27" s="132" t="s">
        <v>6330</v>
      </c>
      <c r="AB27" s="137"/>
    </row>
    <row r="28" spans="1:28" s="8" customFormat="1" ht="21.75" customHeight="1" x14ac:dyDescent="0.2">
      <c r="A28" s="8" t="s">
        <v>6297</v>
      </c>
      <c r="B28" s="8" t="s">
        <v>6303</v>
      </c>
      <c r="C28" s="8" t="s">
        <v>6316</v>
      </c>
      <c r="D28" s="8" t="s">
        <v>6305</v>
      </c>
      <c r="E28" s="8" t="s">
        <v>6317</v>
      </c>
      <c r="F28" s="8" t="s">
        <v>217</v>
      </c>
      <c r="G28" s="8" t="s">
        <v>6323</v>
      </c>
      <c r="H28" s="3" t="s">
        <v>6322</v>
      </c>
      <c r="I28" s="4" t="s">
        <v>6312</v>
      </c>
      <c r="J28" s="4" t="s">
        <v>4367</v>
      </c>
      <c r="K28" s="4" t="s">
        <v>5713</v>
      </c>
      <c r="L28" s="14">
        <v>2000</v>
      </c>
      <c r="M28" s="14" t="s">
        <v>6307</v>
      </c>
      <c r="N28" s="14"/>
      <c r="O28" s="110" t="s">
        <v>6306</v>
      </c>
      <c r="P28" s="4"/>
      <c r="R28" s="8" t="s">
        <v>6329</v>
      </c>
      <c r="X28" s="13">
        <v>45.308599999999998</v>
      </c>
      <c r="Y28" s="13">
        <v>-121.502</v>
      </c>
      <c r="Z28" s="14">
        <v>1040</v>
      </c>
      <c r="AA28" s="133"/>
      <c r="AB28" s="137"/>
    </row>
    <row r="29" spans="1:28" s="8" customFormat="1" ht="21.75" customHeight="1" x14ac:dyDescent="0.2">
      <c r="A29" s="8" t="s">
        <v>6297</v>
      </c>
      <c r="B29" s="8" t="s">
        <v>6303</v>
      </c>
      <c r="C29" s="8" t="s">
        <v>6316</v>
      </c>
      <c r="D29" s="8" t="s">
        <v>6305</v>
      </c>
      <c r="E29" s="8" t="s">
        <v>6317</v>
      </c>
      <c r="F29" s="8" t="s">
        <v>217</v>
      </c>
      <c r="G29" s="8" t="s">
        <v>6324</v>
      </c>
      <c r="H29" s="3" t="s">
        <v>6301</v>
      </c>
      <c r="I29" s="4" t="s">
        <v>6313</v>
      </c>
      <c r="J29" s="4" t="s">
        <v>4367</v>
      </c>
      <c r="K29" s="4" t="s">
        <v>5713</v>
      </c>
      <c r="L29" s="14">
        <v>2000</v>
      </c>
      <c r="M29" s="14" t="s">
        <v>6307</v>
      </c>
      <c r="N29" s="14"/>
      <c r="O29" s="110" t="s">
        <v>6306</v>
      </c>
      <c r="P29" s="4"/>
      <c r="R29" s="8" t="s">
        <v>6329</v>
      </c>
      <c r="X29" s="13">
        <v>45.308599999999998</v>
      </c>
      <c r="Y29" s="13">
        <v>-121.502</v>
      </c>
      <c r="Z29" s="14">
        <v>1040</v>
      </c>
      <c r="AA29" s="132" t="s">
        <v>6315</v>
      </c>
      <c r="AB29" s="137"/>
    </row>
    <row r="30" spans="1:28" s="8" customFormat="1" ht="21.75" customHeight="1" x14ac:dyDescent="0.2">
      <c r="A30" s="8" t="s">
        <v>6297</v>
      </c>
      <c r="B30" s="8" t="s">
        <v>6303</v>
      </c>
      <c r="C30" s="8" t="s">
        <v>6316</v>
      </c>
      <c r="D30" s="8" t="s">
        <v>6305</v>
      </c>
      <c r="E30" s="8" t="s">
        <v>6317</v>
      </c>
      <c r="F30" s="8" t="s">
        <v>217</v>
      </c>
      <c r="G30" s="8" t="s">
        <v>6325</v>
      </c>
      <c r="H30" s="3" t="s">
        <v>6302</v>
      </c>
      <c r="I30" s="4" t="s">
        <v>6314</v>
      </c>
      <c r="J30" s="4" t="s">
        <v>4367</v>
      </c>
      <c r="K30" s="4" t="s">
        <v>5713</v>
      </c>
      <c r="L30" s="14">
        <v>2000</v>
      </c>
      <c r="M30" s="14" t="s">
        <v>6307</v>
      </c>
      <c r="N30" s="14"/>
      <c r="O30" s="110" t="s">
        <v>6306</v>
      </c>
      <c r="P30" s="4"/>
      <c r="R30" s="8" t="s">
        <v>6329</v>
      </c>
      <c r="X30" s="13">
        <v>45.308599999999998</v>
      </c>
      <c r="Y30" s="13">
        <v>-121.502</v>
      </c>
      <c r="Z30" s="14">
        <v>1040</v>
      </c>
      <c r="AA30" s="133"/>
      <c r="AB30" s="133"/>
    </row>
    <row r="31" spans="1:28" ht="21.75" customHeight="1" x14ac:dyDescent="0.2">
      <c r="A31" s="7" t="s">
        <v>4180</v>
      </c>
      <c r="B31" s="7" t="s">
        <v>4181</v>
      </c>
      <c r="C31" s="7" t="s">
        <v>4182</v>
      </c>
      <c r="D31" s="7" t="s">
        <v>4185</v>
      </c>
      <c r="E31" s="7" t="s">
        <v>398</v>
      </c>
      <c r="F31" s="7" t="s">
        <v>214</v>
      </c>
      <c r="G31" s="7" t="s">
        <v>4184</v>
      </c>
      <c r="H31" s="1" t="s">
        <v>767</v>
      </c>
      <c r="I31" s="2">
        <v>2</v>
      </c>
      <c r="J31" s="2" t="s">
        <v>5714</v>
      </c>
      <c r="K31" s="2" t="s">
        <v>4410</v>
      </c>
      <c r="L31" s="6" t="s">
        <v>4190</v>
      </c>
      <c r="M31" s="6" t="s">
        <v>4191</v>
      </c>
      <c r="O31" s="45" t="s">
        <v>4187</v>
      </c>
      <c r="R31" s="7" t="s">
        <v>4189</v>
      </c>
      <c r="X31" s="5">
        <v>37.125700000000002</v>
      </c>
      <c r="Y31" s="5">
        <v>-2.3696999999999999</v>
      </c>
      <c r="Z31" s="6">
        <v>628</v>
      </c>
      <c r="AA31" s="134" t="s">
        <v>4195</v>
      </c>
      <c r="AB31" s="7" t="s">
        <v>4193</v>
      </c>
    </row>
    <row r="32" spans="1:28" ht="21.75" customHeight="1" x14ac:dyDescent="0.2">
      <c r="A32" s="7" t="s">
        <v>4180</v>
      </c>
      <c r="B32" s="7" t="s">
        <v>4181</v>
      </c>
      <c r="C32" s="7" t="s">
        <v>4182</v>
      </c>
      <c r="D32" s="7" t="s">
        <v>4186</v>
      </c>
      <c r="E32" s="7" t="s">
        <v>398</v>
      </c>
      <c r="F32" s="7" t="s">
        <v>214</v>
      </c>
      <c r="H32" s="1" t="s">
        <v>4183</v>
      </c>
      <c r="I32" s="2">
        <v>1.5</v>
      </c>
      <c r="J32" s="2" t="s">
        <v>5714</v>
      </c>
      <c r="K32" s="2" t="s">
        <v>4410</v>
      </c>
      <c r="L32" s="6" t="s">
        <v>4190</v>
      </c>
      <c r="M32" s="6" t="s">
        <v>4191</v>
      </c>
      <c r="O32" s="45" t="s">
        <v>4188</v>
      </c>
      <c r="R32" s="7" t="s">
        <v>4189</v>
      </c>
      <c r="X32" s="5">
        <v>37.1267</v>
      </c>
      <c r="Y32" s="5">
        <v>-2.3673000000000002</v>
      </c>
      <c r="Z32" s="6">
        <v>632</v>
      </c>
      <c r="AA32" s="135"/>
      <c r="AB32" s="7" t="s">
        <v>4194</v>
      </c>
    </row>
    <row r="33" spans="1:28" s="8" customFormat="1" ht="21.75" customHeight="1" x14ac:dyDescent="0.2">
      <c r="A33" s="8" t="s">
        <v>2605</v>
      </c>
      <c r="B33" s="8" t="s">
        <v>2607</v>
      </c>
      <c r="C33" s="8" t="s">
        <v>2611</v>
      </c>
      <c r="E33" s="8" t="s">
        <v>33</v>
      </c>
      <c r="F33" s="8" t="s">
        <v>212</v>
      </c>
      <c r="G33" s="8" t="s">
        <v>2610</v>
      </c>
      <c r="H33" s="3" t="s">
        <v>2606</v>
      </c>
      <c r="I33" s="4">
        <v>2.5</v>
      </c>
      <c r="J33" s="4" t="s">
        <v>5714</v>
      </c>
      <c r="K33" s="4" t="s">
        <v>4480</v>
      </c>
      <c r="L33" s="14">
        <v>220</v>
      </c>
      <c r="M33" s="14" t="s">
        <v>4192</v>
      </c>
      <c r="N33" s="14"/>
      <c r="O33" s="110" t="s">
        <v>2612</v>
      </c>
      <c r="P33" s="4"/>
      <c r="Q33" s="8">
        <v>3.5</v>
      </c>
      <c r="R33" s="8" t="s">
        <v>1605</v>
      </c>
      <c r="X33" s="13">
        <v>36.690300000000001</v>
      </c>
      <c r="Y33" s="13">
        <f>-(2+42/60)</f>
        <v>-2.7</v>
      </c>
      <c r="Z33" s="14">
        <v>4</v>
      </c>
      <c r="AA33" s="8" t="s">
        <v>2616</v>
      </c>
      <c r="AB33" s="8" t="s">
        <v>2613</v>
      </c>
    </row>
    <row r="34" spans="1:28" s="8" customFormat="1" ht="21.75" customHeight="1" x14ac:dyDescent="0.2">
      <c r="A34" s="8" t="s">
        <v>2605</v>
      </c>
      <c r="B34" s="8" t="s">
        <v>2607</v>
      </c>
      <c r="C34" s="8" t="s">
        <v>2611</v>
      </c>
      <c r="E34" s="8" t="s">
        <v>263</v>
      </c>
      <c r="F34" s="8" t="s">
        <v>214</v>
      </c>
      <c r="G34" s="8" t="s">
        <v>2609</v>
      </c>
      <c r="H34" s="3" t="s">
        <v>2608</v>
      </c>
      <c r="I34" s="4">
        <v>3.5</v>
      </c>
      <c r="J34" s="4" t="s">
        <v>5714</v>
      </c>
      <c r="K34" s="4" t="s">
        <v>4480</v>
      </c>
      <c r="L34" s="14">
        <v>220</v>
      </c>
      <c r="M34" s="14" t="s">
        <v>4192</v>
      </c>
      <c r="N34" s="14"/>
      <c r="O34" s="110" t="s">
        <v>2612</v>
      </c>
      <c r="P34" s="4"/>
      <c r="Q34" s="8">
        <v>3.5</v>
      </c>
      <c r="R34" s="8" t="s">
        <v>1605</v>
      </c>
      <c r="X34" s="13">
        <v>36.692900000000002</v>
      </c>
      <c r="Y34" s="13">
        <v>-2.6960000000000002</v>
      </c>
      <c r="Z34" s="14">
        <v>4</v>
      </c>
      <c r="AA34" s="107" t="s">
        <v>2615</v>
      </c>
      <c r="AB34" s="8" t="s">
        <v>2614</v>
      </c>
    </row>
    <row r="35" spans="1:28" ht="21.75" customHeight="1" x14ac:dyDescent="0.2">
      <c r="A35" s="7" t="s">
        <v>36</v>
      </c>
      <c r="B35" s="7" t="s">
        <v>37</v>
      </c>
      <c r="C35" s="7" t="s">
        <v>46</v>
      </c>
      <c r="E35" s="7" t="s">
        <v>5733</v>
      </c>
      <c r="F35" s="7" t="s">
        <v>217</v>
      </c>
      <c r="G35" s="7" t="s">
        <v>230</v>
      </c>
      <c r="H35" s="1" t="s">
        <v>38</v>
      </c>
      <c r="I35" s="7">
        <v>5</v>
      </c>
      <c r="J35" s="7" t="s">
        <v>4367</v>
      </c>
      <c r="K35" s="7" t="s">
        <v>5713</v>
      </c>
      <c r="L35" s="6">
        <v>40</v>
      </c>
      <c r="M35" s="6" t="s">
        <v>2267</v>
      </c>
      <c r="N35" s="6">
        <v>2600</v>
      </c>
      <c r="O35" s="45" t="s">
        <v>51</v>
      </c>
      <c r="P35" s="2" t="s">
        <v>45</v>
      </c>
      <c r="R35" s="7" t="s">
        <v>50</v>
      </c>
      <c r="X35" s="5">
        <v>37.019599999999997</v>
      </c>
      <c r="Y35" s="5">
        <v>80.703100000000006</v>
      </c>
      <c r="Z35" s="6">
        <v>1358</v>
      </c>
      <c r="AA35" s="134" t="s">
        <v>47</v>
      </c>
      <c r="AB35" s="7" t="s">
        <v>30</v>
      </c>
    </row>
    <row r="36" spans="1:28" ht="21.75" customHeight="1" x14ac:dyDescent="0.2">
      <c r="A36" s="7" t="s">
        <v>36</v>
      </c>
      <c r="B36" s="7" t="s">
        <v>37</v>
      </c>
      <c r="C36" s="7" t="s">
        <v>46</v>
      </c>
      <c r="E36" s="7" t="s">
        <v>280</v>
      </c>
      <c r="F36" s="7" t="s">
        <v>213</v>
      </c>
      <c r="G36" s="7" t="s">
        <v>39</v>
      </c>
      <c r="H36" s="1" t="s">
        <v>40</v>
      </c>
      <c r="I36" s="7">
        <v>2</v>
      </c>
      <c r="J36" s="7" t="s">
        <v>4367</v>
      </c>
      <c r="K36" s="7" t="s">
        <v>5713</v>
      </c>
      <c r="L36" s="6">
        <v>40</v>
      </c>
      <c r="M36" s="6" t="s">
        <v>2267</v>
      </c>
      <c r="N36" s="6">
        <v>2600</v>
      </c>
      <c r="O36" s="45" t="s">
        <v>48</v>
      </c>
      <c r="P36" s="2" t="s">
        <v>49</v>
      </c>
      <c r="R36" s="7" t="s">
        <v>50</v>
      </c>
      <c r="X36" s="5">
        <v>37.022399999999998</v>
      </c>
      <c r="Y36" s="5">
        <v>80.705200000000005</v>
      </c>
      <c r="Z36" s="6">
        <v>1353</v>
      </c>
      <c r="AA36" s="136"/>
      <c r="AB36" s="7" t="s">
        <v>30</v>
      </c>
    </row>
    <row r="37" spans="1:28" ht="21.75" customHeight="1" x14ac:dyDescent="0.2">
      <c r="A37" s="7" t="s">
        <v>36</v>
      </c>
      <c r="B37" s="7" t="s">
        <v>37</v>
      </c>
      <c r="C37" s="7" t="s">
        <v>46</v>
      </c>
      <c r="E37" s="7" t="s">
        <v>280</v>
      </c>
      <c r="F37" s="7" t="s">
        <v>212</v>
      </c>
      <c r="G37" s="7" t="s">
        <v>229</v>
      </c>
      <c r="H37" s="1" t="s">
        <v>41</v>
      </c>
      <c r="I37" s="7">
        <v>4</v>
      </c>
      <c r="J37" s="7" t="s">
        <v>4367</v>
      </c>
      <c r="K37" s="7" t="s">
        <v>5713</v>
      </c>
      <c r="L37" s="6">
        <v>40</v>
      </c>
      <c r="M37" s="6" t="s">
        <v>2267</v>
      </c>
      <c r="N37" s="6">
        <v>2600</v>
      </c>
      <c r="O37" s="45" t="s">
        <v>51</v>
      </c>
      <c r="Q37" s="7">
        <v>4.5999999999999996</v>
      </c>
      <c r="R37" s="7" t="s">
        <v>50</v>
      </c>
      <c r="X37" s="5">
        <v>37.021700000000003</v>
      </c>
      <c r="Y37" s="5">
        <v>80.702100000000002</v>
      </c>
      <c r="Z37" s="6">
        <v>1356</v>
      </c>
      <c r="AA37" s="136"/>
      <c r="AB37" s="7" t="s">
        <v>30</v>
      </c>
    </row>
    <row r="38" spans="1:28" ht="21.75" customHeight="1" x14ac:dyDescent="0.2">
      <c r="A38" s="7" t="s">
        <v>36</v>
      </c>
      <c r="B38" s="7" t="s">
        <v>37</v>
      </c>
      <c r="C38" s="7" t="s">
        <v>46</v>
      </c>
      <c r="E38" s="7" t="s">
        <v>735</v>
      </c>
      <c r="F38" s="7" t="s">
        <v>214</v>
      </c>
      <c r="H38" s="1" t="s">
        <v>42</v>
      </c>
      <c r="I38" s="7">
        <v>7</v>
      </c>
      <c r="J38" s="7" t="s">
        <v>4367</v>
      </c>
      <c r="K38" s="7" t="s">
        <v>5713</v>
      </c>
      <c r="L38" s="6">
        <v>40</v>
      </c>
      <c r="M38" s="6" t="s">
        <v>2267</v>
      </c>
      <c r="N38" s="6">
        <v>2600</v>
      </c>
      <c r="O38" s="45" t="s">
        <v>51</v>
      </c>
      <c r="P38" s="2" t="s">
        <v>45</v>
      </c>
      <c r="R38" s="7" t="s">
        <v>50</v>
      </c>
      <c r="X38" s="5">
        <v>37.023099999999999</v>
      </c>
      <c r="Y38" s="5">
        <v>80.698800000000006</v>
      </c>
      <c r="Z38" s="6">
        <v>1358</v>
      </c>
      <c r="AA38" s="135"/>
      <c r="AB38" s="7" t="s">
        <v>30</v>
      </c>
    </row>
    <row r="39" spans="1:28" s="8" customFormat="1" ht="21.75" customHeight="1" x14ac:dyDescent="0.2">
      <c r="A39" s="8" t="s">
        <v>5601</v>
      </c>
      <c r="B39" s="8" t="s">
        <v>5603</v>
      </c>
      <c r="C39" s="8" t="s">
        <v>1839</v>
      </c>
      <c r="D39" s="8" t="s">
        <v>5604</v>
      </c>
      <c r="E39" s="8" t="s">
        <v>398</v>
      </c>
      <c r="F39" s="8" t="s">
        <v>5602</v>
      </c>
      <c r="G39" s="8" t="s">
        <v>2861</v>
      </c>
      <c r="H39" s="3" t="s">
        <v>3061</v>
      </c>
      <c r="I39" s="8">
        <v>1.5</v>
      </c>
      <c r="J39" s="8" t="s">
        <v>5611</v>
      </c>
      <c r="K39" s="8" t="s">
        <v>4410</v>
      </c>
      <c r="L39" s="14"/>
      <c r="M39" s="14"/>
      <c r="N39" s="14"/>
      <c r="O39" s="110" t="s">
        <v>5610</v>
      </c>
      <c r="P39" s="4"/>
      <c r="R39" s="8" t="s">
        <v>5607</v>
      </c>
      <c r="W39" s="8" t="s">
        <v>5606</v>
      </c>
      <c r="X39" s="13">
        <v>35.874699999999997</v>
      </c>
      <c r="Y39" s="13">
        <v>-76.655500000000004</v>
      </c>
      <c r="Z39" s="14">
        <v>5</v>
      </c>
      <c r="AA39" s="132" t="s">
        <v>5613</v>
      </c>
      <c r="AB39" s="132" t="s">
        <v>5612</v>
      </c>
    </row>
    <row r="40" spans="1:28" s="8" customFormat="1" ht="21.75" customHeight="1" x14ac:dyDescent="0.2">
      <c r="A40" s="8" t="s">
        <v>5601</v>
      </c>
      <c r="B40" s="8" t="s">
        <v>5603</v>
      </c>
      <c r="C40" s="8" t="s">
        <v>1839</v>
      </c>
      <c r="D40" s="8" t="s">
        <v>5614</v>
      </c>
      <c r="E40" s="8" t="s">
        <v>398</v>
      </c>
      <c r="F40" s="8" t="s">
        <v>5602</v>
      </c>
      <c r="G40" s="8" t="s">
        <v>2861</v>
      </c>
      <c r="H40" s="3" t="s">
        <v>3061</v>
      </c>
      <c r="I40" s="8">
        <v>1.5</v>
      </c>
      <c r="J40" s="8" t="s">
        <v>5611</v>
      </c>
      <c r="K40" s="8" t="s">
        <v>4410</v>
      </c>
      <c r="L40" s="14"/>
      <c r="M40" s="14"/>
      <c r="N40" s="14"/>
      <c r="O40" s="110" t="s">
        <v>5610</v>
      </c>
      <c r="P40" s="4"/>
      <c r="R40" s="8" t="s">
        <v>5608</v>
      </c>
      <c r="W40" s="8" t="s">
        <v>5606</v>
      </c>
      <c r="X40" s="13">
        <v>35.894100000000002</v>
      </c>
      <c r="Y40" s="13">
        <v>-77.680099999999996</v>
      </c>
      <c r="Z40" s="14">
        <v>29</v>
      </c>
      <c r="AA40" s="137"/>
      <c r="AB40" s="137"/>
    </row>
    <row r="41" spans="1:28" s="8" customFormat="1" ht="21.75" customHeight="1" x14ac:dyDescent="0.2">
      <c r="A41" s="8" t="s">
        <v>5601</v>
      </c>
      <c r="B41" s="8" t="s">
        <v>5603</v>
      </c>
      <c r="C41" s="8" t="s">
        <v>1839</v>
      </c>
      <c r="D41" s="8" t="s">
        <v>5605</v>
      </c>
      <c r="E41" s="8" t="s">
        <v>398</v>
      </c>
      <c r="F41" s="8" t="s">
        <v>5602</v>
      </c>
      <c r="G41" s="8" t="s">
        <v>2861</v>
      </c>
      <c r="H41" s="3" t="s">
        <v>3061</v>
      </c>
      <c r="I41" s="8">
        <v>1.5</v>
      </c>
      <c r="J41" s="8" t="s">
        <v>5611</v>
      </c>
      <c r="K41" s="8" t="s">
        <v>4410</v>
      </c>
      <c r="L41" s="14"/>
      <c r="M41" s="14"/>
      <c r="N41" s="14"/>
      <c r="O41" s="110" t="s">
        <v>5609</v>
      </c>
      <c r="P41" s="4"/>
      <c r="R41" s="8" t="s">
        <v>3083</v>
      </c>
      <c r="X41" s="13">
        <v>35.699199999999998</v>
      </c>
      <c r="Y41" s="13">
        <v>-80.620099999999994</v>
      </c>
      <c r="Z41" s="14">
        <v>223</v>
      </c>
      <c r="AA41" s="133"/>
      <c r="AB41" s="133"/>
    </row>
    <row r="42" spans="1:28" ht="21.75" customHeight="1" x14ac:dyDescent="0.2">
      <c r="A42" s="7" t="s">
        <v>2583</v>
      </c>
      <c r="B42" s="7" t="s">
        <v>2584</v>
      </c>
      <c r="C42" s="7" t="s">
        <v>2586</v>
      </c>
      <c r="D42" s="7" t="s">
        <v>2587</v>
      </c>
      <c r="E42" s="7" t="s">
        <v>33</v>
      </c>
      <c r="F42" s="7" t="s">
        <v>2529</v>
      </c>
      <c r="G42" s="7" t="s">
        <v>2598</v>
      </c>
      <c r="H42" s="1" t="s">
        <v>2597</v>
      </c>
      <c r="I42" s="7">
        <v>0.35</v>
      </c>
      <c r="J42" s="7" t="s">
        <v>4746</v>
      </c>
      <c r="K42" s="7" t="s">
        <v>4480</v>
      </c>
      <c r="L42" s="6">
        <v>350</v>
      </c>
      <c r="M42" s="6" t="s">
        <v>2604</v>
      </c>
      <c r="N42" s="6">
        <v>1240</v>
      </c>
      <c r="O42" s="45" t="s">
        <v>2590</v>
      </c>
      <c r="R42" s="7" t="s">
        <v>2595</v>
      </c>
      <c r="S42" s="7" t="s">
        <v>2593</v>
      </c>
      <c r="T42" s="7" t="s">
        <v>982</v>
      </c>
      <c r="X42" s="5">
        <v>41.631500000000003</v>
      </c>
      <c r="Y42" s="5">
        <v>0.15679999999999999</v>
      </c>
      <c r="Z42" s="6">
        <v>277</v>
      </c>
      <c r="AA42" s="73"/>
      <c r="AB42" s="139" t="s">
        <v>2603</v>
      </c>
    </row>
    <row r="43" spans="1:28" ht="21.75" customHeight="1" x14ac:dyDescent="0.2">
      <c r="A43" s="7" t="s">
        <v>2583</v>
      </c>
      <c r="B43" s="7" t="s">
        <v>2584</v>
      </c>
      <c r="C43" s="7" t="s">
        <v>2586</v>
      </c>
      <c r="D43" s="7" t="s">
        <v>2588</v>
      </c>
      <c r="E43" s="7" t="s">
        <v>398</v>
      </c>
      <c r="F43" s="7" t="s">
        <v>2600</v>
      </c>
      <c r="H43" s="1" t="s">
        <v>2599</v>
      </c>
      <c r="I43" s="7">
        <v>0.35</v>
      </c>
      <c r="J43" s="7" t="s">
        <v>4746</v>
      </c>
      <c r="K43" s="7" t="s">
        <v>4480</v>
      </c>
      <c r="L43" s="6">
        <v>350</v>
      </c>
      <c r="M43" s="6" t="s">
        <v>2604</v>
      </c>
      <c r="N43" s="6">
        <v>1240</v>
      </c>
      <c r="O43" s="45" t="s">
        <v>2591</v>
      </c>
      <c r="R43" s="7" t="s">
        <v>2595</v>
      </c>
      <c r="S43" s="7" t="s">
        <v>2594</v>
      </c>
      <c r="T43" s="7">
        <v>0.5</v>
      </c>
      <c r="X43" s="5">
        <v>41.631399999999999</v>
      </c>
      <c r="Y43" s="5">
        <v>0.14630000000000001</v>
      </c>
      <c r="Z43" s="6">
        <v>271</v>
      </c>
      <c r="AA43" s="73"/>
      <c r="AB43" s="139"/>
    </row>
    <row r="44" spans="1:28" ht="21.75" customHeight="1" x14ac:dyDescent="0.2">
      <c r="A44" s="7" t="s">
        <v>2583</v>
      </c>
      <c r="B44" s="7" t="s">
        <v>2584</v>
      </c>
      <c r="C44" s="7" t="s">
        <v>2586</v>
      </c>
      <c r="D44" s="7" t="s">
        <v>2589</v>
      </c>
      <c r="E44" s="7" t="s">
        <v>398</v>
      </c>
      <c r="F44" s="7" t="s">
        <v>2601</v>
      </c>
      <c r="H44" s="1" t="s">
        <v>2602</v>
      </c>
      <c r="I44" s="7" t="s">
        <v>2585</v>
      </c>
      <c r="J44" s="7" t="s">
        <v>4746</v>
      </c>
      <c r="K44" s="7" t="s">
        <v>4480</v>
      </c>
      <c r="L44" s="6">
        <v>350</v>
      </c>
      <c r="M44" s="6" t="s">
        <v>2604</v>
      </c>
      <c r="N44" s="6">
        <v>1240</v>
      </c>
      <c r="O44" s="45" t="s">
        <v>2592</v>
      </c>
      <c r="R44" s="7" t="s">
        <v>2596</v>
      </c>
      <c r="X44" s="5">
        <v>41.636099999999999</v>
      </c>
      <c r="Y44" s="5">
        <v>0.13569999999999999</v>
      </c>
      <c r="Z44" s="6">
        <v>251</v>
      </c>
      <c r="AA44" s="73"/>
      <c r="AB44" s="139"/>
    </row>
    <row r="45" spans="1:28" s="8" customFormat="1" ht="21.75" customHeight="1" x14ac:dyDescent="0.2">
      <c r="A45" s="8" t="s">
        <v>6438</v>
      </c>
      <c r="B45" s="8" t="s">
        <v>6435</v>
      </c>
      <c r="C45" s="8" t="s">
        <v>466</v>
      </c>
      <c r="D45" s="8" t="s">
        <v>6426</v>
      </c>
      <c r="E45" s="8" t="s">
        <v>398</v>
      </c>
      <c r="F45" s="8" t="s">
        <v>214</v>
      </c>
      <c r="G45" s="8" t="s">
        <v>6419</v>
      </c>
      <c r="H45" s="3" t="s">
        <v>6399</v>
      </c>
      <c r="I45" s="8">
        <v>9.1999999999999993</v>
      </c>
      <c r="J45" s="8" t="s">
        <v>4367</v>
      </c>
      <c r="K45" s="8" t="s">
        <v>5713</v>
      </c>
      <c r="L45" s="14" t="s">
        <v>6433</v>
      </c>
      <c r="M45" s="14" t="s">
        <v>6434</v>
      </c>
      <c r="N45" s="14"/>
      <c r="O45" s="110"/>
      <c r="P45" s="4"/>
      <c r="Q45" s="8">
        <v>9</v>
      </c>
      <c r="R45" s="8" t="s">
        <v>6400</v>
      </c>
      <c r="X45" s="8">
        <v>45.0655</v>
      </c>
      <c r="Y45" s="8">
        <v>68.1023</v>
      </c>
      <c r="Z45" s="8">
        <v>145</v>
      </c>
      <c r="AA45" s="19" t="s">
        <v>6404</v>
      </c>
      <c r="AB45" s="8" t="s">
        <v>6437</v>
      </c>
    </row>
    <row r="46" spans="1:28" s="8" customFormat="1" ht="21.75" customHeight="1" x14ac:dyDescent="0.2">
      <c r="A46" s="8" t="s">
        <v>6438</v>
      </c>
      <c r="B46" s="8" t="s">
        <v>6435</v>
      </c>
      <c r="C46" s="8" t="s">
        <v>466</v>
      </c>
      <c r="D46" s="8" t="s">
        <v>6426</v>
      </c>
      <c r="E46" s="8" t="s">
        <v>398</v>
      </c>
      <c r="F46" s="8" t="s">
        <v>214</v>
      </c>
      <c r="G46" s="8" t="s">
        <v>6419</v>
      </c>
      <c r="H46" s="3" t="s">
        <v>6399</v>
      </c>
      <c r="I46" s="8">
        <v>6.1</v>
      </c>
      <c r="J46" s="8" t="s">
        <v>4367</v>
      </c>
      <c r="K46" s="8" t="s">
        <v>5713</v>
      </c>
      <c r="L46" s="14" t="s">
        <v>6433</v>
      </c>
      <c r="M46" s="14" t="s">
        <v>6434</v>
      </c>
      <c r="N46" s="14"/>
      <c r="O46" s="110"/>
      <c r="P46" s="4"/>
      <c r="R46" s="8" t="s">
        <v>6401</v>
      </c>
      <c r="X46" s="13">
        <v>45.027799999999999</v>
      </c>
      <c r="Y46" s="13">
        <v>67.424599999999998</v>
      </c>
      <c r="Z46" s="14">
        <v>127</v>
      </c>
      <c r="AA46" s="19"/>
      <c r="AB46" s="8" t="s">
        <v>6427</v>
      </c>
    </row>
    <row r="47" spans="1:28" s="8" customFormat="1" ht="21.75" customHeight="1" x14ac:dyDescent="0.2">
      <c r="A47" s="8" t="s">
        <v>6438</v>
      </c>
      <c r="B47" s="8" t="s">
        <v>6435</v>
      </c>
      <c r="C47" s="8" t="s">
        <v>466</v>
      </c>
      <c r="D47" s="8" t="s">
        <v>6426</v>
      </c>
      <c r="E47" s="8" t="s">
        <v>398</v>
      </c>
      <c r="F47" s="8" t="s">
        <v>214</v>
      </c>
      <c r="G47" s="8" t="s">
        <v>6419</v>
      </c>
      <c r="H47" s="3" t="s">
        <v>6399</v>
      </c>
      <c r="I47" s="8">
        <v>3</v>
      </c>
      <c r="J47" s="8" t="s">
        <v>4367</v>
      </c>
      <c r="K47" s="8" t="s">
        <v>5713</v>
      </c>
      <c r="L47" s="14" t="s">
        <v>6433</v>
      </c>
      <c r="M47" s="14" t="s">
        <v>6434</v>
      </c>
      <c r="N47" s="14"/>
      <c r="O47" s="110"/>
      <c r="P47" s="4"/>
      <c r="R47" s="8" t="s">
        <v>6402</v>
      </c>
      <c r="X47" s="13">
        <v>44.2836</v>
      </c>
      <c r="Y47" s="13">
        <v>69.290700000000001</v>
      </c>
      <c r="Z47" s="14">
        <v>359</v>
      </c>
      <c r="AA47" s="19"/>
      <c r="AB47" s="8" t="s">
        <v>6429</v>
      </c>
    </row>
    <row r="48" spans="1:28" s="8" customFormat="1" ht="21.75" customHeight="1" x14ac:dyDescent="0.2">
      <c r="A48" s="8" t="s">
        <v>6438</v>
      </c>
      <c r="B48" s="8" t="s">
        <v>6435</v>
      </c>
      <c r="C48" s="8" t="s">
        <v>466</v>
      </c>
      <c r="D48" s="8" t="s">
        <v>6426</v>
      </c>
      <c r="E48" s="8" t="s">
        <v>398</v>
      </c>
      <c r="F48" s="8" t="s">
        <v>214</v>
      </c>
      <c r="G48" s="8" t="s">
        <v>6419</v>
      </c>
      <c r="H48" s="3" t="s">
        <v>6399</v>
      </c>
      <c r="I48" s="8">
        <v>3</v>
      </c>
      <c r="J48" s="8" t="s">
        <v>4367</v>
      </c>
      <c r="K48" s="8" t="s">
        <v>5713</v>
      </c>
      <c r="L48" s="14" t="s">
        <v>6433</v>
      </c>
      <c r="M48" s="14" t="s">
        <v>6434</v>
      </c>
      <c r="N48" s="14"/>
      <c r="O48" s="110"/>
      <c r="P48" s="4"/>
      <c r="R48" s="8" t="s">
        <v>6403</v>
      </c>
      <c r="X48" s="8">
        <v>45.1175</v>
      </c>
      <c r="Y48" s="13">
        <v>67.417299999999997</v>
      </c>
      <c r="Z48" s="14">
        <v>125</v>
      </c>
      <c r="AA48" s="19"/>
      <c r="AB48" s="8" t="s">
        <v>6428</v>
      </c>
    </row>
    <row r="49" spans="1:28" s="8" customFormat="1" ht="21.75" customHeight="1" x14ac:dyDescent="0.2">
      <c r="A49" s="8" t="s">
        <v>6438</v>
      </c>
      <c r="B49" s="8" t="s">
        <v>6435</v>
      </c>
      <c r="C49" s="8" t="s">
        <v>466</v>
      </c>
      <c r="D49" s="8" t="s">
        <v>6426</v>
      </c>
      <c r="E49" s="8" t="s">
        <v>5733</v>
      </c>
      <c r="F49" s="8" t="s">
        <v>4943</v>
      </c>
      <c r="G49" s="8" t="s">
        <v>6420</v>
      </c>
      <c r="H49" s="3" t="s">
        <v>6405</v>
      </c>
      <c r="I49" s="8">
        <v>2.9</v>
      </c>
      <c r="J49" s="8" t="s">
        <v>4367</v>
      </c>
      <c r="K49" s="8" t="s">
        <v>5713</v>
      </c>
      <c r="L49" s="14" t="s">
        <v>6433</v>
      </c>
      <c r="M49" s="14" t="s">
        <v>6434</v>
      </c>
      <c r="N49" s="14"/>
      <c r="O49" s="110"/>
      <c r="P49" s="4"/>
      <c r="Q49" s="8">
        <v>6.5</v>
      </c>
      <c r="R49" s="8" t="s">
        <v>6401</v>
      </c>
      <c r="X49" s="13">
        <v>45.042700000000004</v>
      </c>
      <c r="Y49" s="13">
        <v>67.293400000000005</v>
      </c>
      <c r="Z49" s="14">
        <v>124</v>
      </c>
      <c r="AA49" s="132" t="s">
        <v>6406</v>
      </c>
      <c r="AB49" s="132" t="s">
        <v>6427</v>
      </c>
    </row>
    <row r="50" spans="1:28" s="8" customFormat="1" ht="21.75" customHeight="1" x14ac:dyDescent="0.2">
      <c r="A50" s="8" t="s">
        <v>6438</v>
      </c>
      <c r="B50" s="8" t="s">
        <v>6435</v>
      </c>
      <c r="C50" s="8" t="s">
        <v>466</v>
      </c>
      <c r="D50" s="8" t="s">
        <v>6426</v>
      </c>
      <c r="E50" s="8" t="s">
        <v>398</v>
      </c>
      <c r="F50" s="8" t="s">
        <v>806</v>
      </c>
      <c r="H50" s="3" t="s">
        <v>2260</v>
      </c>
      <c r="I50" s="8">
        <v>3.4</v>
      </c>
      <c r="J50" s="8" t="s">
        <v>4367</v>
      </c>
      <c r="K50" s="8" t="s">
        <v>5713</v>
      </c>
      <c r="L50" s="14" t="s">
        <v>6433</v>
      </c>
      <c r="M50" s="14" t="s">
        <v>6434</v>
      </c>
      <c r="N50" s="14"/>
      <c r="O50" s="110"/>
      <c r="P50" s="4"/>
      <c r="Q50" s="8">
        <v>6.5</v>
      </c>
      <c r="R50" s="8" t="s">
        <v>6401</v>
      </c>
      <c r="X50" s="13">
        <v>45.041200000000003</v>
      </c>
      <c r="Y50" s="13">
        <v>67.295500000000004</v>
      </c>
      <c r="Z50" s="14">
        <v>125</v>
      </c>
      <c r="AA50" s="133"/>
      <c r="AB50" s="133"/>
    </row>
    <row r="51" spans="1:28" s="8" customFormat="1" ht="21.75" customHeight="1" x14ac:dyDescent="0.2">
      <c r="A51" s="8" t="s">
        <v>6438</v>
      </c>
      <c r="B51" s="8" t="s">
        <v>6435</v>
      </c>
      <c r="C51" s="8" t="s">
        <v>466</v>
      </c>
      <c r="D51" s="8" t="s">
        <v>6426</v>
      </c>
      <c r="E51" s="8" t="s">
        <v>398</v>
      </c>
      <c r="F51" s="8" t="s">
        <v>6422</v>
      </c>
      <c r="H51" s="3" t="s">
        <v>6407</v>
      </c>
      <c r="I51" s="8">
        <v>0.97</v>
      </c>
      <c r="J51" s="8" t="s">
        <v>4367</v>
      </c>
      <c r="K51" s="8" t="s">
        <v>5713</v>
      </c>
      <c r="L51" s="14" t="s">
        <v>6433</v>
      </c>
      <c r="M51" s="14" t="s">
        <v>6434</v>
      </c>
      <c r="N51" s="14"/>
      <c r="O51" s="110" t="s">
        <v>6421</v>
      </c>
      <c r="P51" s="4"/>
      <c r="R51" s="8" t="s">
        <v>6400</v>
      </c>
      <c r="X51" s="13">
        <v>44.965600000000002</v>
      </c>
      <c r="Y51" s="13">
        <v>68.0852</v>
      </c>
      <c r="Z51" s="14">
        <v>137</v>
      </c>
      <c r="AA51" s="19"/>
      <c r="AB51" s="8" t="s">
        <v>6436</v>
      </c>
    </row>
    <row r="52" spans="1:28" s="8" customFormat="1" ht="21.75" customHeight="1" x14ac:dyDescent="0.2">
      <c r="A52" s="8" t="s">
        <v>6438</v>
      </c>
      <c r="B52" s="8" t="s">
        <v>6435</v>
      </c>
      <c r="C52" s="8" t="s">
        <v>466</v>
      </c>
      <c r="D52" s="8" t="s">
        <v>6426</v>
      </c>
      <c r="E52" s="8" t="s">
        <v>398</v>
      </c>
      <c r="F52" s="8" t="s">
        <v>6423</v>
      </c>
      <c r="H52" s="3" t="s">
        <v>6408</v>
      </c>
      <c r="I52" s="8">
        <v>2</v>
      </c>
      <c r="J52" s="8" t="s">
        <v>4367</v>
      </c>
      <c r="K52" s="8" t="s">
        <v>5713</v>
      </c>
      <c r="L52" s="14" t="s">
        <v>6433</v>
      </c>
      <c r="M52" s="14" t="s">
        <v>6434</v>
      </c>
      <c r="N52" s="14"/>
      <c r="O52" s="110"/>
      <c r="P52" s="4"/>
      <c r="R52" s="8" t="s">
        <v>6409</v>
      </c>
      <c r="X52" s="13">
        <v>46.182299999999998</v>
      </c>
      <c r="Y52" s="13">
        <v>68.711299999999994</v>
      </c>
      <c r="Z52" s="14">
        <v>186</v>
      </c>
      <c r="AA52" s="19"/>
      <c r="AB52" s="8" t="s">
        <v>6437</v>
      </c>
    </row>
    <row r="53" spans="1:28" s="8" customFormat="1" ht="21.75" customHeight="1" x14ac:dyDescent="0.2">
      <c r="A53" s="8" t="s">
        <v>6438</v>
      </c>
      <c r="B53" s="8" t="s">
        <v>6435</v>
      </c>
      <c r="C53" s="8" t="s">
        <v>466</v>
      </c>
      <c r="D53" s="8" t="s">
        <v>6426</v>
      </c>
      <c r="E53" s="8" t="s">
        <v>398</v>
      </c>
      <c r="F53" s="8" t="s">
        <v>6411</v>
      </c>
      <c r="G53" s="8" t="s">
        <v>6424</v>
      </c>
      <c r="H53" s="3" t="s">
        <v>6410</v>
      </c>
      <c r="I53" s="8">
        <v>7.3</v>
      </c>
      <c r="J53" s="8" t="s">
        <v>4367</v>
      </c>
      <c r="K53" s="8" t="s">
        <v>5713</v>
      </c>
      <c r="L53" s="14" t="s">
        <v>6433</v>
      </c>
      <c r="M53" s="14" t="s">
        <v>6434</v>
      </c>
      <c r="N53" s="14"/>
      <c r="O53" s="110"/>
      <c r="P53" s="4"/>
      <c r="R53" s="8" t="s">
        <v>6412</v>
      </c>
      <c r="X53" s="13">
        <v>44.984000000000002</v>
      </c>
      <c r="Y53" s="13">
        <v>68.082899999999995</v>
      </c>
      <c r="Z53" s="14">
        <v>138</v>
      </c>
      <c r="AA53" s="19"/>
      <c r="AB53" s="8" t="s">
        <v>6437</v>
      </c>
    </row>
    <row r="54" spans="1:28" s="8" customFormat="1" ht="21.75" customHeight="1" x14ac:dyDescent="0.2">
      <c r="A54" s="8" t="s">
        <v>6438</v>
      </c>
      <c r="B54" s="8" t="s">
        <v>6435</v>
      </c>
      <c r="C54" s="8" t="s">
        <v>466</v>
      </c>
      <c r="D54" s="8" t="s">
        <v>6426</v>
      </c>
      <c r="E54" s="8" t="s">
        <v>6425</v>
      </c>
      <c r="F54" s="8" t="s">
        <v>1302</v>
      </c>
      <c r="G54" s="8" t="s">
        <v>3095</v>
      </c>
      <c r="H54" s="3" t="s">
        <v>6413</v>
      </c>
      <c r="I54" s="8">
        <v>4.0999999999999996</v>
      </c>
      <c r="J54" s="8" t="s">
        <v>4367</v>
      </c>
      <c r="K54" s="8" t="s">
        <v>5713</v>
      </c>
      <c r="L54" s="14" t="s">
        <v>6433</v>
      </c>
      <c r="M54" s="14" t="s">
        <v>6434</v>
      </c>
      <c r="N54" s="14"/>
      <c r="O54" s="110"/>
      <c r="P54" s="4"/>
      <c r="Q54" s="8">
        <v>4.0999999999999996</v>
      </c>
      <c r="R54" s="8" t="s">
        <v>6414</v>
      </c>
      <c r="S54" s="8" t="s">
        <v>6415</v>
      </c>
      <c r="T54" s="8">
        <v>1.5</v>
      </c>
      <c r="X54" s="13">
        <v>44.947000000000003</v>
      </c>
      <c r="Y54" s="13">
        <v>68.260900000000007</v>
      </c>
      <c r="Z54" s="14">
        <v>146</v>
      </c>
      <c r="AA54" s="132" t="s">
        <v>6418</v>
      </c>
      <c r="AB54" s="29" t="s">
        <v>6431</v>
      </c>
    </row>
    <row r="55" spans="1:28" s="8" customFormat="1" ht="21.75" customHeight="1" x14ac:dyDescent="0.2">
      <c r="A55" s="8" t="s">
        <v>6438</v>
      </c>
      <c r="B55" s="8" t="s">
        <v>6435</v>
      </c>
      <c r="C55" s="8" t="s">
        <v>466</v>
      </c>
      <c r="D55" s="8" t="s">
        <v>6426</v>
      </c>
      <c r="E55" s="8" t="s">
        <v>6425</v>
      </c>
      <c r="F55" s="8" t="s">
        <v>1302</v>
      </c>
      <c r="G55" s="8" t="s">
        <v>3095</v>
      </c>
      <c r="H55" s="3" t="s">
        <v>6413</v>
      </c>
      <c r="I55" s="8">
        <v>10</v>
      </c>
      <c r="J55" s="8" t="s">
        <v>4367</v>
      </c>
      <c r="K55" s="8" t="s">
        <v>5713</v>
      </c>
      <c r="L55" s="14" t="s">
        <v>6433</v>
      </c>
      <c r="M55" s="14" t="s">
        <v>6434</v>
      </c>
      <c r="N55" s="14"/>
      <c r="O55" s="110"/>
      <c r="P55" s="4"/>
      <c r="Q55" s="8">
        <v>10</v>
      </c>
      <c r="R55" s="8" t="s">
        <v>6416</v>
      </c>
      <c r="X55" s="8">
        <v>44.927900000000001</v>
      </c>
      <c r="Y55" s="8">
        <v>68.052400000000006</v>
      </c>
      <c r="Z55" s="8">
        <v>153</v>
      </c>
      <c r="AA55" s="137"/>
      <c r="AB55" s="61" t="s">
        <v>6430</v>
      </c>
    </row>
    <row r="56" spans="1:28" s="8" customFormat="1" ht="21.75" customHeight="1" x14ac:dyDescent="0.2">
      <c r="A56" s="8" t="s">
        <v>6438</v>
      </c>
      <c r="B56" s="8" t="s">
        <v>6435</v>
      </c>
      <c r="C56" s="8" t="s">
        <v>466</v>
      </c>
      <c r="D56" s="8" t="s">
        <v>6426</v>
      </c>
      <c r="E56" s="8" t="s">
        <v>6425</v>
      </c>
      <c r="F56" s="8" t="s">
        <v>1302</v>
      </c>
      <c r="G56" s="8" t="s">
        <v>3095</v>
      </c>
      <c r="H56" s="3" t="s">
        <v>6413</v>
      </c>
      <c r="I56" s="8">
        <v>7.3</v>
      </c>
      <c r="J56" s="8" t="s">
        <v>4367</v>
      </c>
      <c r="K56" s="8" t="s">
        <v>5713</v>
      </c>
      <c r="L56" s="14" t="s">
        <v>6433</v>
      </c>
      <c r="M56" s="14" t="s">
        <v>6434</v>
      </c>
      <c r="N56" s="14"/>
      <c r="O56" s="110"/>
      <c r="P56" s="4"/>
      <c r="Q56" s="8">
        <v>7.3</v>
      </c>
      <c r="R56" s="8" t="s">
        <v>6417</v>
      </c>
      <c r="X56" s="13">
        <v>44.974699999999999</v>
      </c>
      <c r="Y56" s="13">
        <v>68.271299999999997</v>
      </c>
      <c r="Z56" s="14">
        <v>148</v>
      </c>
      <c r="AA56" s="133"/>
      <c r="AB56" s="61" t="s">
        <v>6432</v>
      </c>
    </row>
    <row r="57" spans="1:28" ht="21.75" customHeight="1" x14ac:dyDescent="0.2">
      <c r="A57" s="7" t="s">
        <v>52</v>
      </c>
      <c r="B57" s="7" t="s">
        <v>70</v>
      </c>
      <c r="C57" s="7" t="s">
        <v>91</v>
      </c>
      <c r="D57" s="7" t="s">
        <v>53</v>
      </c>
      <c r="E57" s="7" t="s">
        <v>33</v>
      </c>
      <c r="F57" s="7" t="s">
        <v>212</v>
      </c>
      <c r="G57" s="7" t="s">
        <v>55</v>
      </c>
      <c r="H57" s="1" t="s">
        <v>56</v>
      </c>
      <c r="I57" s="2" t="s">
        <v>64</v>
      </c>
      <c r="J57" s="2" t="s">
        <v>5714</v>
      </c>
      <c r="K57" s="2" t="s">
        <v>4410</v>
      </c>
      <c r="P57" s="7" t="s">
        <v>69</v>
      </c>
      <c r="Q57" s="7">
        <v>1.2</v>
      </c>
      <c r="R57" s="7" t="s">
        <v>92</v>
      </c>
      <c r="T57" s="7">
        <v>0.5</v>
      </c>
      <c r="W57" s="7" t="s">
        <v>94</v>
      </c>
      <c r="X57" s="5">
        <v>44.7211</v>
      </c>
      <c r="Y57" s="5">
        <v>-0.74199999999999999</v>
      </c>
      <c r="Z57" s="6">
        <v>61</v>
      </c>
      <c r="AB57" s="7" t="s">
        <v>71</v>
      </c>
    </row>
    <row r="58" spans="1:28" ht="21.75" customHeight="1" x14ac:dyDescent="0.2">
      <c r="A58" s="7" t="s">
        <v>52</v>
      </c>
      <c r="B58" s="7" t="s">
        <v>70</v>
      </c>
      <c r="C58" s="7" t="s">
        <v>91</v>
      </c>
      <c r="D58" s="7" t="s">
        <v>54</v>
      </c>
      <c r="E58" s="7" t="s">
        <v>33</v>
      </c>
      <c r="F58" s="7" t="s">
        <v>212</v>
      </c>
      <c r="G58" s="7" t="s">
        <v>55</v>
      </c>
      <c r="H58" s="1" t="s">
        <v>56</v>
      </c>
      <c r="I58" s="2" t="s">
        <v>65</v>
      </c>
      <c r="J58" s="2" t="s">
        <v>5714</v>
      </c>
      <c r="K58" s="2" t="s">
        <v>4410</v>
      </c>
      <c r="P58" s="18" t="s">
        <v>68</v>
      </c>
      <c r="Q58" s="7">
        <v>2.9</v>
      </c>
      <c r="R58" s="7" t="s">
        <v>93</v>
      </c>
      <c r="S58" s="7" t="s">
        <v>76</v>
      </c>
      <c r="T58" s="7">
        <v>0.3</v>
      </c>
      <c r="W58" s="7" t="s">
        <v>94</v>
      </c>
      <c r="X58" s="5">
        <v>44.576900000000002</v>
      </c>
      <c r="Y58" s="5">
        <v>-0.81010000000000004</v>
      </c>
      <c r="Z58" s="6">
        <v>66</v>
      </c>
      <c r="AA58" s="134" t="s">
        <v>78</v>
      </c>
      <c r="AB58" s="7" t="s">
        <v>72</v>
      </c>
    </row>
    <row r="59" spans="1:28" ht="21.75" customHeight="1" x14ac:dyDescent="0.2">
      <c r="A59" s="7" t="s">
        <v>52</v>
      </c>
      <c r="B59" s="7" t="s">
        <v>70</v>
      </c>
      <c r="C59" s="7" t="s">
        <v>91</v>
      </c>
      <c r="D59" s="7" t="s">
        <v>53</v>
      </c>
      <c r="E59" s="7" t="s">
        <v>215</v>
      </c>
      <c r="F59" s="7" t="s">
        <v>62</v>
      </c>
      <c r="G59" s="7" t="s">
        <v>57</v>
      </c>
      <c r="H59" s="1" t="s">
        <v>58</v>
      </c>
      <c r="I59" s="2">
        <v>0.8</v>
      </c>
      <c r="J59" s="2" t="s">
        <v>5714</v>
      </c>
      <c r="K59" s="2" t="s">
        <v>4410</v>
      </c>
      <c r="L59" s="6">
        <v>950</v>
      </c>
      <c r="O59" s="45" t="s">
        <v>74</v>
      </c>
      <c r="P59" s="7" t="s">
        <v>67</v>
      </c>
      <c r="Q59" s="7">
        <v>0.7</v>
      </c>
      <c r="R59" s="7" t="s">
        <v>92</v>
      </c>
      <c r="S59" s="7" t="s">
        <v>76</v>
      </c>
      <c r="T59" s="7">
        <v>0.5</v>
      </c>
      <c r="W59" s="7" t="s">
        <v>94</v>
      </c>
      <c r="X59" s="5">
        <v>44.7211</v>
      </c>
      <c r="Y59" s="5">
        <v>-0.74199999999999999</v>
      </c>
      <c r="Z59" s="6">
        <v>61</v>
      </c>
      <c r="AA59" s="135"/>
      <c r="AB59" s="138" t="s">
        <v>73</v>
      </c>
    </row>
    <row r="60" spans="1:28" s="54" customFormat="1" ht="21.75" customHeight="1" x14ac:dyDescent="0.2">
      <c r="A60" s="54" t="s">
        <v>52</v>
      </c>
      <c r="B60" s="54" t="s">
        <v>70</v>
      </c>
      <c r="C60" s="54" t="s">
        <v>91</v>
      </c>
      <c r="D60" s="54" t="s">
        <v>53</v>
      </c>
      <c r="E60" s="54" t="s">
        <v>63</v>
      </c>
      <c r="F60" s="54" t="s">
        <v>217</v>
      </c>
      <c r="G60" s="54" t="s">
        <v>216</v>
      </c>
      <c r="H60" s="55" t="s">
        <v>59</v>
      </c>
      <c r="I60" s="56">
        <v>0.2</v>
      </c>
      <c r="J60" s="56" t="s">
        <v>5714</v>
      </c>
      <c r="K60" s="56" t="s">
        <v>4410</v>
      </c>
      <c r="L60" s="57">
        <v>950</v>
      </c>
      <c r="M60" s="57"/>
      <c r="N60" s="57"/>
      <c r="O60" s="112" t="s">
        <v>74</v>
      </c>
      <c r="P60" s="54" t="s">
        <v>67</v>
      </c>
      <c r="Q60" s="54">
        <v>0.7</v>
      </c>
      <c r="R60" s="54" t="s">
        <v>92</v>
      </c>
      <c r="S60" s="54" t="s">
        <v>76</v>
      </c>
      <c r="T60" s="54">
        <v>0.5</v>
      </c>
      <c r="W60" s="54" t="s">
        <v>94</v>
      </c>
      <c r="X60" s="58">
        <v>44.7211</v>
      </c>
      <c r="Y60" s="58">
        <v>-0.74199999999999999</v>
      </c>
      <c r="Z60" s="57">
        <v>61</v>
      </c>
      <c r="AA60" s="54" t="s">
        <v>79</v>
      </c>
      <c r="AB60" s="138"/>
    </row>
    <row r="61" spans="1:28" s="54" customFormat="1" ht="21.75" customHeight="1" x14ac:dyDescent="0.2">
      <c r="A61" s="54" t="s">
        <v>52</v>
      </c>
      <c r="B61" s="54" t="s">
        <v>70</v>
      </c>
      <c r="C61" s="54" t="s">
        <v>91</v>
      </c>
      <c r="D61" s="54" t="s">
        <v>54</v>
      </c>
      <c r="E61" s="54" t="s">
        <v>63</v>
      </c>
      <c r="F61" s="54" t="s">
        <v>217</v>
      </c>
      <c r="G61" s="54" t="s">
        <v>216</v>
      </c>
      <c r="H61" s="55" t="s">
        <v>59</v>
      </c>
      <c r="I61" s="56">
        <v>1.2</v>
      </c>
      <c r="J61" s="56" t="s">
        <v>5714</v>
      </c>
      <c r="K61" s="56" t="s">
        <v>4410</v>
      </c>
      <c r="L61" s="57">
        <v>950</v>
      </c>
      <c r="M61" s="57"/>
      <c r="N61" s="57"/>
      <c r="O61" s="112" t="s">
        <v>75</v>
      </c>
      <c r="P61" s="54" t="s">
        <v>68</v>
      </c>
      <c r="Q61" s="54">
        <v>1.5</v>
      </c>
      <c r="R61" s="54" t="s">
        <v>93</v>
      </c>
      <c r="S61" s="54" t="s">
        <v>76</v>
      </c>
      <c r="T61" s="54">
        <v>0.3</v>
      </c>
      <c r="W61" s="54" t="s">
        <v>94</v>
      </c>
      <c r="X61" s="58">
        <v>44.576900000000002</v>
      </c>
      <c r="Y61" s="58">
        <v>-0.81010000000000004</v>
      </c>
      <c r="Z61" s="57">
        <v>66</v>
      </c>
      <c r="AA61" s="132" t="s">
        <v>77</v>
      </c>
      <c r="AB61" s="138"/>
    </row>
    <row r="62" spans="1:28" ht="21.75" customHeight="1" x14ac:dyDescent="0.2">
      <c r="A62" s="7" t="s">
        <v>52</v>
      </c>
      <c r="B62" s="7" t="s">
        <v>70</v>
      </c>
      <c r="C62" s="7" t="s">
        <v>91</v>
      </c>
      <c r="D62" s="7" t="s">
        <v>53</v>
      </c>
      <c r="E62" s="7" t="s">
        <v>60</v>
      </c>
      <c r="F62" s="7" t="s">
        <v>214</v>
      </c>
      <c r="G62" s="7" t="s">
        <v>96</v>
      </c>
      <c r="H62" s="1" t="s">
        <v>95</v>
      </c>
      <c r="I62" s="2">
        <v>0.7</v>
      </c>
      <c r="J62" s="2" t="s">
        <v>5714</v>
      </c>
      <c r="K62" s="2" t="s">
        <v>4410</v>
      </c>
      <c r="L62" s="6">
        <v>950</v>
      </c>
      <c r="O62" s="45" t="s">
        <v>74</v>
      </c>
      <c r="P62" s="7" t="s">
        <v>67</v>
      </c>
      <c r="Q62" s="7">
        <v>0.7</v>
      </c>
      <c r="R62" s="7" t="s">
        <v>92</v>
      </c>
      <c r="S62" s="7" t="s">
        <v>76</v>
      </c>
      <c r="T62" s="7">
        <v>0.5</v>
      </c>
      <c r="W62" s="7" t="s">
        <v>94</v>
      </c>
      <c r="X62" s="5">
        <v>44.7211</v>
      </c>
      <c r="Y62" s="5">
        <v>-0.74199999999999999</v>
      </c>
      <c r="Z62" s="6">
        <v>61</v>
      </c>
      <c r="AA62" s="137"/>
      <c r="AB62" s="138"/>
    </row>
    <row r="63" spans="1:28" ht="21.75" customHeight="1" x14ac:dyDescent="0.2">
      <c r="A63" s="7" t="s">
        <v>52</v>
      </c>
      <c r="B63" s="7" t="s">
        <v>70</v>
      </c>
      <c r="C63" s="7" t="s">
        <v>91</v>
      </c>
      <c r="D63" s="7" t="s">
        <v>54</v>
      </c>
      <c r="E63" s="7" t="s">
        <v>60</v>
      </c>
      <c r="F63" s="7" t="s">
        <v>214</v>
      </c>
      <c r="G63" s="7" t="s">
        <v>96</v>
      </c>
      <c r="H63" s="1" t="s">
        <v>95</v>
      </c>
      <c r="I63" s="2">
        <v>1.3</v>
      </c>
      <c r="J63" s="2" t="s">
        <v>5714</v>
      </c>
      <c r="K63" s="2" t="s">
        <v>4410</v>
      </c>
      <c r="L63" s="6">
        <v>950</v>
      </c>
      <c r="O63" s="45" t="s">
        <v>75</v>
      </c>
      <c r="P63" s="7" t="s">
        <v>68</v>
      </c>
      <c r="Q63" s="7">
        <v>1.5</v>
      </c>
      <c r="R63" s="7" t="s">
        <v>93</v>
      </c>
      <c r="S63" s="7" t="s">
        <v>76</v>
      </c>
      <c r="T63" s="7">
        <v>0.3</v>
      </c>
      <c r="W63" s="7" t="s">
        <v>94</v>
      </c>
      <c r="X63" s="5">
        <v>44.576900000000002</v>
      </c>
      <c r="Y63" s="5">
        <v>-0.81010000000000004</v>
      </c>
      <c r="Z63" s="6">
        <v>66</v>
      </c>
      <c r="AA63" s="137"/>
      <c r="AB63" s="7" t="s">
        <v>66</v>
      </c>
    </row>
    <row r="64" spans="1:28" ht="21.75" customHeight="1" x14ac:dyDescent="0.2">
      <c r="A64" s="7" t="s">
        <v>52</v>
      </c>
      <c r="B64" s="7" t="s">
        <v>70</v>
      </c>
      <c r="C64" s="7" t="s">
        <v>91</v>
      </c>
      <c r="D64" s="7" t="s">
        <v>54</v>
      </c>
      <c r="E64" s="7" t="s">
        <v>61</v>
      </c>
      <c r="F64" s="7" t="s">
        <v>214</v>
      </c>
      <c r="G64" s="7" t="s">
        <v>97</v>
      </c>
      <c r="H64" s="1" t="s">
        <v>98</v>
      </c>
      <c r="I64" s="2">
        <v>1.4</v>
      </c>
      <c r="J64" s="2" t="s">
        <v>5714</v>
      </c>
      <c r="K64" s="2" t="s">
        <v>4410</v>
      </c>
      <c r="L64" s="6">
        <v>950</v>
      </c>
      <c r="O64" s="45" t="s">
        <v>75</v>
      </c>
      <c r="P64" s="7" t="s">
        <v>68</v>
      </c>
      <c r="Q64" s="7">
        <v>1.5</v>
      </c>
      <c r="R64" s="7" t="s">
        <v>93</v>
      </c>
      <c r="S64" s="7" t="s">
        <v>76</v>
      </c>
      <c r="T64" s="7">
        <v>0.3</v>
      </c>
      <c r="W64" s="7" t="s">
        <v>94</v>
      </c>
      <c r="X64" s="5">
        <v>44.576900000000002</v>
      </c>
      <c r="Y64" s="5">
        <v>-0.81010000000000004</v>
      </c>
      <c r="Z64" s="6">
        <v>66</v>
      </c>
      <c r="AA64" s="133"/>
      <c r="AB64" s="7" t="s">
        <v>66</v>
      </c>
    </row>
    <row r="65" spans="1:28" s="8" customFormat="1" ht="21.75" customHeight="1" x14ac:dyDescent="0.2">
      <c r="A65" s="8" t="s">
        <v>80</v>
      </c>
      <c r="B65" s="8" t="s">
        <v>81</v>
      </c>
      <c r="C65" s="8" t="s">
        <v>90</v>
      </c>
      <c r="E65" s="8" t="s">
        <v>736</v>
      </c>
      <c r="F65" s="8" t="s">
        <v>212</v>
      </c>
      <c r="G65" s="8" t="s">
        <v>82</v>
      </c>
      <c r="H65" s="3" t="s">
        <v>83</v>
      </c>
      <c r="I65" s="4">
        <f>4*0.3048</f>
        <v>1.2192000000000001</v>
      </c>
      <c r="J65" s="4" t="s">
        <v>4492</v>
      </c>
      <c r="K65" s="4" t="s">
        <v>5713</v>
      </c>
      <c r="L65" s="14">
        <v>748</v>
      </c>
      <c r="M65" s="14"/>
      <c r="N65" s="14"/>
      <c r="O65" s="110"/>
      <c r="P65" s="4"/>
      <c r="R65" s="8" t="s">
        <v>99</v>
      </c>
      <c r="X65" s="13">
        <v>48.738700000000001</v>
      </c>
      <c r="Y65" s="13">
        <v>-86.383099999999999</v>
      </c>
      <c r="Z65" s="14">
        <v>224</v>
      </c>
      <c r="AA65" s="8" t="s">
        <v>100</v>
      </c>
      <c r="AB65" s="8" t="s">
        <v>30</v>
      </c>
    </row>
    <row r="66" spans="1:28" s="8" customFormat="1" ht="21.75" customHeight="1" x14ac:dyDescent="0.2">
      <c r="A66" s="8" t="s">
        <v>80</v>
      </c>
      <c r="B66" s="8" t="s">
        <v>81</v>
      </c>
      <c r="C66" s="8" t="s">
        <v>90</v>
      </c>
      <c r="E66" s="8" t="s">
        <v>33</v>
      </c>
      <c r="F66" s="8" t="s">
        <v>212</v>
      </c>
      <c r="G66" s="8" t="s">
        <v>84</v>
      </c>
      <c r="H66" s="3" t="s">
        <v>85</v>
      </c>
      <c r="I66" s="4">
        <v>0.3</v>
      </c>
      <c r="J66" s="4" t="s">
        <v>4492</v>
      </c>
      <c r="K66" s="4" t="s">
        <v>5713</v>
      </c>
      <c r="L66" s="14">
        <v>748</v>
      </c>
      <c r="M66" s="14"/>
      <c r="N66" s="14"/>
      <c r="O66" s="110"/>
      <c r="P66" s="4"/>
      <c r="R66" s="8" t="s">
        <v>99</v>
      </c>
      <c r="X66" s="13">
        <v>48.7288</v>
      </c>
      <c r="Y66" s="13">
        <v>-86.380600000000001</v>
      </c>
      <c r="Z66" s="14">
        <v>210</v>
      </c>
      <c r="AA66" s="8" t="s">
        <v>101</v>
      </c>
      <c r="AB66" s="8" t="s">
        <v>30</v>
      </c>
    </row>
    <row r="67" spans="1:28" s="8" customFormat="1" ht="21.75" customHeight="1" x14ac:dyDescent="0.2">
      <c r="A67" s="8" t="s">
        <v>80</v>
      </c>
      <c r="B67" s="8" t="s">
        <v>81</v>
      </c>
      <c r="C67" s="8" t="s">
        <v>90</v>
      </c>
      <c r="E67" s="8" t="s">
        <v>33</v>
      </c>
      <c r="F67" s="8" t="s">
        <v>212</v>
      </c>
      <c r="G67" s="8" t="s">
        <v>86</v>
      </c>
      <c r="H67" s="3" t="s">
        <v>87</v>
      </c>
      <c r="I67" s="4">
        <f>4.5*0.3048</f>
        <v>1.3716000000000002</v>
      </c>
      <c r="J67" s="4" t="s">
        <v>4492</v>
      </c>
      <c r="K67" s="4" t="s">
        <v>5713</v>
      </c>
      <c r="L67" s="14">
        <v>748</v>
      </c>
      <c r="M67" s="14"/>
      <c r="N67" s="14"/>
      <c r="O67" s="110"/>
      <c r="P67" s="4"/>
      <c r="R67" s="8" t="s">
        <v>99</v>
      </c>
      <c r="X67" s="13">
        <v>48.732700000000001</v>
      </c>
      <c r="Y67" s="13">
        <v>-86.371099999999998</v>
      </c>
      <c r="Z67" s="14">
        <v>243</v>
      </c>
      <c r="AA67" s="8" t="s">
        <v>102</v>
      </c>
      <c r="AB67" s="8" t="s">
        <v>30</v>
      </c>
    </row>
    <row r="68" spans="1:28" s="8" customFormat="1" ht="21.75" customHeight="1" x14ac:dyDescent="0.2">
      <c r="A68" s="8" t="s">
        <v>80</v>
      </c>
      <c r="B68" s="8" t="s">
        <v>81</v>
      </c>
      <c r="C68" s="8" t="s">
        <v>90</v>
      </c>
      <c r="E68" s="8" t="s">
        <v>33</v>
      </c>
      <c r="F68" s="8" t="s">
        <v>212</v>
      </c>
      <c r="G68" s="8" t="s">
        <v>88</v>
      </c>
      <c r="H68" s="3" t="s">
        <v>89</v>
      </c>
      <c r="I68" s="4">
        <f>5*0.3048</f>
        <v>1.524</v>
      </c>
      <c r="J68" s="4" t="s">
        <v>4492</v>
      </c>
      <c r="K68" s="4" t="s">
        <v>5713</v>
      </c>
      <c r="L68" s="14">
        <v>748</v>
      </c>
      <c r="M68" s="14"/>
      <c r="N68" s="14"/>
      <c r="O68" s="110"/>
      <c r="P68" s="4"/>
      <c r="R68" s="8" t="s">
        <v>99</v>
      </c>
      <c r="X68" s="13">
        <v>48.727600000000002</v>
      </c>
      <c r="Y68" s="13">
        <v>-86.366600000000005</v>
      </c>
      <c r="Z68" s="14">
        <v>242</v>
      </c>
      <c r="AA68" s="8" t="s">
        <v>103</v>
      </c>
      <c r="AB68" s="8" t="s">
        <v>30</v>
      </c>
    </row>
    <row r="69" spans="1:28" ht="21.75" customHeight="1" x14ac:dyDescent="0.2">
      <c r="A69" s="7" t="s">
        <v>5970</v>
      </c>
      <c r="B69" s="7" t="s">
        <v>5972</v>
      </c>
      <c r="C69" s="7" t="s">
        <v>5971</v>
      </c>
      <c r="E69" s="7" t="s">
        <v>263</v>
      </c>
      <c r="F69" s="7" t="s">
        <v>1302</v>
      </c>
      <c r="H69" s="1" t="s">
        <v>5974</v>
      </c>
      <c r="I69" s="2">
        <v>0.3</v>
      </c>
      <c r="J69" s="2" t="s">
        <v>4367</v>
      </c>
      <c r="K69" s="2" t="s">
        <v>4480</v>
      </c>
      <c r="L69" s="6" t="s">
        <v>5979</v>
      </c>
      <c r="O69" s="45" t="s">
        <v>5973</v>
      </c>
      <c r="R69" s="7" t="s">
        <v>6885</v>
      </c>
      <c r="X69" s="5">
        <v>4.6585000000000001</v>
      </c>
      <c r="Y69" s="5">
        <v>114.5193</v>
      </c>
      <c r="Z69" s="6">
        <v>60</v>
      </c>
      <c r="AA69" s="134" t="s">
        <v>5980</v>
      </c>
      <c r="AB69" s="134" t="s">
        <v>5981</v>
      </c>
    </row>
    <row r="70" spans="1:28" ht="21.75" customHeight="1" x14ac:dyDescent="0.2">
      <c r="A70" s="7" t="s">
        <v>5970</v>
      </c>
      <c r="B70" s="7" t="s">
        <v>5972</v>
      </c>
      <c r="C70" s="7" t="s">
        <v>5971</v>
      </c>
      <c r="E70" s="7" t="s">
        <v>263</v>
      </c>
      <c r="F70" s="7" t="s">
        <v>1302</v>
      </c>
      <c r="H70" s="1" t="s">
        <v>5975</v>
      </c>
      <c r="I70" s="2">
        <v>0.2</v>
      </c>
      <c r="J70" s="2" t="s">
        <v>4367</v>
      </c>
      <c r="K70" s="2" t="s">
        <v>4480</v>
      </c>
      <c r="L70" s="6" t="s">
        <v>5979</v>
      </c>
      <c r="O70" s="45" t="s">
        <v>5973</v>
      </c>
      <c r="R70" s="7" t="s">
        <v>6885</v>
      </c>
      <c r="X70" s="5">
        <v>4.6585000000000001</v>
      </c>
      <c r="Y70" s="5">
        <v>114.5193</v>
      </c>
      <c r="Z70" s="6">
        <v>60</v>
      </c>
      <c r="AA70" s="136"/>
      <c r="AB70" s="136"/>
    </row>
    <row r="71" spans="1:28" ht="21.75" customHeight="1" x14ac:dyDescent="0.2">
      <c r="A71" s="7" t="s">
        <v>5970</v>
      </c>
      <c r="B71" s="7" t="s">
        <v>5972</v>
      </c>
      <c r="C71" s="7" t="s">
        <v>5971</v>
      </c>
      <c r="E71" s="7" t="s">
        <v>263</v>
      </c>
      <c r="F71" s="7" t="s">
        <v>1302</v>
      </c>
      <c r="H71" s="1" t="s">
        <v>5976</v>
      </c>
      <c r="I71" s="2">
        <v>1.8</v>
      </c>
      <c r="J71" s="2" t="s">
        <v>4367</v>
      </c>
      <c r="K71" s="2" t="s">
        <v>4480</v>
      </c>
      <c r="L71" s="6" t="s">
        <v>5979</v>
      </c>
      <c r="O71" s="45" t="s">
        <v>5973</v>
      </c>
      <c r="R71" s="7" t="s">
        <v>6885</v>
      </c>
      <c r="X71" s="5">
        <v>4.6585000000000001</v>
      </c>
      <c r="Y71" s="5">
        <v>114.5193</v>
      </c>
      <c r="Z71" s="6">
        <v>60</v>
      </c>
      <c r="AA71" s="136"/>
      <c r="AB71" s="136"/>
    </row>
    <row r="72" spans="1:28" ht="21.75" customHeight="1" x14ac:dyDescent="0.2">
      <c r="A72" s="7" t="s">
        <v>5970</v>
      </c>
      <c r="B72" s="7" t="s">
        <v>5972</v>
      </c>
      <c r="C72" s="7" t="s">
        <v>5971</v>
      </c>
      <c r="E72" s="7" t="s">
        <v>263</v>
      </c>
      <c r="F72" s="7" t="s">
        <v>1302</v>
      </c>
      <c r="H72" s="1" t="s">
        <v>5977</v>
      </c>
      <c r="I72" s="2">
        <v>1.5</v>
      </c>
      <c r="J72" s="2" t="s">
        <v>4367</v>
      </c>
      <c r="K72" s="2" t="s">
        <v>4480</v>
      </c>
      <c r="L72" s="6" t="s">
        <v>5979</v>
      </c>
      <c r="O72" s="45" t="s">
        <v>5973</v>
      </c>
      <c r="R72" s="7" t="s">
        <v>6885</v>
      </c>
      <c r="X72" s="5">
        <v>4.6585000000000001</v>
      </c>
      <c r="Y72" s="5">
        <v>114.5193</v>
      </c>
      <c r="Z72" s="6">
        <v>60</v>
      </c>
      <c r="AA72" s="136"/>
      <c r="AB72" s="136"/>
    </row>
    <row r="73" spans="1:28" ht="21.75" customHeight="1" x14ac:dyDescent="0.2">
      <c r="A73" s="7" t="s">
        <v>5970</v>
      </c>
      <c r="B73" s="7" t="s">
        <v>5972</v>
      </c>
      <c r="C73" s="7" t="s">
        <v>5971</v>
      </c>
      <c r="E73" s="7" t="s">
        <v>263</v>
      </c>
      <c r="F73" s="7" t="s">
        <v>214</v>
      </c>
      <c r="H73" s="1" t="s">
        <v>5978</v>
      </c>
      <c r="I73" s="2">
        <v>1.1000000000000001</v>
      </c>
      <c r="J73" s="2" t="s">
        <v>4367</v>
      </c>
      <c r="K73" s="2" t="s">
        <v>4480</v>
      </c>
      <c r="L73" s="6" t="s">
        <v>5979</v>
      </c>
      <c r="O73" s="45" t="s">
        <v>5973</v>
      </c>
      <c r="R73" s="7" t="s">
        <v>6885</v>
      </c>
      <c r="X73" s="5">
        <v>4.6585000000000001</v>
      </c>
      <c r="Y73" s="5">
        <v>114.5193</v>
      </c>
      <c r="Z73" s="6">
        <v>60</v>
      </c>
      <c r="AA73" s="135"/>
      <c r="AB73" s="135"/>
    </row>
    <row r="74" spans="1:28" s="8" customFormat="1" ht="21.75" customHeight="1" x14ac:dyDescent="0.2">
      <c r="A74" s="8" t="s">
        <v>6919</v>
      </c>
      <c r="B74" s="8" t="s">
        <v>6920</v>
      </c>
      <c r="C74" s="8" t="s">
        <v>6921</v>
      </c>
      <c r="D74" s="8" t="s">
        <v>6926</v>
      </c>
      <c r="E74" s="8" t="s">
        <v>263</v>
      </c>
      <c r="F74" s="8" t="s">
        <v>212</v>
      </c>
      <c r="H74" s="3"/>
      <c r="I74" s="4">
        <v>1.1000000000000001</v>
      </c>
      <c r="J74" s="4" t="s">
        <v>5789</v>
      </c>
      <c r="K74" s="4" t="s">
        <v>4410</v>
      </c>
      <c r="L74" s="14">
        <v>2700</v>
      </c>
      <c r="M74" s="14" t="s">
        <v>6922</v>
      </c>
      <c r="N74" s="14"/>
      <c r="O74" s="110"/>
      <c r="P74" s="4"/>
      <c r="R74" s="8" t="s">
        <v>6923</v>
      </c>
      <c r="W74" s="8" t="s">
        <v>6924</v>
      </c>
      <c r="X74" s="13">
        <v>9.8798999999999992</v>
      </c>
      <c r="Y74" s="13">
        <v>-83.666200000000003</v>
      </c>
      <c r="Z74" s="14">
        <v>650</v>
      </c>
      <c r="AA74" s="19" t="s">
        <v>6927</v>
      </c>
      <c r="AB74" s="19" t="s">
        <v>6925</v>
      </c>
    </row>
    <row r="75" spans="1:28" ht="21.75" customHeight="1" x14ac:dyDescent="0.2">
      <c r="A75" s="7" t="s">
        <v>859</v>
      </c>
      <c r="B75" s="7" t="s">
        <v>860</v>
      </c>
      <c r="C75" s="7" t="s">
        <v>861</v>
      </c>
      <c r="D75" s="7" t="s">
        <v>891</v>
      </c>
      <c r="E75" s="7" t="s">
        <v>33</v>
      </c>
      <c r="F75" s="7" t="s">
        <v>212</v>
      </c>
      <c r="G75" s="7" t="s">
        <v>122</v>
      </c>
      <c r="H75" s="1" t="s">
        <v>142</v>
      </c>
      <c r="I75" s="2">
        <v>1.22</v>
      </c>
      <c r="J75" s="2" t="s">
        <v>4492</v>
      </c>
      <c r="K75" s="2" t="s">
        <v>5713</v>
      </c>
      <c r="O75" s="45" t="s">
        <v>876</v>
      </c>
      <c r="R75" s="7" t="s">
        <v>877</v>
      </c>
      <c r="U75" s="7" t="s">
        <v>878</v>
      </c>
      <c r="V75" s="7">
        <v>1.22</v>
      </c>
      <c r="X75" s="5">
        <v>39.1158</v>
      </c>
      <c r="Y75" s="5">
        <v>-105.0367</v>
      </c>
      <c r="Z75" s="6">
        <v>2835</v>
      </c>
      <c r="AA75" s="7" t="s">
        <v>880</v>
      </c>
      <c r="AB75" s="7" t="s">
        <v>916</v>
      </c>
    </row>
    <row r="76" spans="1:28" ht="21.75" customHeight="1" x14ac:dyDescent="0.2">
      <c r="A76" s="7" t="s">
        <v>859</v>
      </c>
      <c r="B76" s="7" t="s">
        <v>860</v>
      </c>
      <c r="C76" s="7" t="s">
        <v>861</v>
      </c>
      <c r="D76" s="7" t="s">
        <v>915</v>
      </c>
      <c r="E76" s="7" t="s">
        <v>33</v>
      </c>
      <c r="F76" s="7" t="s">
        <v>212</v>
      </c>
      <c r="G76" s="7" t="s">
        <v>863</v>
      </c>
      <c r="H76" s="1" t="s">
        <v>862</v>
      </c>
      <c r="I76" s="2">
        <v>1.52</v>
      </c>
      <c r="J76" s="2" t="s">
        <v>4492</v>
      </c>
      <c r="K76" s="2" t="s">
        <v>5713</v>
      </c>
      <c r="O76" s="45" t="s">
        <v>879</v>
      </c>
      <c r="R76" s="7" t="s">
        <v>877</v>
      </c>
      <c r="U76" s="7" t="s">
        <v>878</v>
      </c>
      <c r="V76" s="7" t="s">
        <v>882</v>
      </c>
      <c r="X76" s="5">
        <v>39.118899999999996</v>
      </c>
      <c r="Y76" s="5">
        <v>-105.0604</v>
      </c>
      <c r="Z76" s="6">
        <v>2560</v>
      </c>
      <c r="AA76" s="7" t="s">
        <v>881</v>
      </c>
      <c r="AB76" s="7" t="s">
        <v>916</v>
      </c>
    </row>
    <row r="77" spans="1:28" ht="21.75" customHeight="1" x14ac:dyDescent="0.2">
      <c r="A77" s="7" t="s">
        <v>859</v>
      </c>
      <c r="B77" s="7" t="s">
        <v>860</v>
      </c>
      <c r="C77" s="7" t="s">
        <v>861</v>
      </c>
      <c r="D77" s="7" t="s">
        <v>915</v>
      </c>
      <c r="E77" s="7" t="s">
        <v>280</v>
      </c>
      <c r="F77" s="7" t="s">
        <v>214</v>
      </c>
      <c r="G77" s="7" t="s">
        <v>869</v>
      </c>
      <c r="H77" s="1" t="s">
        <v>868</v>
      </c>
      <c r="I77" s="2">
        <v>1.52</v>
      </c>
      <c r="J77" s="2" t="s">
        <v>4492</v>
      </c>
      <c r="K77" s="2" t="s">
        <v>5713</v>
      </c>
      <c r="O77" s="45" t="s">
        <v>879</v>
      </c>
      <c r="R77" s="7" t="s">
        <v>877</v>
      </c>
      <c r="U77" s="7" t="s">
        <v>878</v>
      </c>
      <c r="V77" s="7" t="s">
        <v>882</v>
      </c>
      <c r="X77" s="5">
        <v>39.118899999999996</v>
      </c>
      <c r="Y77" s="5">
        <v>-105.0604</v>
      </c>
      <c r="Z77" s="6">
        <v>2560</v>
      </c>
      <c r="AA77" s="7" t="s">
        <v>883</v>
      </c>
      <c r="AB77" s="7" t="s">
        <v>916</v>
      </c>
    </row>
    <row r="78" spans="1:28" ht="21.75" customHeight="1" x14ac:dyDescent="0.2">
      <c r="A78" s="7" t="s">
        <v>859</v>
      </c>
      <c r="B78" s="7" t="s">
        <v>860</v>
      </c>
      <c r="C78" s="7" t="s">
        <v>861</v>
      </c>
      <c r="D78" s="7" t="s">
        <v>915</v>
      </c>
      <c r="E78" s="7" t="s">
        <v>398</v>
      </c>
      <c r="F78" s="7" t="s">
        <v>884</v>
      </c>
      <c r="G78" s="7" t="s">
        <v>875</v>
      </c>
      <c r="H78" s="1" t="s">
        <v>874</v>
      </c>
      <c r="I78" s="2">
        <v>0.85</v>
      </c>
      <c r="J78" s="2" t="s">
        <v>4492</v>
      </c>
      <c r="K78" s="2" t="s">
        <v>5713</v>
      </c>
      <c r="O78" s="45" t="s">
        <v>879</v>
      </c>
      <c r="R78" s="7" t="s">
        <v>877</v>
      </c>
      <c r="U78" s="7" t="s">
        <v>878</v>
      </c>
      <c r="V78" s="7" t="s">
        <v>882</v>
      </c>
      <c r="X78" s="5">
        <v>39.118899999999996</v>
      </c>
      <c r="Y78" s="5">
        <v>-105.0604</v>
      </c>
      <c r="Z78" s="6">
        <v>2560</v>
      </c>
      <c r="AA78" s="7" t="s">
        <v>886</v>
      </c>
      <c r="AB78" s="7" t="s">
        <v>916</v>
      </c>
    </row>
    <row r="79" spans="1:28" ht="21.75" customHeight="1" x14ac:dyDescent="0.2">
      <c r="A79" s="7" t="s">
        <v>859</v>
      </c>
      <c r="B79" s="7" t="s">
        <v>860</v>
      </c>
      <c r="C79" s="7" t="s">
        <v>861</v>
      </c>
      <c r="D79" s="7" t="s">
        <v>915</v>
      </c>
      <c r="E79" s="7" t="s">
        <v>398</v>
      </c>
      <c r="F79" s="7" t="s">
        <v>884</v>
      </c>
      <c r="G79" s="7" t="s">
        <v>873</v>
      </c>
      <c r="H79" s="1" t="s">
        <v>872</v>
      </c>
      <c r="I79" s="2">
        <v>0.85</v>
      </c>
      <c r="J79" s="2" t="s">
        <v>4492</v>
      </c>
      <c r="K79" s="2" t="s">
        <v>5713</v>
      </c>
      <c r="O79" s="45" t="s">
        <v>879</v>
      </c>
      <c r="R79" s="7" t="s">
        <v>877</v>
      </c>
      <c r="U79" s="7" t="s">
        <v>878</v>
      </c>
      <c r="V79" s="7" t="s">
        <v>882</v>
      </c>
      <c r="X79" s="5">
        <v>39.118899999999996</v>
      </c>
      <c r="Y79" s="5">
        <v>-105.0604</v>
      </c>
      <c r="Z79" s="6">
        <v>2560</v>
      </c>
      <c r="AA79" s="7" t="s">
        <v>887</v>
      </c>
      <c r="AB79" s="7" t="s">
        <v>916</v>
      </c>
    </row>
    <row r="80" spans="1:28" ht="21.75" customHeight="1" x14ac:dyDescent="0.2">
      <c r="A80" s="7" t="s">
        <v>859</v>
      </c>
      <c r="B80" s="7" t="s">
        <v>860</v>
      </c>
      <c r="C80" s="7" t="s">
        <v>861</v>
      </c>
      <c r="D80" s="7" t="s">
        <v>915</v>
      </c>
      <c r="E80" s="7" t="s">
        <v>263</v>
      </c>
      <c r="F80" s="7" t="s">
        <v>885</v>
      </c>
      <c r="G80" s="7" t="s">
        <v>871</v>
      </c>
      <c r="H80" s="1" t="s">
        <v>870</v>
      </c>
      <c r="I80" s="2">
        <v>0.91</v>
      </c>
      <c r="J80" s="2" t="s">
        <v>4492</v>
      </c>
      <c r="K80" s="2" t="s">
        <v>5713</v>
      </c>
      <c r="O80" s="45" t="s">
        <v>879</v>
      </c>
      <c r="R80" s="7" t="s">
        <v>877</v>
      </c>
      <c r="U80" s="7" t="s">
        <v>878</v>
      </c>
      <c r="V80" s="7" t="s">
        <v>882</v>
      </c>
      <c r="X80" s="5">
        <v>39.118899999999996</v>
      </c>
      <c r="Y80" s="5">
        <v>-105.0604</v>
      </c>
      <c r="Z80" s="6">
        <v>2560</v>
      </c>
      <c r="AA80" s="7" t="s">
        <v>888</v>
      </c>
      <c r="AB80" s="7" t="s">
        <v>916</v>
      </c>
    </row>
    <row r="81" spans="1:28" ht="21.75" customHeight="1" x14ac:dyDescent="0.2">
      <c r="A81" s="7" t="s">
        <v>859</v>
      </c>
      <c r="B81" s="7" t="s">
        <v>860</v>
      </c>
      <c r="C81" s="7" t="s">
        <v>861</v>
      </c>
      <c r="D81" s="7" t="s">
        <v>915</v>
      </c>
      <c r="E81" s="7" t="s">
        <v>280</v>
      </c>
      <c r="F81" s="7" t="s">
        <v>212</v>
      </c>
      <c r="G81" s="7" t="s">
        <v>865</v>
      </c>
      <c r="H81" s="1" t="s">
        <v>864</v>
      </c>
      <c r="I81" s="2">
        <v>1.52</v>
      </c>
      <c r="J81" s="2" t="s">
        <v>4492</v>
      </c>
      <c r="K81" s="2" t="s">
        <v>5713</v>
      </c>
      <c r="O81" s="45" t="s">
        <v>879</v>
      </c>
      <c r="R81" s="7" t="s">
        <v>877</v>
      </c>
      <c r="U81" s="7" t="s">
        <v>878</v>
      </c>
      <c r="V81" s="7" t="s">
        <v>882</v>
      </c>
      <c r="X81" s="5">
        <v>39.118899999999996</v>
      </c>
      <c r="Y81" s="5">
        <v>-105.0604</v>
      </c>
      <c r="Z81" s="6">
        <v>2560</v>
      </c>
      <c r="AA81" s="7" t="s">
        <v>889</v>
      </c>
      <c r="AB81" s="7" t="s">
        <v>916</v>
      </c>
    </row>
    <row r="82" spans="1:28" ht="21.75" customHeight="1" x14ac:dyDescent="0.2">
      <c r="A82" s="7" t="s">
        <v>859</v>
      </c>
      <c r="B82" s="7" t="s">
        <v>860</v>
      </c>
      <c r="C82" s="7" t="s">
        <v>861</v>
      </c>
      <c r="D82" s="7" t="s">
        <v>915</v>
      </c>
      <c r="E82" s="7" t="s">
        <v>33</v>
      </c>
      <c r="F82" s="7" t="s">
        <v>212</v>
      </c>
      <c r="G82" s="7" t="s">
        <v>867</v>
      </c>
      <c r="H82" s="1" t="s">
        <v>866</v>
      </c>
      <c r="I82" s="2">
        <v>1.52</v>
      </c>
      <c r="J82" s="2" t="s">
        <v>4492</v>
      </c>
      <c r="K82" s="2" t="s">
        <v>5713</v>
      </c>
      <c r="O82" s="45" t="s">
        <v>879</v>
      </c>
      <c r="R82" s="7" t="s">
        <v>877</v>
      </c>
      <c r="U82" s="7" t="s">
        <v>878</v>
      </c>
      <c r="V82" s="7" t="s">
        <v>882</v>
      </c>
      <c r="X82" s="5">
        <v>39.118899999999996</v>
      </c>
      <c r="Y82" s="5">
        <v>-105.0604</v>
      </c>
      <c r="Z82" s="6">
        <v>2560</v>
      </c>
      <c r="AA82" s="7" t="s">
        <v>890</v>
      </c>
      <c r="AB82" s="7" t="s">
        <v>916</v>
      </c>
    </row>
    <row r="83" spans="1:28" ht="21.75" customHeight="1" x14ac:dyDescent="0.2">
      <c r="A83" s="7" t="s">
        <v>859</v>
      </c>
      <c r="B83" s="7" t="s">
        <v>860</v>
      </c>
      <c r="C83" s="7" t="s">
        <v>861</v>
      </c>
      <c r="D83" s="7" t="s">
        <v>892</v>
      </c>
      <c r="E83" s="7" t="s">
        <v>280</v>
      </c>
      <c r="F83" s="7" t="s">
        <v>212</v>
      </c>
      <c r="G83" s="7" t="s">
        <v>865</v>
      </c>
      <c r="H83" s="1" t="s">
        <v>864</v>
      </c>
      <c r="I83" s="2">
        <v>1.28</v>
      </c>
      <c r="J83" s="2" t="s">
        <v>4492</v>
      </c>
      <c r="K83" s="2" t="s">
        <v>5713</v>
      </c>
      <c r="O83" s="45" t="s">
        <v>893</v>
      </c>
      <c r="R83" s="7" t="s">
        <v>894</v>
      </c>
      <c r="U83" s="7" t="s">
        <v>895</v>
      </c>
      <c r="V83" s="7" t="s">
        <v>236</v>
      </c>
      <c r="X83" s="5">
        <v>39.101700000000001</v>
      </c>
      <c r="Y83" s="5">
        <v>-105.0904</v>
      </c>
      <c r="Z83" s="6">
        <v>2377</v>
      </c>
      <c r="AA83" s="7" t="s">
        <v>896</v>
      </c>
      <c r="AB83" s="7" t="s">
        <v>916</v>
      </c>
    </row>
    <row r="84" spans="1:28" ht="21.75" customHeight="1" x14ac:dyDescent="0.2">
      <c r="A84" s="7" t="s">
        <v>859</v>
      </c>
      <c r="B84" s="7" t="s">
        <v>860</v>
      </c>
      <c r="C84" s="7" t="s">
        <v>861</v>
      </c>
      <c r="D84" s="7" t="s">
        <v>892</v>
      </c>
      <c r="E84" s="7" t="s">
        <v>263</v>
      </c>
      <c r="F84" s="7" t="s">
        <v>885</v>
      </c>
      <c r="G84" s="7" t="s">
        <v>871</v>
      </c>
      <c r="H84" s="1" t="s">
        <v>870</v>
      </c>
      <c r="I84" s="2">
        <v>0.61</v>
      </c>
      <c r="J84" s="2" t="s">
        <v>4492</v>
      </c>
      <c r="K84" s="2" t="s">
        <v>5713</v>
      </c>
      <c r="O84" s="45" t="s">
        <v>893</v>
      </c>
      <c r="R84" s="7" t="s">
        <v>894</v>
      </c>
      <c r="U84" s="7" t="s">
        <v>895</v>
      </c>
      <c r="V84" s="7" t="s">
        <v>236</v>
      </c>
      <c r="X84" s="5">
        <v>39.101700000000001</v>
      </c>
      <c r="Y84" s="5">
        <v>-105.0904</v>
      </c>
      <c r="Z84" s="6">
        <v>2377</v>
      </c>
      <c r="AA84" s="7" t="s">
        <v>897</v>
      </c>
      <c r="AB84" s="7" t="s">
        <v>916</v>
      </c>
    </row>
    <row r="85" spans="1:28" ht="21.75" customHeight="1" x14ac:dyDescent="0.2">
      <c r="A85" s="7" t="s">
        <v>859</v>
      </c>
      <c r="B85" s="7" t="s">
        <v>860</v>
      </c>
      <c r="C85" s="7" t="s">
        <v>861</v>
      </c>
      <c r="D85" s="7" t="s">
        <v>892</v>
      </c>
      <c r="E85" s="7" t="s">
        <v>33</v>
      </c>
      <c r="F85" s="7" t="s">
        <v>212</v>
      </c>
      <c r="G85" s="7" t="s">
        <v>863</v>
      </c>
      <c r="H85" s="1" t="s">
        <v>862</v>
      </c>
      <c r="I85" s="2">
        <v>1.46</v>
      </c>
      <c r="J85" s="2" t="s">
        <v>4492</v>
      </c>
      <c r="K85" s="2" t="s">
        <v>5713</v>
      </c>
      <c r="O85" s="45" t="s">
        <v>893</v>
      </c>
      <c r="R85" s="7" t="s">
        <v>894</v>
      </c>
      <c r="U85" s="7" t="s">
        <v>895</v>
      </c>
      <c r="V85" s="7" t="s">
        <v>236</v>
      </c>
      <c r="X85" s="5">
        <v>39.101700000000001</v>
      </c>
      <c r="Y85" s="5">
        <v>-105.0904</v>
      </c>
      <c r="Z85" s="6">
        <v>2377</v>
      </c>
      <c r="AA85" s="7" t="s">
        <v>898</v>
      </c>
      <c r="AB85" s="7" t="s">
        <v>916</v>
      </c>
    </row>
    <row r="86" spans="1:28" ht="21.75" customHeight="1" x14ac:dyDescent="0.2">
      <c r="A86" s="7" t="s">
        <v>859</v>
      </c>
      <c r="B86" s="7" t="s">
        <v>860</v>
      </c>
      <c r="C86" s="7" t="s">
        <v>861</v>
      </c>
      <c r="D86" s="7" t="s">
        <v>892</v>
      </c>
      <c r="E86" s="7" t="s">
        <v>33</v>
      </c>
      <c r="F86" s="7" t="s">
        <v>212</v>
      </c>
      <c r="G86" s="7" t="s">
        <v>867</v>
      </c>
      <c r="H86" s="1" t="s">
        <v>866</v>
      </c>
      <c r="I86" s="2">
        <v>1.71</v>
      </c>
      <c r="J86" s="2" t="s">
        <v>4492</v>
      </c>
      <c r="K86" s="2" t="s">
        <v>5713</v>
      </c>
      <c r="O86" s="45" t="s">
        <v>893</v>
      </c>
      <c r="R86" s="7" t="s">
        <v>894</v>
      </c>
      <c r="U86" s="7" t="s">
        <v>895</v>
      </c>
      <c r="V86" s="7" t="s">
        <v>236</v>
      </c>
      <c r="X86" s="5">
        <v>39.101700000000001</v>
      </c>
      <c r="Y86" s="5">
        <v>-105.0904</v>
      </c>
      <c r="Z86" s="6">
        <v>2377</v>
      </c>
      <c r="AA86" s="7" t="s">
        <v>899</v>
      </c>
      <c r="AB86" s="7" t="s">
        <v>916</v>
      </c>
    </row>
    <row r="87" spans="1:28" ht="21.75" customHeight="1" x14ac:dyDescent="0.2">
      <c r="A87" s="7" t="s">
        <v>859</v>
      </c>
      <c r="B87" s="7" t="s">
        <v>860</v>
      </c>
      <c r="C87" s="7" t="s">
        <v>861</v>
      </c>
      <c r="D87" s="7" t="s">
        <v>892</v>
      </c>
      <c r="E87" s="7" t="s">
        <v>398</v>
      </c>
      <c r="F87" s="7" t="s">
        <v>884</v>
      </c>
      <c r="G87" s="7" t="s">
        <v>875</v>
      </c>
      <c r="H87" s="1" t="s">
        <v>874</v>
      </c>
      <c r="I87" s="2">
        <v>1.04</v>
      </c>
      <c r="J87" s="2" t="s">
        <v>4492</v>
      </c>
      <c r="K87" s="2" t="s">
        <v>5713</v>
      </c>
      <c r="O87" s="45" t="s">
        <v>893</v>
      </c>
      <c r="R87" s="7" t="s">
        <v>894</v>
      </c>
      <c r="U87" s="7" t="s">
        <v>895</v>
      </c>
      <c r="V87" s="7" t="s">
        <v>236</v>
      </c>
      <c r="X87" s="5">
        <v>39.101700000000001</v>
      </c>
      <c r="Y87" s="5">
        <v>-105.0904</v>
      </c>
      <c r="Z87" s="6">
        <v>2377</v>
      </c>
      <c r="AA87" s="7" t="s">
        <v>900</v>
      </c>
      <c r="AB87" s="7" t="s">
        <v>916</v>
      </c>
    </row>
    <row r="88" spans="1:28" ht="21.75" customHeight="1" x14ac:dyDescent="0.2">
      <c r="A88" s="7" t="s">
        <v>859</v>
      </c>
      <c r="B88" s="7" t="s">
        <v>860</v>
      </c>
      <c r="C88" s="7" t="s">
        <v>861</v>
      </c>
      <c r="D88" s="7" t="s">
        <v>892</v>
      </c>
      <c r="E88" s="7" t="s">
        <v>280</v>
      </c>
      <c r="F88" s="7" t="s">
        <v>214</v>
      </c>
      <c r="G88" s="7" t="s">
        <v>869</v>
      </c>
      <c r="H88" s="1" t="s">
        <v>868</v>
      </c>
      <c r="I88" s="2">
        <v>1.52</v>
      </c>
      <c r="J88" s="2" t="s">
        <v>4492</v>
      </c>
      <c r="K88" s="2" t="s">
        <v>5713</v>
      </c>
      <c r="O88" s="45" t="s">
        <v>893</v>
      </c>
      <c r="R88" s="7" t="s">
        <v>894</v>
      </c>
      <c r="U88" s="7" t="s">
        <v>895</v>
      </c>
      <c r="V88" s="7" t="s">
        <v>236</v>
      </c>
      <c r="X88" s="5">
        <v>39.101700000000001</v>
      </c>
      <c r="Y88" s="5">
        <v>-105.0904</v>
      </c>
      <c r="Z88" s="6">
        <v>2377</v>
      </c>
      <c r="AA88" s="7" t="s">
        <v>901</v>
      </c>
      <c r="AB88" s="7" t="s">
        <v>916</v>
      </c>
    </row>
    <row r="89" spans="1:28" ht="21.75" customHeight="1" x14ac:dyDescent="0.2">
      <c r="A89" s="7" t="s">
        <v>859</v>
      </c>
      <c r="B89" s="7" t="s">
        <v>860</v>
      </c>
      <c r="C89" s="7" t="s">
        <v>861</v>
      </c>
      <c r="D89" s="7" t="s">
        <v>892</v>
      </c>
      <c r="E89" s="7" t="s">
        <v>398</v>
      </c>
      <c r="F89" s="7" t="s">
        <v>884</v>
      </c>
      <c r="G89" s="7" t="s">
        <v>873</v>
      </c>
      <c r="H89" s="1" t="s">
        <v>872</v>
      </c>
      <c r="I89" s="2">
        <v>0.94</v>
      </c>
      <c r="J89" s="2" t="s">
        <v>4492</v>
      </c>
      <c r="K89" s="2" t="s">
        <v>5713</v>
      </c>
      <c r="O89" s="45" t="s">
        <v>893</v>
      </c>
      <c r="R89" s="7" t="s">
        <v>894</v>
      </c>
      <c r="U89" s="7" t="s">
        <v>895</v>
      </c>
      <c r="V89" s="7" t="s">
        <v>236</v>
      </c>
      <c r="X89" s="5">
        <v>39.101700000000001</v>
      </c>
      <c r="Y89" s="5">
        <v>-105.0904</v>
      </c>
      <c r="Z89" s="6">
        <v>2377</v>
      </c>
      <c r="AA89" s="7" t="s">
        <v>902</v>
      </c>
      <c r="AB89" s="7" t="s">
        <v>916</v>
      </c>
    </row>
    <row r="90" spans="1:28" ht="21.75" customHeight="1" x14ac:dyDescent="0.2">
      <c r="A90" s="7" t="s">
        <v>859</v>
      </c>
      <c r="B90" s="7" t="s">
        <v>860</v>
      </c>
      <c r="C90" s="7" t="s">
        <v>861</v>
      </c>
      <c r="D90" s="7" t="s">
        <v>903</v>
      </c>
      <c r="E90" s="7" t="s">
        <v>33</v>
      </c>
      <c r="F90" s="7" t="s">
        <v>212</v>
      </c>
      <c r="G90" s="7" t="s">
        <v>863</v>
      </c>
      <c r="H90" s="1" t="s">
        <v>862</v>
      </c>
      <c r="I90" s="2">
        <v>0.82</v>
      </c>
      <c r="J90" s="2" t="s">
        <v>4492</v>
      </c>
      <c r="K90" s="2" t="s">
        <v>5713</v>
      </c>
      <c r="O90" s="45" t="s">
        <v>904</v>
      </c>
      <c r="R90" s="7" t="s">
        <v>905</v>
      </c>
      <c r="U90" s="7" t="s">
        <v>906</v>
      </c>
      <c r="V90" s="7" t="s">
        <v>910</v>
      </c>
      <c r="X90" s="5">
        <v>39.155500000000004</v>
      </c>
      <c r="Y90" s="5">
        <v>-105.07989999999999</v>
      </c>
      <c r="Z90" s="6">
        <v>2545</v>
      </c>
      <c r="AA90" s="7" t="s">
        <v>907</v>
      </c>
      <c r="AB90" s="7" t="s">
        <v>916</v>
      </c>
    </row>
    <row r="91" spans="1:28" ht="21.75" customHeight="1" x14ac:dyDescent="0.2">
      <c r="A91" s="7" t="s">
        <v>859</v>
      </c>
      <c r="B91" s="7" t="s">
        <v>860</v>
      </c>
      <c r="C91" s="7" t="s">
        <v>861</v>
      </c>
      <c r="D91" s="7" t="s">
        <v>903</v>
      </c>
      <c r="E91" s="7" t="s">
        <v>280</v>
      </c>
      <c r="F91" s="7" t="s">
        <v>212</v>
      </c>
      <c r="G91" s="7" t="s">
        <v>865</v>
      </c>
      <c r="H91" s="1" t="s">
        <v>864</v>
      </c>
      <c r="I91" s="2">
        <v>0.73</v>
      </c>
      <c r="J91" s="2" t="s">
        <v>4492</v>
      </c>
      <c r="K91" s="2" t="s">
        <v>5713</v>
      </c>
      <c r="O91" s="45" t="s">
        <v>904</v>
      </c>
      <c r="R91" s="7" t="s">
        <v>905</v>
      </c>
      <c r="U91" s="7" t="s">
        <v>906</v>
      </c>
      <c r="V91" s="7" t="s">
        <v>910</v>
      </c>
      <c r="X91" s="5">
        <v>39.155500000000004</v>
      </c>
      <c r="Y91" s="5">
        <v>-105.07989999999999</v>
      </c>
      <c r="Z91" s="6">
        <v>2545</v>
      </c>
      <c r="AA91" s="7" t="s">
        <v>908</v>
      </c>
      <c r="AB91" s="7" t="s">
        <v>916</v>
      </c>
    </row>
    <row r="92" spans="1:28" ht="21.75" customHeight="1" x14ac:dyDescent="0.2">
      <c r="A92" s="7" t="s">
        <v>859</v>
      </c>
      <c r="B92" s="7" t="s">
        <v>860</v>
      </c>
      <c r="C92" s="7" t="s">
        <v>861</v>
      </c>
      <c r="D92" s="7" t="s">
        <v>903</v>
      </c>
      <c r="E92" s="7" t="s">
        <v>33</v>
      </c>
      <c r="F92" s="7" t="s">
        <v>212</v>
      </c>
      <c r="G92" s="7" t="s">
        <v>867</v>
      </c>
      <c r="H92" s="1" t="s">
        <v>866</v>
      </c>
      <c r="I92" s="2">
        <v>0.85</v>
      </c>
      <c r="J92" s="2" t="s">
        <v>4492</v>
      </c>
      <c r="K92" s="2" t="s">
        <v>5713</v>
      </c>
      <c r="O92" s="45" t="s">
        <v>904</v>
      </c>
      <c r="R92" s="7" t="s">
        <v>905</v>
      </c>
      <c r="U92" s="7" t="s">
        <v>906</v>
      </c>
      <c r="V92" s="7" t="s">
        <v>910</v>
      </c>
      <c r="X92" s="5">
        <v>39.155500000000004</v>
      </c>
      <c r="Y92" s="5">
        <v>-105.07989999999999</v>
      </c>
      <c r="Z92" s="6">
        <v>2545</v>
      </c>
      <c r="AA92" s="7" t="s">
        <v>909</v>
      </c>
      <c r="AB92" s="7" t="s">
        <v>916</v>
      </c>
    </row>
    <row r="93" spans="1:28" ht="21.75" customHeight="1" x14ac:dyDescent="0.2">
      <c r="A93" s="7" t="s">
        <v>859</v>
      </c>
      <c r="B93" s="7" t="s">
        <v>860</v>
      </c>
      <c r="C93" s="7" t="s">
        <v>861</v>
      </c>
      <c r="D93" s="7" t="s">
        <v>903</v>
      </c>
      <c r="E93" s="7" t="s">
        <v>263</v>
      </c>
      <c r="F93" s="7" t="s">
        <v>885</v>
      </c>
      <c r="G93" s="7" t="s">
        <v>871</v>
      </c>
      <c r="H93" s="1" t="s">
        <v>870</v>
      </c>
      <c r="I93" s="2">
        <v>0.61</v>
      </c>
      <c r="J93" s="2" t="s">
        <v>4492</v>
      </c>
      <c r="K93" s="2" t="s">
        <v>5713</v>
      </c>
      <c r="O93" s="45" t="s">
        <v>904</v>
      </c>
      <c r="R93" s="7" t="s">
        <v>905</v>
      </c>
      <c r="U93" s="7" t="s">
        <v>906</v>
      </c>
      <c r="V93" s="7" t="s">
        <v>910</v>
      </c>
      <c r="X93" s="5">
        <v>39.155500000000004</v>
      </c>
      <c r="Y93" s="5">
        <v>-105.07989999999999</v>
      </c>
      <c r="Z93" s="6">
        <v>2545</v>
      </c>
      <c r="AA93" s="7" t="s">
        <v>911</v>
      </c>
      <c r="AB93" s="7" t="s">
        <v>916</v>
      </c>
    </row>
    <row r="94" spans="1:28" ht="21.75" customHeight="1" x14ac:dyDescent="0.2">
      <c r="A94" s="7" t="s">
        <v>859</v>
      </c>
      <c r="B94" s="7" t="s">
        <v>860</v>
      </c>
      <c r="C94" s="7" t="s">
        <v>861</v>
      </c>
      <c r="D94" s="7" t="s">
        <v>903</v>
      </c>
      <c r="E94" s="7" t="s">
        <v>398</v>
      </c>
      <c r="F94" s="7" t="s">
        <v>884</v>
      </c>
      <c r="G94" s="7" t="s">
        <v>875</v>
      </c>
      <c r="H94" s="1" t="s">
        <v>874</v>
      </c>
      <c r="I94" s="2">
        <v>0.82</v>
      </c>
      <c r="J94" s="2" t="s">
        <v>4492</v>
      </c>
      <c r="K94" s="2" t="s">
        <v>5713</v>
      </c>
      <c r="O94" s="45" t="s">
        <v>904</v>
      </c>
      <c r="R94" s="7" t="s">
        <v>905</v>
      </c>
      <c r="U94" s="7" t="s">
        <v>906</v>
      </c>
      <c r="V94" s="7" t="s">
        <v>910</v>
      </c>
      <c r="X94" s="5">
        <v>39.155500000000004</v>
      </c>
      <c r="Y94" s="5">
        <v>-105.07989999999999</v>
      </c>
      <c r="Z94" s="6">
        <v>2545</v>
      </c>
      <c r="AA94" s="7" t="s">
        <v>912</v>
      </c>
      <c r="AB94" s="7" t="s">
        <v>916</v>
      </c>
    </row>
    <row r="95" spans="1:28" ht="21.75" customHeight="1" x14ac:dyDescent="0.2">
      <c r="A95" s="7" t="s">
        <v>859</v>
      </c>
      <c r="B95" s="7" t="s">
        <v>860</v>
      </c>
      <c r="C95" s="7" t="s">
        <v>861</v>
      </c>
      <c r="D95" s="7" t="s">
        <v>903</v>
      </c>
      <c r="E95" s="7" t="s">
        <v>280</v>
      </c>
      <c r="F95" s="7" t="s">
        <v>214</v>
      </c>
      <c r="G95" s="7" t="s">
        <v>869</v>
      </c>
      <c r="H95" s="1" t="s">
        <v>868</v>
      </c>
      <c r="I95" s="2">
        <v>1.07</v>
      </c>
      <c r="J95" s="2" t="s">
        <v>4492</v>
      </c>
      <c r="K95" s="2" t="s">
        <v>5713</v>
      </c>
      <c r="O95" s="45" t="s">
        <v>904</v>
      </c>
      <c r="R95" s="7" t="s">
        <v>905</v>
      </c>
      <c r="U95" s="7" t="s">
        <v>906</v>
      </c>
      <c r="V95" s="7" t="s">
        <v>910</v>
      </c>
      <c r="X95" s="5">
        <v>39.155500000000004</v>
      </c>
      <c r="Y95" s="5">
        <v>-105.07989999999999</v>
      </c>
      <c r="Z95" s="6">
        <v>2545</v>
      </c>
      <c r="AA95" s="7" t="s">
        <v>913</v>
      </c>
      <c r="AB95" s="7" t="s">
        <v>916</v>
      </c>
    </row>
    <row r="96" spans="1:28" ht="21.75" customHeight="1" x14ac:dyDescent="0.2">
      <c r="A96" s="7" t="s">
        <v>859</v>
      </c>
      <c r="B96" s="7" t="s">
        <v>860</v>
      </c>
      <c r="C96" s="7" t="s">
        <v>861</v>
      </c>
      <c r="D96" s="7" t="s">
        <v>903</v>
      </c>
      <c r="E96" s="7" t="s">
        <v>398</v>
      </c>
      <c r="F96" s="7" t="s">
        <v>884</v>
      </c>
      <c r="G96" s="7" t="s">
        <v>873</v>
      </c>
      <c r="H96" s="1" t="s">
        <v>872</v>
      </c>
      <c r="I96" s="2">
        <v>0.79</v>
      </c>
      <c r="J96" s="2" t="s">
        <v>4492</v>
      </c>
      <c r="K96" s="2" t="s">
        <v>5713</v>
      </c>
      <c r="O96" s="45" t="s">
        <v>904</v>
      </c>
      <c r="R96" s="7" t="s">
        <v>905</v>
      </c>
      <c r="U96" s="7" t="s">
        <v>906</v>
      </c>
      <c r="V96" s="7" t="s">
        <v>910</v>
      </c>
      <c r="X96" s="5">
        <v>39.155500000000004</v>
      </c>
      <c r="Y96" s="5">
        <v>-105.07989999999999</v>
      </c>
      <c r="Z96" s="6">
        <v>2545</v>
      </c>
      <c r="AA96" s="7" t="s">
        <v>914</v>
      </c>
      <c r="AB96" s="7" t="s">
        <v>916</v>
      </c>
    </row>
    <row r="97" spans="1:28" s="8" customFormat="1" ht="21.75" customHeight="1" x14ac:dyDescent="0.2">
      <c r="A97" s="8" t="s">
        <v>104</v>
      </c>
      <c r="B97" s="8" t="s">
        <v>117</v>
      </c>
      <c r="C97" s="8" t="s">
        <v>116</v>
      </c>
      <c r="D97" s="8" t="s">
        <v>108</v>
      </c>
      <c r="E97" s="8" t="s">
        <v>737</v>
      </c>
      <c r="F97" s="8" t="s">
        <v>219</v>
      </c>
      <c r="G97" s="8" t="s">
        <v>218</v>
      </c>
      <c r="H97" s="3" t="s">
        <v>105</v>
      </c>
      <c r="I97" s="4">
        <v>0.61</v>
      </c>
      <c r="J97" s="4" t="s">
        <v>4492</v>
      </c>
      <c r="K97" s="4" t="s">
        <v>4410</v>
      </c>
      <c r="L97" s="8">
        <v>539</v>
      </c>
      <c r="M97" s="14">
        <v>6</v>
      </c>
      <c r="N97" s="14"/>
      <c r="O97" s="110" t="s">
        <v>112</v>
      </c>
      <c r="P97" s="4"/>
      <c r="Q97" s="8">
        <v>25</v>
      </c>
      <c r="R97" s="8" t="s">
        <v>107</v>
      </c>
      <c r="X97" s="13">
        <f>-(18+21/60+51/3600)</f>
        <v>-18.364166666666669</v>
      </c>
      <c r="Y97" s="13">
        <f>21+50/60+31/3600</f>
        <v>21.841944444444444</v>
      </c>
      <c r="Z97" s="14">
        <v>1002</v>
      </c>
      <c r="AB97" s="138" t="s">
        <v>120</v>
      </c>
    </row>
    <row r="98" spans="1:28" s="8" customFormat="1" ht="21.75" customHeight="1" x14ac:dyDescent="0.2">
      <c r="A98" s="8" t="s">
        <v>104</v>
      </c>
      <c r="B98" s="8" t="s">
        <v>118</v>
      </c>
      <c r="C98" s="8" t="s">
        <v>116</v>
      </c>
      <c r="D98" s="8" t="s">
        <v>109</v>
      </c>
      <c r="E98" s="8" t="s">
        <v>737</v>
      </c>
      <c r="F98" s="8" t="s">
        <v>220</v>
      </c>
      <c r="G98" s="8" t="s">
        <v>222</v>
      </c>
      <c r="H98" s="3" t="s">
        <v>221</v>
      </c>
      <c r="I98" s="4">
        <v>2</v>
      </c>
      <c r="J98" s="4" t="s">
        <v>4492</v>
      </c>
      <c r="K98" s="4" t="s">
        <v>4410</v>
      </c>
      <c r="L98" s="8">
        <v>439</v>
      </c>
      <c r="M98" s="14">
        <v>5</v>
      </c>
      <c r="N98" s="14"/>
      <c r="O98" s="110" t="s">
        <v>113</v>
      </c>
      <c r="P98" s="4"/>
      <c r="R98" s="8" t="s">
        <v>107</v>
      </c>
      <c r="X98" s="13">
        <f>-(20+58/60+36/3600)</f>
        <v>-20.976666666666667</v>
      </c>
      <c r="Y98" s="13">
        <f>22+28/60+48/3600</f>
        <v>22.479999999999997</v>
      </c>
      <c r="Z98" s="14">
        <v>1065</v>
      </c>
      <c r="AB98" s="138"/>
    </row>
    <row r="99" spans="1:28" s="8" customFormat="1" ht="21.75" customHeight="1" x14ac:dyDescent="0.2">
      <c r="A99" s="8" t="s">
        <v>104</v>
      </c>
      <c r="B99" s="8" t="s">
        <v>118</v>
      </c>
      <c r="C99" s="8" t="s">
        <v>116</v>
      </c>
      <c r="D99" s="8" t="s">
        <v>110</v>
      </c>
      <c r="E99" s="8" t="s">
        <v>737</v>
      </c>
      <c r="F99" s="8" t="s">
        <v>225</v>
      </c>
      <c r="G99" s="8" t="s">
        <v>224</v>
      </c>
      <c r="H99" s="3" t="s">
        <v>223</v>
      </c>
      <c r="I99" s="4">
        <v>1.88</v>
      </c>
      <c r="J99" s="4" t="s">
        <v>4492</v>
      </c>
      <c r="K99" s="4" t="s">
        <v>4410</v>
      </c>
      <c r="L99" s="8">
        <v>358</v>
      </c>
      <c r="M99" s="14">
        <v>5</v>
      </c>
      <c r="N99" s="14"/>
      <c r="O99" s="110" t="s">
        <v>114</v>
      </c>
      <c r="P99" s="4"/>
      <c r="R99" s="8" t="s">
        <v>107</v>
      </c>
      <c r="X99" s="13">
        <f>-(24+1/60+1/3600)</f>
        <v>-24.016944444444444</v>
      </c>
      <c r="Y99" s="13">
        <f>21+52/60+8/3600</f>
        <v>21.86888888888889</v>
      </c>
      <c r="Z99" s="14">
        <v>1122</v>
      </c>
      <c r="AB99" s="138"/>
    </row>
    <row r="100" spans="1:28" s="8" customFormat="1" ht="21.75" customHeight="1" x14ac:dyDescent="0.2">
      <c r="A100" s="8" t="s">
        <v>104</v>
      </c>
      <c r="B100" s="8" t="s">
        <v>119</v>
      </c>
      <c r="C100" s="8" t="s">
        <v>116</v>
      </c>
      <c r="D100" s="8" t="s">
        <v>111</v>
      </c>
      <c r="E100" s="8" t="s">
        <v>738</v>
      </c>
      <c r="F100" s="8" t="s">
        <v>226</v>
      </c>
      <c r="G100" s="8" t="s">
        <v>227</v>
      </c>
      <c r="H100" s="3" t="s">
        <v>106</v>
      </c>
      <c r="I100" s="4">
        <v>1.08</v>
      </c>
      <c r="J100" s="4" t="s">
        <v>4492</v>
      </c>
      <c r="K100" s="4" t="s">
        <v>4410</v>
      </c>
      <c r="L100" s="8">
        <v>177</v>
      </c>
      <c r="M100" s="14">
        <v>6</v>
      </c>
      <c r="N100" s="14"/>
      <c r="O100" s="110" t="s">
        <v>115</v>
      </c>
      <c r="P100" s="4"/>
      <c r="Q100" s="8">
        <v>100</v>
      </c>
      <c r="R100" s="8" t="s">
        <v>107</v>
      </c>
      <c r="X100" s="13">
        <f>-(26+53/60+39/3600)</f>
        <v>-26.894166666666667</v>
      </c>
      <c r="Y100" s="13">
        <f>20+41/60+54/3600</f>
        <v>20.698333333333334</v>
      </c>
      <c r="Z100" s="14">
        <v>854</v>
      </c>
      <c r="AB100" s="138"/>
    </row>
    <row r="101" spans="1:28" ht="21.75" customHeight="1" x14ac:dyDescent="0.2">
      <c r="A101" s="7" t="s">
        <v>121</v>
      </c>
      <c r="B101" s="7" t="s">
        <v>124</v>
      </c>
      <c r="C101" s="7" t="s">
        <v>125</v>
      </c>
      <c r="E101" s="7" t="s">
        <v>33</v>
      </c>
      <c r="F101" s="7" t="s">
        <v>212</v>
      </c>
      <c r="G101" s="7" t="s">
        <v>122</v>
      </c>
      <c r="H101" s="1" t="s">
        <v>123</v>
      </c>
      <c r="I101" s="7">
        <v>0.99</v>
      </c>
      <c r="J101" s="7" t="s">
        <v>4492</v>
      </c>
      <c r="K101" s="7" t="s">
        <v>5713</v>
      </c>
      <c r="O101" s="45" t="s">
        <v>126</v>
      </c>
      <c r="R101" s="7" t="s">
        <v>127</v>
      </c>
      <c r="U101" s="7" t="s">
        <v>128</v>
      </c>
      <c r="V101" s="7">
        <v>1</v>
      </c>
      <c r="X101" s="5">
        <v>45.243499999999997</v>
      </c>
      <c r="Y101" s="5">
        <v>118.54940000000001</v>
      </c>
      <c r="Z101" s="6">
        <v>1258</v>
      </c>
      <c r="AA101" s="7" t="s">
        <v>130</v>
      </c>
      <c r="AB101" s="7" t="s">
        <v>129</v>
      </c>
    </row>
    <row r="102" spans="1:28" s="8" customFormat="1" ht="21.75" customHeight="1" x14ac:dyDescent="0.2">
      <c r="A102" s="8" t="s">
        <v>131</v>
      </c>
      <c r="B102" s="8" t="s">
        <v>132</v>
      </c>
      <c r="C102" s="8" t="s">
        <v>141</v>
      </c>
      <c r="E102" s="8" t="s">
        <v>228</v>
      </c>
      <c r="F102" s="8" t="s">
        <v>212</v>
      </c>
      <c r="G102" s="8" t="s">
        <v>134</v>
      </c>
      <c r="H102" s="3" t="s">
        <v>133</v>
      </c>
      <c r="I102" s="8">
        <v>20</v>
      </c>
      <c r="J102" s="8" t="s">
        <v>5715</v>
      </c>
      <c r="K102" s="8" t="s">
        <v>5713</v>
      </c>
      <c r="L102" s="14">
        <v>630</v>
      </c>
      <c r="M102" s="14">
        <v>0</v>
      </c>
      <c r="N102" s="14"/>
      <c r="O102" s="110"/>
      <c r="P102" s="4"/>
      <c r="R102" s="8" t="s">
        <v>135</v>
      </c>
      <c r="U102" s="8" t="s">
        <v>136</v>
      </c>
      <c r="V102" s="8">
        <v>0.2</v>
      </c>
      <c r="X102" s="13">
        <f>30+55/60</f>
        <v>30.916666666666668</v>
      </c>
      <c r="Y102" s="13">
        <f>-(99+54/60)</f>
        <v>-99.9</v>
      </c>
      <c r="Z102" s="14">
        <v>623</v>
      </c>
      <c r="AA102" s="8" t="s">
        <v>137</v>
      </c>
      <c r="AB102" s="8" t="s">
        <v>138</v>
      </c>
    </row>
    <row r="103" spans="1:28" ht="21.75" customHeight="1" x14ac:dyDescent="0.2">
      <c r="A103" s="7" t="s">
        <v>2919</v>
      </c>
      <c r="B103" s="7" t="s">
        <v>2921</v>
      </c>
      <c r="C103" s="7" t="s">
        <v>2920</v>
      </c>
      <c r="D103" s="7" t="s">
        <v>2924</v>
      </c>
      <c r="E103" s="7" t="s">
        <v>398</v>
      </c>
      <c r="F103" s="7" t="s">
        <v>214</v>
      </c>
      <c r="G103" s="7" t="s">
        <v>2923</v>
      </c>
      <c r="H103" s="1" t="s">
        <v>2922</v>
      </c>
      <c r="I103" s="7">
        <v>0.28999999999999998</v>
      </c>
      <c r="J103" s="7" t="s">
        <v>4492</v>
      </c>
      <c r="K103" s="7" t="s">
        <v>5713</v>
      </c>
      <c r="O103" s="45" t="s">
        <v>2925</v>
      </c>
      <c r="X103" s="5">
        <f>32+13/60</f>
        <v>32.216666666666669</v>
      </c>
      <c r="Y103" s="5">
        <f>-(111+5/60)</f>
        <v>-111.08333333333333</v>
      </c>
      <c r="Z103" s="6">
        <v>903</v>
      </c>
      <c r="AA103" s="44" t="s">
        <v>2926</v>
      </c>
      <c r="AB103" s="7" t="s">
        <v>2927</v>
      </c>
    </row>
    <row r="104" spans="1:28" s="8" customFormat="1" ht="21.75" customHeight="1" x14ac:dyDescent="0.2">
      <c r="A104" s="8" t="s">
        <v>140</v>
      </c>
      <c r="B104" s="8" t="s">
        <v>139</v>
      </c>
      <c r="C104" s="8" t="s">
        <v>143</v>
      </c>
      <c r="D104" s="8">
        <v>1</v>
      </c>
      <c r="E104" s="8" t="s">
        <v>33</v>
      </c>
      <c r="F104" s="8" t="s">
        <v>212</v>
      </c>
      <c r="G104" s="8" t="s">
        <v>122</v>
      </c>
      <c r="H104" s="3" t="s">
        <v>142</v>
      </c>
      <c r="I104" s="4">
        <v>0.1</v>
      </c>
      <c r="J104" s="4" t="s">
        <v>4367</v>
      </c>
      <c r="K104" s="4" t="s">
        <v>4410</v>
      </c>
      <c r="L104" s="14"/>
      <c r="M104" s="14"/>
      <c r="N104" s="14"/>
      <c r="O104" s="110"/>
      <c r="P104" s="4"/>
      <c r="Q104" s="8">
        <v>0.11</v>
      </c>
      <c r="R104" s="8" t="s">
        <v>147</v>
      </c>
      <c r="W104" s="8" t="s">
        <v>94</v>
      </c>
      <c r="X104" s="13">
        <v>57.140700000000002</v>
      </c>
      <c r="Y104" s="13">
        <v>-4.7366000000000001</v>
      </c>
      <c r="Z104" s="14">
        <v>209</v>
      </c>
      <c r="AA104" s="132" t="s">
        <v>144</v>
      </c>
      <c r="AB104" s="8" t="s">
        <v>146</v>
      </c>
    </row>
    <row r="105" spans="1:28" s="8" customFormat="1" ht="21.75" customHeight="1" x14ac:dyDescent="0.2">
      <c r="A105" s="8" t="s">
        <v>140</v>
      </c>
      <c r="B105" s="8" t="s">
        <v>139</v>
      </c>
      <c r="C105" s="8" t="s">
        <v>143</v>
      </c>
      <c r="D105" s="8">
        <v>2</v>
      </c>
      <c r="E105" s="8" t="s">
        <v>33</v>
      </c>
      <c r="F105" s="8" t="s">
        <v>212</v>
      </c>
      <c r="G105" s="8" t="s">
        <v>122</v>
      </c>
      <c r="H105" s="3" t="s">
        <v>142</v>
      </c>
      <c r="I105" s="4">
        <v>0.15</v>
      </c>
      <c r="J105" s="4" t="s">
        <v>4367</v>
      </c>
      <c r="K105" s="4" t="s">
        <v>4410</v>
      </c>
      <c r="L105" s="14"/>
      <c r="M105" s="14"/>
      <c r="N105" s="14"/>
      <c r="O105" s="110"/>
      <c r="P105" s="4"/>
      <c r="Q105" s="8">
        <v>0.19</v>
      </c>
      <c r="R105" s="8" t="s">
        <v>147</v>
      </c>
      <c r="W105" s="8" t="s">
        <v>94</v>
      </c>
      <c r="X105" s="13">
        <v>57.140700000000002</v>
      </c>
      <c r="Y105" s="13">
        <v>-4.7366000000000001</v>
      </c>
      <c r="Z105" s="14">
        <v>209</v>
      </c>
      <c r="AA105" s="137"/>
      <c r="AB105" s="138" t="s">
        <v>145</v>
      </c>
    </row>
    <row r="106" spans="1:28" s="8" customFormat="1" ht="21.75" customHeight="1" x14ac:dyDescent="0.2">
      <c r="A106" s="8" t="s">
        <v>140</v>
      </c>
      <c r="B106" s="8" t="s">
        <v>139</v>
      </c>
      <c r="C106" s="8" t="s">
        <v>143</v>
      </c>
      <c r="D106" s="8">
        <v>3</v>
      </c>
      <c r="E106" s="8" t="s">
        <v>33</v>
      </c>
      <c r="F106" s="8" t="s">
        <v>212</v>
      </c>
      <c r="G106" s="8" t="s">
        <v>122</v>
      </c>
      <c r="H106" s="3" t="s">
        <v>142</v>
      </c>
      <c r="I106" s="4">
        <v>0.2</v>
      </c>
      <c r="J106" s="4" t="s">
        <v>4367</v>
      </c>
      <c r="K106" s="4" t="s">
        <v>4410</v>
      </c>
      <c r="L106" s="14"/>
      <c r="M106" s="14"/>
      <c r="N106" s="14"/>
      <c r="O106" s="110"/>
      <c r="P106" s="4"/>
      <c r="Q106" s="8">
        <v>0.25</v>
      </c>
      <c r="R106" s="8" t="s">
        <v>147</v>
      </c>
      <c r="W106" s="8" t="s">
        <v>94</v>
      </c>
      <c r="X106" s="13">
        <v>57.140700000000002</v>
      </c>
      <c r="Y106" s="13">
        <v>-4.7366000000000001</v>
      </c>
      <c r="Z106" s="14">
        <v>209</v>
      </c>
      <c r="AA106" s="137"/>
      <c r="AB106" s="138"/>
    </row>
    <row r="107" spans="1:28" s="8" customFormat="1" ht="21.75" customHeight="1" x14ac:dyDescent="0.2">
      <c r="A107" s="8" t="s">
        <v>140</v>
      </c>
      <c r="B107" s="8" t="s">
        <v>139</v>
      </c>
      <c r="C107" s="8" t="s">
        <v>143</v>
      </c>
      <c r="D107" s="8">
        <v>4</v>
      </c>
      <c r="E107" s="8" t="s">
        <v>33</v>
      </c>
      <c r="F107" s="8" t="s">
        <v>212</v>
      </c>
      <c r="G107" s="8" t="s">
        <v>122</v>
      </c>
      <c r="H107" s="3" t="s">
        <v>142</v>
      </c>
      <c r="I107" s="4">
        <v>0.4</v>
      </c>
      <c r="J107" s="4" t="s">
        <v>4367</v>
      </c>
      <c r="K107" s="4" t="s">
        <v>4410</v>
      </c>
      <c r="L107" s="14"/>
      <c r="M107" s="14"/>
      <c r="N107" s="14"/>
      <c r="O107" s="110"/>
      <c r="P107" s="4"/>
      <c r="Q107" s="8">
        <v>0.33</v>
      </c>
      <c r="R107" s="8" t="s">
        <v>147</v>
      </c>
      <c r="W107" s="8" t="s">
        <v>94</v>
      </c>
      <c r="X107" s="13">
        <v>57.140700000000002</v>
      </c>
      <c r="Y107" s="13">
        <v>-4.7366000000000001</v>
      </c>
      <c r="Z107" s="14">
        <v>209</v>
      </c>
      <c r="AA107" s="133"/>
      <c r="AB107" s="138"/>
    </row>
    <row r="108" spans="1:28" ht="21.75" customHeight="1" x14ac:dyDescent="0.2">
      <c r="A108" s="7" t="s">
        <v>4196</v>
      </c>
      <c r="B108" s="7" t="s">
        <v>4197</v>
      </c>
      <c r="C108" s="7" t="s">
        <v>4013</v>
      </c>
      <c r="D108" s="7" t="s">
        <v>4198</v>
      </c>
      <c r="E108" s="7" t="s">
        <v>263</v>
      </c>
      <c r="F108" s="7" t="s">
        <v>212</v>
      </c>
      <c r="H108" s="1" t="s">
        <v>4200</v>
      </c>
      <c r="I108" s="2">
        <v>3.5</v>
      </c>
      <c r="J108" s="2" t="s">
        <v>5716</v>
      </c>
      <c r="K108" s="2" t="s">
        <v>4480</v>
      </c>
      <c r="L108" s="6">
        <v>2900</v>
      </c>
      <c r="M108" s="6" t="s">
        <v>4207</v>
      </c>
      <c r="N108" s="6">
        <v>1500</v>
      </c>
      <c r="O108" s="45" t="s">
        <v>4203</v>
      </c>
      <c r="R108" s="7" t="s">
        <v>4205</v>
      </c>
      <c r="X108" s="5">
        <v>5.1757999999999997</v>
      </c>
      <c r="Y108" s="5">
        <v>-52.912100000000002</v>
      </c>
      <c r="Z108" s="6">
        <v>75</v>
      </c>
      <c r="AA108" s="134" t="s">
        <v>4210</v>
      </c>
      <c r="AB108" s="139" t="s">
        <v>4202</v>
      </c>
    </row>
    <row r="109" spans="1:28" ht="21.75" customHeight="1" x14ac:dyDescent="0.2">
      <c r="A109" s="7" t="s">
        <v>4196</v>
      </c>
      <c r="B109" s="7" t="s">
        <v>4197</v>
      </c>
      <c r="C109" s="7" t="s">
        <v>4013</v>
      </c>
      <c r="D109" s="7" t="s">
        <v>4198</v>
      </c>
      <c r="E109" s="7" t="s">
        <v>263</v>
      </c>
      <c r="F109" s="7" t="s">
        <v>212</v>
      </c>
      <c r="H109" s="1" t="s">
        <v>4201</v>
      </c>
      <c r="I109" s="2">
        <v>1.6</v>
      </c>
      <c r="J109" s="2" t="s">
        <v>5716</v>
      </c>
      <c r="K109" s="2" t="s">
        <v>4480</v>
      </c>
      <c r="L109" s="6">
        <v>2900</v>
      </c>
      <c r="M109" s="6" t="s">
        <v>4207</v>
      </c>
      <c r="N109" s="6">
        <v>1500</v>
      </c>
      <c r="O109" s="45" t="s">
        <v>4203</v>
      </c>
      <c r="R109" s="7" t="s">
        <v>4205</v>
      </c>
      <c r="X109" s="5">
        <v>5.1757999999999997</v>
      </c>
      <c r="Y109" s="5">
        <v>-52.912100000000002</v>
      </c>
      <c r="Z109" s="6">
        <v>75</v>
      </c>
      <c r="AA109" s="135"/>
      <c r="AB109" s="139"/>
    </row>
    <row r="110" spans="1:28" ht="21.75" customHeight="1" x14ac:dyDescent="0.2">
      <c r="A110" s="7" t="s">
        <v>4196</v>
      </c>
      <c r="B110" s="7" t="s">
        <v>4197</v>
      </c>
      <c r="C110" s="7" t="s">
        <v>4013</v>
      </c>
      <c r="D110" s="7" t="s">
        <v>4199</v>
      </c>
      <c r="E110" s="7" t="s">
        <v>263</v>
      </c>
      <c r="F110" s="7" t="s">
        <v>212</v>
      </c>
      <c r="H110" s="1" t="s">
        <v>4200</v>
      </c>
      <c r="I110" s="2">
        <v>2</v>
      </c>
      <c r="J110" s="2" t="s">
        <v>5716</v>
      </c>
      <c r="K110" s="2" t="s">
        <v>4480</v>
      </c>
      <c r="L110" s="6">
        <v>2900</v>
      </c>
      <c r="M110" s="6" t="s">
        <v>4207</v>
      </c>
      <c r="N110" s="6">
        <v>1500</v>
      </c>
      <c r="O110" s="45" t="s">
        <v>4204</v>
      </c>
      <c r="R110" s="7" t="s">
        <v>4206</v>
      </c>
      <c r="S110" s="7" t="s">
        <v>4209</v>
      </c>
      <c r="T110" s="7">
        <v>1</v>
      </c>
      <c r="X110" s="5">
        <v>5.1657000000000002</v>
      </c>
      <c r="Y110" s="5">
        <v>-52.8932</v>
      </c>
      <c r="Z110" s="6">
        <v>56</v>
      </c>
      <c r="AA110" s="134" t="s">
        <v>4211</v>
      </c>
      <c r="AB110" s="139"/>
    </row>
    <row r="111" spans="1:28" ht="21.75" customHeight="1" x14ac:dyDescent="0.2">
      <c r="A111" s="7" t="s">
        <v>4196</v>
      </c>
      <c r="B111" s="7" t="s">
        <v>4197</v>
      </c>
      <c r="C111" s="7" t="s">
        <v>4013</v>
      </c>
      <c r="D111" s="7" t="s">
        <v>4199</v>
      </c>
      <c r="E111" s="7" t="s">
        <v>263</v>
      </c>
      <c r="F111" s="7" t="s">
        <v>212</v>
      </c>
      <c r="H111" s="1" t="s">
        <v>4201</v>
      </c>
      <c r="I111" s="2">
        <v>1</v>
      </c>
      <c r="J111" s="2" t="s">
        <v>5716</v>
      </c>
      <c r="K111" s="2" t="s">
        <v>4480</v>
      </c>
      <c r="L111" s="6">
        <v>2900</v>
      </c>
      <c r="M111" s="6" t="s">
        <v>4207</v>
      </c>
      <c r="N111" s="6">
        <v>1500</v>
      </c>
      <c r="O111" s="45" t="s">
        <v>4204</v>
      </c>
      <c r="R111" s="7" t="s">
        <v>4206</v>
      </c>
      <c r="S111" s="7" t="s">
        <v>4209</v>
      </c>
      <c r="T111" s="7">
        <v>1</v>
      </c>
      <c r="X111" s="5">
        <v>5.1657000000000002</v>
      </c>
      <c r="Y111" s="5">
        <v>-52.8932</v>
      </c>
      <c r="Z111" s="6">
        <v>56</v>
      </c>
      <c r="AA111" s="135"/>
      <c r="AB111" s="23" t="s">
        <v>4208</v>
      </c>
    </row>
    <row r="112" spans="1:28" s="8" customFormat="1" ht="21.75" customHeight="1" x14ac:dyDescent="0.2">
      <c r="A112" s="8" t="s">
        <v>2808</v>
      </c>
      <c r="B112" s="8" t="s">
        <v>159</v>
      </c>
      <c r="C112" s="8" t="s">
        <v>160</v>
      </c>
      <c r="D112" s="8" t="s">
        <v>148</v>
      </c>
      <c r="E112" s="8" t="s">
        <v>161</v>
      </c>
      <c r="F112" s="8" t="s">
        <v>217</v>
      </c>
      <c r="G112" s="8" t="s">
        <v>231</v>
      </c>
      <c r="H112" s="3" t="s">
        <v>150</v>
      </c>
      <c r="I112" s="4">
        <v>1.2</v>
      </c>
      <c r="J112" s="4" t="s">
        <v>4328</v>
      </c>
      <c r="K112" s="4" t="s">
        <v>4410</v>
      </c>
      <c r="L112" s="14"/>
      <c r="M112" s="14"/>
      <c r="N112" s="14"/>
      <c r="O112" s="110" t="s">
        <v>153</v>
      </c>
      <c r="P112" s="8" t="s">
        <v>151</v>
      </c>
      <c r="R112" s="8" t="s">
        <v>155</v>
      </c>
      <c r="X112" s="13">
        <v>-31.706</v>
      </c>
      <c r="Y112" s="13">
        <v>18.206399999999999</v>
      </c>
      <c r="Z112" s="14">
        <v>4</v>
      </c>
      <c r="AA112" s="132" t="s">
        <v>157</v>
      </c>
      <c r="AB112" s="138" t="s">
        <v>158</v>
      </c>
    </row>
    <row r="113" spans="1:28" s="8" customFormat="1" ht="21.75" customHeight="1" x14ac:dyDescent="0.2">
      <c r="A113" s="8" t="s">
        <v>2808</v>
      </c>
      <c r="B113" s="8" t="s">
        <v>159</v>
      </c>
      <c r="C113" s="8" t="s">
        <v>160</v>
      </c>
      <c r="D113" s="8" t="s">
        <v>149</v>
      </c>
      <c r="E113" s="8" t="s">
        <v>161</v>
      </c>
      <c r="F113" s="8" t="s">
        <v>217</v>
      </c>
      <c r="G113" s="8" t="s">
        <v>231</v>
      </c>
      <c r="H113" s="3" t="s">
        <v>150</v>
      </c>
      <c r="I113" s="4">
        <v>1.2</v>
      </c>
      <c r="J113" s="4" t="s">
        <v>4328</v>
      </c>
      <c r="K113" s="4" t="s">
        <v>4410</v>
      </c>
      <c r="L113" s="14"/>
      <c r="M113" s="14"/>
      <c r="N113" s="14"/>
      <c r="O113" s="110" t="s">
        <v>154</v>
      </c>
      <c r="P113" s="8" t="s">
        <v>152</v>
      </c>
      <c r="R113" s="8" t="s">
        <v>156</v>
      </c>
      <c r="X113" s="13">
        <v>-31.704999999999998</v>
      </c>
      <c r="Y113" s="13">
        <v>18.206</v>
      </c>
      <c r="Z113" s="14">
        <v>2</v>
      </c>
      <c r="AA113" s="133"/>
      <c r="AB113" s="138"/>
    </row>
    <row r="114" spans="1:28" ht="21.75" customHeight="1" x14ac:dyDescent="0.2">
      <c r="A114" s="7" t="s">
        <v>4576</v>
      </c>
      <c r="B114" s="7" t="s">
        <v>4577</v>
      </c>
      <c r="C114" s="7" t="s">
        <v>4160</v>
      </c>
      <c r="D114" s="7" t="s">
        <v>4582</v>
      </c>
      <c r="E114" s="7" t="s">
        <v>263</v>
      </c>
      <c r="F114" s="7" t="s">
        <v>212</v>
      </c>
      <c r="G114" s="7" t="s">
        <v>4579</v>
      </c>
      <c r="H114" s="1" t="s">
        <v>4578</v>
      </c>
      <c r="I114" s="2" t="s">
        <v>857</v>
      </c>
      <c r="J114" s="2" t="s">
        <v>4583</v>
      </c>
      <c r="K114" s="2" t="s">
        <v>4410</v>
      </c>
      <c r="L114" s="6" t="s">
        <v>4581</v>
      </c>
      <c r="M114" s="6" t="s">
        <v>4587</v>
      </c>
      <c r="O114" s="45" t="s">
        <v>4584</v>
      </c>
      <c r="P114" s="7"/>
      <c r="R114" s="7" t="s">
        <v>4585</v>
      </c>
      <c r="U114" s="7" t="s">
        <v>4580</v>
      </c>
      <c r="V114" s="7" t="s">
        <v>4586</v>
      </c>
      <c r="X114" s="5">
        <v>33.437899999999999</v>
      </c>
      <c r="Y114" s="5">
        <v>-117.1824</v>
      </c>
      <c r="Z114" s="6">
        <v>231</v>
      </c>
      <c r="AA114" s="7" t="s">
        <v>4589</v>
      </c>
      <c r="AB114" s="7" t="s">
        <v>4588</v>
      </c>
    </row>
    <row r="115" spans="1:28" s="8" customFormat="1" ht="21.75" customHeight="1" x14ac:dyDescent="0.2">
      <c r="A115" s="8" t="s">
        <v>7175</v>
      </c>
      <c r="B115" s="8" t="s">
        <v>1072</v>
      </c>
      <c r="C115" s="8" t="s">
        <v>1073</v>
      </c>
      <c r="D115" s="8" t="s">
        <v>1074</v>
      </c>
      <c r="E115" s="8" t="s">
        <v>263</v>
      </c>
      <c r="F115" s="8" t="s">
        <v>212</v>
      </c>
      <c r="G115" s="8" t="s">
        <v>1078</v>
      </c>
      <c r="H115" s="3" t="s">
        <v>1075</v>
      </c>
      <c r="I115" s="4">
        <v>4</v>
      </c>
      <c r="J115" s="4" t="s">
        <v>4404</v>
      </c>
      <c r="K115" s="4" t="s">
        <v>4410</v>
      </c>
      <c r="L115" s="14">
        <v>1200</v>
      </c>
      <c r="M115" s="14">
        <v>5</v>
      </c>
      <c r="N115" s="14"/>
      <c r="O115" s="110" t="s">
        <v>1077</v>
      </c>
      <c r="R115" s="8" t="s">
        <v>5722</v>
      </c>
      <c r="X115" s="13">
        <v>-4.1532999999999998</v>
      </c>
      <c r="Y115" s="13">
        <v>11.688800000000001</v>
      </c>
      <c r="Z115" s="14">
        <v>77</v>
      </c>
      <c r="AA115" s="22" t="s">
        <v>1079</v>
      </c>
      <c r="AB115" s="8" t="s">
        <v>1076</v>
      </c>
    </row>
    <row r="116" spans="1:28" ht="21.75" customHeight="1" x14ac:dyDescent="0.2">
      <c r="A116" s="7" t="s">
        <v>2564</v>
      </c>
      <c r="B116" s="7" t="s">
        <v>2565</v>
      </c>
      <c r="C116" s="7" t="s">
        <v>143</v>
      </c>
      <c r="D116" s="7" t="s">
        <v>2567</v>
      </c>
      <c r="E116" s="7" t="s">
        <v>734</v>
      </c>
      <c r="F116" s="7" t="s">
        <v>212</v>
      </c>
      <c r="G116" s="7" t="s">
        <v>2569</v>
      </c>
      <c r="H116" s="1" t="s">
        <v>2568</v>
      </c>
      <c r="I116" s="2">
        <v>2</v>
      </c>
      <c r="J116" s="2" t="s">
        <v>4404</v>
      </c>
      <c r="K116" s="2" t="s">
        <v>4410</v>
      </c>
      <c r="O116" s="45" t="s">
        <v>2570</v>
      </c>
      <c r="P116" s="7"/>
      <c r="R116" s="7" t="s">
        <v>2566</v>
      </c>
      <c r="X116" s="5">
        <v>48.733800000000002</v>
      </c>
      <c r="Y116" s="5">
        <v>6.3261000000000003</v>
      </c>
      <c r="Z116" s="6">
        <v>237</v>
      </c>
      <c r="AA116" s="44" t="s">
        <v>2572</v>
      </c>
      <c r="AB116" s="7" t="s">
        <v>2571</v>
      </c>
    </row>
    <row r="117" spans="1:28" ht="21.75" customHeight="1" x14ac:dyDescent="0.2">
      <c r="A117" s="7" t="s">
        <v>2564</v>
      </c>
      <c r="B117" s="7" t="s">
        <v>2565</v>
      </c>
      <c r="C117" s="7" t="s">
        <v>143</v>
      </c>
      <c r="D117" s="7" t="s">
        <v>2567</v>
      </c>
      <c r="E117" s="7" t="s">
        <v>734</v>
      </c>
      <c r="F117" s="7" t="s">
        <v>212</v>
      </c>
      <c r="G117" s="7" t="s">
        <v>1728</v>
      </c>
      <c r="H117" s="1" t="s">
        <v>1729</v>
      </c>
      <c r="I117" s="2">
        <v>1.6</v>
      </c>
      <c r="J117" s="2" t="s">
        <v>4404</v>
      </c>
      <c r="K117" s="2" t="s">
        <v>4410</v>
      </c>
      <c r="O117" s="45" t="s">
        <v>2570</v>
      </c>
      <c r="P117" s="7"/>
      <c r="R117" s="7" t="s">
        <v>2566</v>
      </c>
      <c r="X117" s="5">
        <v>48.733800000000002</v>
      </c>
      <c r="Y117" s="5">
        <v>6.3261000000000003</v>
      </c>
      <c r="Z117" s="6">
        <v>237</v>
      </c>
      <c r="AA117" s="44"/>
    </row>
    <row r="118" spans="1:28" s="8" customFormat="1" ht="21.75" customHeight="1" x14ac:dyDescent="0.2">
      <c r="A118" s="8" t="s">
        <v>3102</v>
      </c>
      <c r="B118" s="8" t="s">
        <v>3114</v>
      </c>
      <c r="C118" s="8" t="s">
        <v>46</v>
      </c>
      <c r="D118" s="8" t="s">
        <v>3113</v>
      </c>
      <c r="E118" s="8" t="s">
        <v>263</v>
      </c>
      <c r="F118" s="8" t="s">
        <v>214</v>
      </c>
      <c r="G118" s="8" t="s">
        <v>3105</v>
      </c>
      <c r="H118" s="3" t="s">
        <v>510</v>
      </c>
      <c r="I118" s="8" t="s">
        <v>3116</v>
      </c>
      <c r="J118" s="4" t="s">
        <v>4404</v>
      </c>
      <c r="K118" s="4" t="s">
        <v>4410</v>
      </c>
      <c r="L118" s="14">
        <v>264</v>
      </c>
      <c r="M118" s="14" t="s">
        <v>3115</v>
      </c>
      <c r="N118" s="14"/>
      <c r="O118" s="110" t="s">
        <v>3109</v>
      </c>
      <c r="R118" s="8" t="s">
        <v>3111</v>
      </c>
      <c r="S118" s="8" t="s">
        <v>3110</v>
      </c>
      <c r="T118" s="8" t="s">
        <v>664</v>
      </c>
      <c r="X118" s="13">
        <v>26.4893</v>
      </c>
      <c r="Y118" s="13">
        <v>-103.4374</v>
      </c>
      <c r="Z118" s="14">
        <v>1100</v>
      </c>
      <c r="AA118" s="22"/>
      <c r="AB118" s="8" t="s">
        <v>3112</v>
      </c>
    </row>
    <row r="119" spans="1:28" s="8" customFormat="1" ht="21.75" customHeight="1" x14ac:dyDescent="0.2">
      <c r="A119" s="8" t="s">
        <v>3102</v>
      </c>
      <c r="B119" s="8" t="s">
        <v>3114</v>
      </c>
      <c r="C119" s="8" t="s">
        <v>46</v>
      </c>
      <c r="D119" s="8" t="s">
        <v>3113</v>
      </c>
      <c r="E119" s="8" t="s">
        <v>398</v>
      </c>
      <c r="F119" s="8" t="s">
        <v>3108</v>
      </c>
      <c r="G119" s="8" t="s">
        <v>3106</v>
      </c>
      <c r="H119" s="3" t="s">
        <v>3103</v>
      </c>
      <c r="I119" s="4">
        <v>0.72499999999999998</v>
      </c>
      <c r="J119" s="4" t="s">
        <v>4404</v>
      </c>
      <c r="K119" s="4" t="s">
        <v>4410</v>
      </c>
      <c r="L119" s="14">
        <v>264</v>
      </c>
      <c r="M119" s="14" t="s">
        <v>3115</v>
      </c>
      <c r="N119" s="14"/>
      <c r="O119" s="110" t="s">
        <v>3109</v>
      </c>
      <c r="R119" s="8" t="s">
        <v>3111</v>
      </c>
      <c r="S119" s="8" t="s">
        <v>3110</v>
      </c>
      <c r="T119" s="8" t="s">
        <v>664</v>
      </c>
      <c r="X119" s="13">
        <v>26.4893</v>
      </c>
      <c r="Y119" s="13">
        <v>-103.4374</v>
      </c>
      <c r="Z119" s="14">
        <v>1100</v>
      </c>
      <c r="AA119" s="22"/>
      <c r="AB119" s="8" t="s">
        <v>3112</v>
      </c>
    </row>
    <row r="120" spans="1:28" s="8" customFormat="1" ht="21.75" customHeight="1" x14ac:dyDescent="0.2">
      <c r="A120" s="8" t="s">
        <v>3102</v>
      </c>
      <c r="B120" s="8" t="s">
        <v>3114</v>
      </c>
      <c r="C120" s="8" t="s">
        <v>46</v>
      </c>
      <c r="D120" s="8" t="s">
        <v>3113</v>
      </c>
      <c r="E120" s="8" t="s">
        <v>398</v>
      </c>
      <c r="F120" s="8" t="s">
        <v>1590</v>
      </c>
      <c r="G120" s="8" t="s">
        <v>3107</v>
      </c>
      <c r="H120" s="3" t="s">
        <v>3104</v>
      </c>
      <c r="I120" s="4">
        <v>0.28000000000000003</v>
      </c>
      <c r="J120" s="4" t="s">
        <v>4404</v>
      </c>
      <c r="K120" s="4" t="s">
        <v>4410</v>
      </c>
      <c r="L120" s="14">
        <v>264</v>
      </c>
      <c r="M120" s="14" t="s">
        <v>3115</v>
      </c>
      <c r="N120" s="14"/>
      <c r="O120" s="110" t="s">
        <v>3109</v>
      </c>
      <c r="R120" s="8" t="s">
        <v>3111</v>
      </c>
      <c r="S120" s="8" t="s">
        <v>3110</v>
      </c>
      <c r="T120" s="8" t="s">
        <v>664</v>
      </c>
      <c r="X120" s="13">
        <v>26.4893</v>
      </c>
      <c r="Y120" s="13">
        <v>-103.4374</v>
      </c>
      <c r="Z120" s="14">
        <v>1100</v>
      </c>
      <c r="AA120" s="22"/>
      <c r="AB120" s="8" t="s">
        <v>3112</v>
      </c>
    </row>
    <row r="121" spans="1:28" ht="21.75" customHeight="1" x14ac:dyDescent="0.2">
      <c r="A121" s="7" t="s">
        <v>2928</v>
      </c>
      <c r="B121" s="7" t="s">
        <v>2929</v>
      </c>
      <c r="C121" s="7" t="s">
        <v>466</v>
      </c>
      <c r="D121" s="7" t="s">
        <v>2937</v>
      </c>
      <c r="E121" s="7" t="s">
        <v>734</v>
      </c>
      <c r="F121" s="7" t="s">
        <v>212</v>
      </c>
      <c r="G121" s="7" t="s">
        <v>279</v>
      </c>
      <c r="H121" s="1" t="s">
        <v>2932</v>
      </c>
      <c r="I121" s="2">
        <v>5</v>
      </c>
      <c r="J121" s="2" t="s">
        <v>5717</v>
      </c>
      <c r="K121" s="2" t="s">
        <v>4480</v>
      </c>
      <c r="L121" s="6">
        <v>507</v>
      </c>
      <c r="M121" s="6" t="s">
        <v>2930</v>
      </c>
      <c r="O121" s="45" t="s">
        <v>2934</v>
      </c>
      <c r="P121" s="7" t="s">
        <v>2939</v>
      </c>
      <c r="R121" s="7" t="s">
        <v>2944</v>
      </c>
      <c r="X121" s="5">
        <v>30.968800000000002</v>
      </c>
      <c r="Y121" s="5">
        <v>-110.28149999999999</v>
      </c>
      <c r="Z121" s="6">
        <v>1560</v>
      </c>
      <c r="AA121" s="44" t="s">
        <v>2943</v>
      </c>
      <c r="AB121" s="7" t="s">
        <v>2936</v>
      </c>
    </row>
    <row r="122" spans="1:28" ht="21.75" customHeight="1" x14ac:dyDescent="0.2">
      <c r="A122" s="7" t="s">
        <v>2928</v>
      </c>
      <c r="B122" s="7" t="s">
        <v>2929</v>
      </c>
      <c r="C122" s="7" t="s">
        <v>466</v>
      </c>
      <c r="D122" s="7" t="s">
        <v>2938</v>
      </c>
      <c r="E122" s="7" t="s">
        <v>398</v>
      </c>
      <c r="F122" s="7" t="s">
        <v>62</v>
      </c>
      <c r="G122" s="7" t="s">
        <v>2933</v>
      </c>
      <c r="H122" s="1" t="s">
        <v>2931</v>
      </c>
      <c r="I122" s="2">
        <v>0.3</v>
      </c>
      <c r="J122" s="2" t="s">
        <v>5717</v>
      </c>
      <c r="K122" s="2" t="s">
        <v>4480</v>
      </c>
      <c r="L122" s="6">
        <v>507</v>
      </c>
      <c r="M122" s="6" t="s">
        <v>2930</v>
      </c>
      <c r="O122" s="45" t="s">
        <v>2935</v>
      </c>
      <c r="P122" s="7" t="s">
        <v>2940</v>
      </c>
      <c r="R122" s="7" t="s">
        <v>2945</v>
      </c>
      <c r="X122" s="5">
        <v>30.966000000000001</v>
      </c>
      <c r="Y122" s="5">
        <v>-110.2829</v>
      </c>
      <c r="Z122" s="6">
        <v>1533</v>
      </c>
      <c r="AA122" s="44" t="s">
        <v>2942</v>
      </c>
      <c r="AB122" s="7" t="s">
        <v>2941</v>
      </c>
    </row>
    <row r="123" spans="1:28" s="8" customFormat="1" ht="21.75" customHeight="1" x14ac:dyDescent="0.2">
      <c r="A123" s="8" t="s">
        <v>171</v>
      </c>
      <c r="B123" s="8" t="s">
        <v>187</v>
      </c>
      <c r="C123" s="8" t="s">
        <v>188</v>
      </c>
      <c r="E123" s="8" t="s">
        <v>232</v>
      </c>
      <c r="F123" s="8" t="s">
        <v>172</v>
      </c>
      <c r="H123" s="3" t="s">
        <v>162</v>
      </c>
      <c r="I123" s="4" t="s">
        <v>177</v>
      </c>
      <c r="J123" s="4" t="s">
        <v>4367</v>
      </c>
      <c r="K123" s="4" t="s">
        <v>4480</v>
      </c>
      <c r="L123" s="14">
        <v>178</v>
      </c>
      <c r="M123" s="14">
        <v>6</v>
      </c>
      <c r="N123" s="14"/>
      <c r="O123" s="110"/>
      <c r="P123" s="4"/>
      <c r="Q123" s="8">
        <v>3</v>
      </c>
      <c r="R123" s="8" t="s">
        <v>184</v>
      </c>
      <c r="S123" s="8" t="s">
        <v>185</v>
      </c>
      <c r="T123" s="8" t="s">
        <v>186</v>
      </c>
      <c r="X123" s="13">
        <v>-46.5167</v>
      </c>
      <c r="Y123" s="13">
        <v>-71.05</v>
      </c>
      <c r="Z123" s="14" t="s">
        <v>183</v>
      </c>
      <c r="AA123" s="132" t="s">
        <v>191</v>
      </c>
      <c r="AB123" s="138" t="s">
        <v>192</v>
      </c>
    </row>
    <row r="124" spans="1:28" s="8" customFormat="1" ht="21.75" customHeight="1" x14ac:dyDescent="0.2">
      <c r="A124" s="8" t="s">
        <v>171</v>
      </c>
      <c r="B124" s="8" t="s">
        <v>187</v>
      </c>
      <c r="C124" s="8" t="s">
        <v>188</v>
      </c>
      <c r="E124" s="8" t="s">
        <v>739</v>
      </c>
      <c r="F124" s="8" t="s">
        <v>176</v>
      </c>
      <c r="H124" s="3" t="s">
        <v>163</v>
      </c>
      <c r="I124" s="4" t="s">
        <v>177</v>
      </c>
      <c r="J124" s="4" t="s">
        <v>4367</v>
      </c>
      <c r="K124" s="4" t="s">
        <v>4480</v>
      </c>
      <c r="L124" s="14">
        <v>178</v>
      </c>
      <c r="M124" s="14">
        <v>6</v>
      </c>
      <c r="N124" s="14"/>
      <c r="O124" s="110"/>
      <c r="P124" s="4"/>
      <c r="Q124" s="8">
        <v>3</v>
      </c>
      <c r="R124" s="8" t="s">
        <v>184</v>
      </c>
      <c r="S124" s="8" t="s">
        <v>185</v>
      </c>
      <c r="T124" s="8" t="s">
        <v>186</v>
      </c>
      <c r="X124" s="13">
        <v>-46.5167</v>
      </c>
      <c r="Y124" s="13">
        <v>-71.05</v>
      </c>
      <c r="Z124" s="14" t="s">
        <v>183</v>
      </c>
      <c r="AA124" s="137"/>
      <c r="AB124" s="138"/>
    </row>
    <row r="125" spans="1:28" s="8" customFormat="1" ht="21.75" customHeight="1" x14ac:dyDescent="0.2">
      <c r="A125" s="8" t="s">
        <v>171</v>
      </c>
      <c r="B125" s="8" t="s">
        <v>187</v>
      </c>
      <c r="C125" s="8" t="s">
        <v>188</v>
      </c>
      <c r="E125" s="8" t="s">
        <v>739</v>
      </c>
      <c r="F125" s="8" t="s">
        <v>173</v>
      </c>
      <c r="H125" s="3" t="s">
        <v>164</v>
      </c>
      <c r="I125" s="4" t="s">
        <v>177</v>
      </c>
      <c r="J125" s="4" t="s">
        <v>4367</v>
      </c>
      <c r="K125" s="4" t="s">
        <v>4480</v>
      </c>
      <c r="L125" s="14">
        <v>178</v>
      </c>
      <c r="M125" s="14">
        <v>6</v>
      </c>
      <c r="N125" s="14"/>
      <c r="O125" s="110"/>
      <c r="P125" s="4"/>
      <c r="Q125" s="8">
        <v>3</v>
      </c>
      <c r="R125" s="8" t="s">
        <v>184</v>
      </c>
      <c r="S125" s="8" t="s">
        <v>185</v>
      </c>
      <c r="T125" s="8" t="s">
        <v>186</v>
      </c>
      <c r="X125" s="13">
        <v>-46.5167</v>
      </c>
      <c r="Y125" s="13">
        <v>-71.05</v>
      </c>
      <c r="Z125" s="14" t="s">
        <v>183</v>
      </c>
      <c r="AA125" s="137"/>
      <c r="AB125" s="138"/>
    </row>
    <row r="126" spans="1:28" s="8" customFormat="1" ht="21.75" customHeight="1" x14ac:dyDescent="0.2">
      <c r="A126" s="8" t="s">
        <v>171</v>
      </c>
      <c r="B126" s="8" t="s">
        <v>187</v>
      </c>
      <c r="C126" s="8" t="s">
        <v>188</v>
      </c>
      <c r="E126" s="8" t="s">
        <v>232</v>
      </c>
      <c r="F126" s="8" t="s">
        <v>174</v>
      </c>
      <c r="H126" s="3" t="s">
        <v>165</v>
      </c>
      <c r="I126" s="4" t="s">
        <v>177</v>
      </c>
      <c r="J126" s="4" t="s">
        <v>4367</v>
      </c>
      <c r="K126" s="4" t="s">
        <v>4480</v>
      </c>
      <c r="L126" s="14">
        <v>178</v>
      </c>
      <c r="M126" s="14">
        <v>6</v>
      </c>
      <c r="N126" s="14"/>
      <c r="O126" s="110"/>
      <c r="P126" s="4"/>
      <c r="Q126" s="8">
        <v>3</v>
      </c>
      <c r="R126" s="8" t="s">
        <v>184</v>
      </c>
      <c r="S126" s="8" t="s">
        <v>185</v>
      </c>
      <c r="T126" s="8" t="s">
        <v>186</v>
      </c>
      <c r="X126" s="13">
        <v>-46.5167</v>
      </c>
      <c r="Y126" s="13">
        <v>-71.05</v>
      </c>
      <c r="Z126" s="14" t="s">
        <v>183</v>
      </c>
      <c r="AA126" s="137"/>
      <c r="AB126" s="138"/>
    </row>
    <row r="127" spans="1:28" s="8" customFormat="1" ht="21.75" customHeight="1" x14ac:dyDescent="0.2">
      <c r="A127" s="8" t="s">
        <v>171</v>
      </c>
      <c r="B127" s="8" t="s">
        <v>187</v>
      </c>
      <c r="C127" s="8" t="s">
        <v>188</v>
      </c>
      <c r="E127" s="8" t="s">
        <v>232</v>
      </c>
      <c r="F127" s="8" t="s">
        <v>175</v>
      </c>
      <c r="H127" s="3" t="s">
        <v>166</v>
      </c>
      <c r="I127" s="4" t="s">
        <v>178</v>
      </c>
      <c r="J127" s="4" t="s">
        <v>4367</v>
      </c>
      <c r="K127" s="4" t="s">
        <v>4480</v>
      </c>
      <c r="L127" s="14">
        <v>188</v>
      </c>
      <c r="M127" s="14">
        <v>6</v>
      </c>
      <c r="N127" s="14"/>
      <c r="O127" s="110"/>
      <c r="P127" s="4"/>
      <c r="Q127" s="8">
        <v>3</v>
      </c>
      <c r="R127" s="8" t="s">
        <v>184</v>
      </c>
      <c r="S127" s="8" t="s">
        <v>185</v>
      </c>
      <c r="T127" s="8" t="s">
        <v>186</v>
      </c>
      <c r="X127" s="13">
        <v>-46.5167</v>
      </c>
      <c r="Y127" s="13">
        <v>-71.05</v>
      </c>
      <c r="Z127" s="14" t="s">
        <v>183</v>
      </c>
      <c r="AA127" s="133"/>
      <c r="AB127" s="138" t="s">
        <v>182</v>
      </c>
    </row>
    <row r="128" spans="1:28" s="8" customFormat="1" ht="21.75" customHeight="1" x14ac:dyDescent="0.2">
      <c r="A128" s="8" t="s">
        <v>171</v>
      </c>
      <c r="B128" s="8" t="s">
        <v>187</v>
      </c>
      <c r="C128" s="8" t="s">
        <v>188</v>
      </c>
      <c r="E128" s="8" t="s">
        <v>232</v>
      </c>
      <c r="F128" s="8" t="s">
        <v>175</v>
      </c>
      <c r="H128" s="3" t="s">
        <v>167</v>
      </c>
      <c r="I128" s="4">
        <v>2</v>
      </c>
      <c r="J128" s="4" t="s">
        <v>4367</v>
      </c>
      <c r="K128" s="4" t="s">
        <v>4480</v>
      </c>
      <c r="L128" s="14">
        <v>188</v>
      </c>
      <c r="M128" s="14">
        <v>6</v>
      </c>
      <c r="N128" s="14"/>
      <c r="O128" s="110"/>
      <c r="P128" s="4"/>
      <c r="Q128" s="8">
        <v>3</v>
      </c>
      <c r="R128" s="8" t="s">
        <v>184</v>
      </c>
      <c r="S128" s="8" t="s">
        <v>185</v>
      </c>
      <c r="T128" s="8" t="s">
        <v>186</v>
      </c>
      <c r="X128" s="13">
        <v>-46.5167</v>
      </c>
      <c r="Y128" s="13">
        <v>-71.05</v>
      </c>
      <c r="Z128" s="14" t="s">
        <v>183</v>
      </c>
      <c r="AA128" s="8" t="s">
        <v>180</v>
      </c>
      <c r="AB128" s="138"/>
    </row>
    <row r="129" spans="1:28" s="8" customFormat="1" ht="21.75" customHeight="1" x14ac:dyDescent="0.2">
      <c r="A129" s="8" t="s">
        <v>171</v>
      </c>
      <c r="B129" s="8" t="s">
        <v>187</v>
      </c>
      <c r="C129" s="8" t="s">
        <v>188</v>
      </c>
      <c r="E129" s="8" t="s">
        <v>735</v>
      </c>
      <c r="F129" s="8" t="s">
        <v>175</v>
      </c>
      <c r="H129" s="3" t="s">
        <v>168</v>
      </c>
      <c r="I129" s="4">
        <v>1.5</v>
      </c>
      <c r="J129" s="4" t="s">
        <v>4367</v>
      </c>
      <c r="K129" s="4" t="s">
        <v>4480</v>
      </c>
      <c r="L129" s="14">
        <v>188</v>
      </c>
      <c r="M129" s="14">
        <v>6</v>
      </c>
      <c r="N129" s="14"/>
      <c r="O129" s="110"/>
      <c r="P129" s="4"/>
      <c r="Q129" s="8">
        <v>3</v>
      </c>
      <c r="R129" s="8" t="s">
        <v>184</v>
      </c>
      <c r="S129" s="8" t="s">
        <v>185</v>
      </c>
      <c r="T129" s="8" t="s">
        <v>186</v>
      </c>
      <c r="X129" s="13">
        <v>-46.5167</v>
      </c>
      <c r="Y129" s="13">
        <v>-71.05</v>
      </c>
      <c r="Z129" s="14" t="s">
        <v>183</v>
      </c>
      <c r="AA129" s="8" t="s">
        <v>181</v>
      </c>
      <c r="AB129" s="138"/>
    </row>
    <row r="130" spans="1:28" s="8" customFormat="1" ht="21.75" customHeight="1" x14ac:dyDescent="0.2">
      <c r="A130" s="8" t="s">
        <v>171</v>
      </c>
      <c r="B130" s="8" t="s">
        <v>187</v>
      </c>
      <c r="C130" s="8" t="s">
        <v>188</v>
      </c>
      <c r="E130" s="8" t="s">
        <v>233</v>
      </c>
      <c r="F130" s="8" t="s">
        <v>175</v>
      </c>
      <c r="H130" s="3" t="s">
        <v>169</v>
      </c>
      <c r="I130" s="4" t="s">
        <v>179</v>
      </c>
      <c r="J130" s="4" t="s">
        <v>4367</v>
      </c>
      <c r="K130" s="4" t="s">
        <v>4480</v>
      </c>
      <c r="L130" s="14">
        <v>188</v>
      </c>
      <c r="M130" s="14">
        <v>6</v>
      </c>
      <c r="N130" s="14"/>
      <c r="O130" s="110"/>
      <c r="P130" s="4"/>
      <c r="Q130" s="8">
        <v>3</v>
      </c>
      <c r="R130" s="8" t="s">
        <v>184</v>
      </c>
      <c r="S130" s="8" t="s">
        <v>185</v>
      </c>
      <c r="T130" s="8" t="s">
        <v>186</v>
      </c>
      <c r="X130" s="13">
        <v>-46.5167</v>
      </c>
      <c r="Y130" s="13">
        <v>-71.05</v>
      </c>
      <c r="Z130" s="14" t="s">
        <v>183</v>
      </c>
      <c r="AA130" s="8" t="s">
        <v>189</v>
      </c>
      <c r="AB130" s="138"/>
    </row>
    <row r="131" spans="1:28" s="8" customFormat="1" ht="21.75" customHeight="1" x14ac:dyDescent="0.2">
      <c r="A131" s="8" t="s">
        <v>171</v>
      </c>
      <c r="B131" s="8" t="s">
        <v>187</v>
      </c>
      <c r="C131" s="8" t="s">
        <v>188</v>
      </c>
      <c r="E131" s="8" t="s">
        <v>233</v>
      </c>
      <c r="F131" s="8" t="s">
        <v>175</v>
      </c>
      <c r="H131" s="3" t="s">
        <v>170</v>
      </c>
      <c r="I131" s="4" t="s">
        <v>179</v>
      </c>
      <c r="J131" s="4" t="s">
        <v>4367</v>
      </c>
      <c r="K131" s="4" t="s">
        <v>4480</v>
      </c>
      <c r="L131" s="14">
        <v>188</v>
      </c>
      <c r="M131" s="14">
        <v>6</v>
      </c>
      <c r="N131" s="14"/>
      <c r="O131" s="110"/>
      <c r="P131" s="4"/>
      <c r="Q131" s="8">
        <v>3</v>
      </c>
      <c r="R131" s="8" t="s">
        <v>184</v>
      </c>
      <c r="S131" s="8" t="s">
        <v>185</v>
      </c>
      <c r="T131" s="8" t="s">
        <v>186</v>
      </c>
      <c r="X131" s="13">
        <v>-46.5167</v>
      </c>
      <c r="Y131" s="13">
        <v>-71.05</v>
      </c>
      <c r="Z131" s="14" t="s">
        <v>183</v>
      </c>
      <c r="AA131" s="19" t="s">
        <v>190</v>
      </c>
      <c r="AB131" s="138"/>
    </row>
    <row r="132" spans="1:28" ht="21.75" customHeight="1" x14ac:dyDescent="0.2">
      <c r="A132" s="7" t="s">
        <v>193</v>
      </c>
      <c r="B132" s="7" t="s">
        <v>235</v>
      </c>
      <c r="C132" s="7" t="s">
        <v>253</v>
      </c>
      <c r="E132" s="7" t="s">
        <v>280</v>
      </c>
      <c r="F132" s="7" t="s">
        <v>212</v>
      </c>
      <c r="G132" s="7" t="s">
        <v>194</v>
      </c>
      <c r="H132" s="1" t="s">
        <v>195</v>
      </c>
      <c r="I132" s="2">
        <f>30*0.3048</f>
        <v>9.1440000000000001</v>
      </c>
      <c r="J132" s="2" t="s">
        <v>4367</v>
      </c>
      <c r="K132" s="2" t="s">
        <v>5713</v>
      </c>
      <c r="L132" s="6">
        <v>335</v>
      </c>
      <c r="R132" s="7" t="s">
        <v>234</v>
      </c>
      <c r="S132" s="7" t="s">
        <v>251</v>
      </c>
      <c r="T132" s="7" t="s">
        <v>236</v>
      </c>
      <c r="W132" s="7" t="s">
        <v>252</v>
      </c>
      <c r="X132" s="24">
        <v>36.589799999999997</v>
      </c>
      <c r="Y132" s="24">
        <v>-101.6189</v>
      </c>
      <c r="Z132" s="20">
        <v>1001</v>
      </c>
      <c r="AA132" s="7" t="s">
        <v>237</v>
      </c>
      <c r="AB132" s="7" t="s">
        <v>249</v>
      </c>
    </row>
    <row r="133" spans="1:28" ht="21.75" customHeight="1" x14ac:dyDescent="0.2">
      <c r="A133" s="7" t="s">
        <v>193</v>
      </c>
      <c r="B133" s="7" t="s">
        <v>235</v>
      </c>
      <c r="C133" s="7" t="s">
        <v>253</v>
      </c>
      <c r="E133" s="7" t="s">
        <v>280</v>
      </c>
      <c r="F133" s="7" t="s">
        <v>212</v>
      </c>
      <c r="G133" s="7" t="s">
        <v>196</v>
      </c>
      <c r="H133" s="1" t="s">
        <v>197</v>
      </c>
      <c r="I133" s="2">
        <f>32*0.3048</f>
        <v>9.7536000000000005</v>
      </c>
      <c r="J133" s="2" t="s">
        <v>4367</v>
      </c>
      <c r="K133" s="2" t="s">
        <v>5713</v>
      </c>
      <c r="L133" s="6">
        <v>335</v>
      </c>
      <c r="R133" s="7" t="s">
        <v>234</v>
      </c>
      <c r="S133" s="7" t="s">
        <v>251</v>
      </c>
      <c r="T133" s="7" t="s">
        <v>236</v>
      </c>
      <c r="W133" s="7" t="s">
        <v>252</v>
      </c>
      <c r="X133" s="24">
        <v>36.597200000000001</v>
      </c>
      <c r="Y133" s="24">
        <v>-101.6189</v>
      </c>
      <c r="Z133" s="20">
        <v>999</v>
      </c>
      <c r="AA133" s="7" t="s">
        <v>241</v>
      </c>
      <c r="AB133" s="7" t="s">
        <v>250</v>
      </c>
    </row>
    <row r="134" spans="1:28" ht="21.75" customHeight="1" x14ac:dyDescent="0.2">
      <c r="A134" s="7" t="s">
        <v>193</v>
      </c>
      <c r="B134" s="7" t="s">
        <v>235</v>
      </c>
      <c r="C134" s="7" t="s">
        <v>253</v>
      </c>
      <c r="E134" s="7" t="s">
        <v>280</v>
      </c>
      <c r="F134" s="7" t="s">
        <v>212</v>
      </c>
      <c r="G134" s="7" t="s">
        <v>198</v>
      </c>
      <c r="H134" s="1" t="s">
        <v>199</v>
      </c>
      <c r="I134" s="2">
        <f>26*0.3048</f>
        <v>7.9248000000000003</v>
      </c>
      <c r="J134" s="2" t="s">
        <v>4367</v>
      </c>
      <c r="K134" s="2" t="s">
        <v>5713</v>
      </c>
      <c r="L134" s="6">
        <v>335</v>
      </c>
      <c r="R134" s="7" t="s">
        <v>234</v>
      </c>
      <c r="S134" s="7" t="s">
        <v>251</v>
      </c>
      <c r="T134" s="7" t="s">
        <v>236</v>
      </c>
      <c r="W134" s="7" t="s">
        <v>252</v>
      </c>
      <c r="X134" s="24">
        <v>36.588799999999999</v>
      </c>
      <c r="Y134" s="24">
        <v>-101.6367</v>
      </c>
      <c r="Z134" s="20">
        <v>1006</v>
      </c>
      <c r="AA134" s="7" t="s">
        <v>243</v>
      </c>
      <c r="AB134" s="7" t="s">
        <v>247</v>
      </c>
    </row>
    <row r="135" spans="1:28" ht="21.75" customHeight="1" x14ac:dyDescent="0.2">
      <c r="A135" s="7" t="s">
        <v>193</v>
      </c>
      <c r="B135" s="7" t="s">
        <v>235</v>
      </c>
      <c r="C135" s="7" t="s">
        <v>253</v>
      </c>
      <c r="E135" s="7" t="s">
        <v>280</v>
      </c>
      <c r="F135" s="7" t="s">
        <v>212</v>
      </c>
      <c r="G135" s="7" t="s">
        <v>200</v>
      </c>
      <c r="H135" s="1" t="s">
        <v>201</v>
      </c>
      <c r="I135" s="2">
        <f>28*0.3048</f>
        <v>8.5343999999999998</v>
      </c>
      <c r="J135" s="2" t="s">
        <v>4367</v>
      </c>
      <c r="K135" s="2" t="s">
        <v>5713</v>
      </c>
      <c r="L135" s="6">
        <v>335</v>
      </c>
      <c r="R135" s="7" t="s">
        <v>234</v>
      </c>
      <c r="S135" s="7" t="s">
        <v>251</v>
      </c>
      <c r="T135" s="7" t="s">
        <v>236</v>
      </c>
      <c r="W135" s="7" t="s">
        <v>252</v>
      </c>
      <c r="X135" s="24">
        <v>36.611800000000002</v>
      </c>
      <c r="Y135" s="24">
        <v>-101.6187</v>
      </c>
      <c r="Z135" s="20">
        <v>999</v>
      </c>
      <c r="AA135" s="7" t="s">
        <v>244</v>
      </c>
      <c r="AB135" s="7" t="s">
        <v>248</v>
      </c>
    </row>
    <row r="136" spans="1:28" ht="21.75" customHeight="1" x14ac:dyDescent="0.2">
      <c r="A136" s="7" t="s">
        <v>193</v>
      </c>
      <c r="B136" s="7" t="s">
        <v>235</v>
      </c>
      <c r="C136" s="7" t="s">
        <v>253</v>
      </c>
      <c r="E136" s="7" t="s">
        <v>280</v>
      </c>
      <c r="F136" s="7" t="s">
        <v>212</v>
      </c>
      <c r="G136" s="7" t="s">
        <v>202</v>
      </c>
      <c r="H136" s="1" t="s">
        <v>203</v>
      </c>
      <c r="I136" s="2">
        <f>13*0.3048</f>
        <v>3.9624000000000001</v>
      </c>
      <c r="J136" s="2" t="s">
        <v>4367</v>
      </c>
      <c r="K136" s="2" t="s">
        <v>5713</v>
      </c>
      <c r="L136" s="6">
        <v>335</v>
      </c>
      <c r="R136" s="7" t="s">
        <v>234</v>
      </c>
      <c r="S136" s="7" t="s">
        <v>251</v>
      </c>
      <c r="T136" s="7" t="s">
        <v>236</v>
      </c>
      <c r="W136" s="7" t="s">
        <v>252</v>
      </c>
      <c r="X136" s="24">
        <v>36.616599999999998</v>
      </c>
      <c r="Y136" s="24">
        <v>-101.59990000000001</v>
      </c>
      <c r="Z136" s="20">
        <v>995</v>
      </c>
      <c r="AA136" s="7" t="s">
        <v>245</v>
      </c>
    </row>
    <row r="137" spans="1:28" ht="21.75" customHeight="1" x14ac:dyDescent="0.2">
      <c r="A137" s="7" t="s">
        <v>193</v>
      </c>
      <c r="B137" s="7" t="s">
        <v>235</v>
      </c>
      <c r="C137" s="7" t="s">
        <v>253</v>
      </c>
      <c r="E137" s="7" t="s">
        <v>280</v>
      </c>
      <c r="F137" s="7" t="s">
        <v>212</v>
      </c>
      <c r="G137" s="7" t="s">
        <v>204</v>
      </c>
      <c r="H137" s="1" t="s">
        <v>205</v>
      </c>
      <c r="I137" s="2">
        <f>11*0.3048</f>
        <v>3.3528000000000002</v>
      </c>
      <c r="J137" s="2" t="s">
        <v>4367</v>
      </c>
      <c r="K137" s="2" t="s">
        <v>5713</v>
      </c>
      <c r="L137" s="6">
        <v>335</v>
      </c>
      <c r="R137" s="7" t="s">
        <v>234</v>
      </c>
      <c r="S137" s="7" t="s">
        <v>251</v>
      </c>
      <c r="T137" s="7" t="s">
        <v>236</v>
      </c>
      <c r="W137" s="7" t="s">
        <v>252</v>
      </c>
      <c r="X137" s="24">
        <v>36.633299999999998</v>
      </c>
      <c r="Y137" s="24">
        <v>-101.63760000000001</v>
      </c>
      <c r="Z137" s="20">
        <v>1009</v>
      </c>
      <c r="AA137" s="7" t="s">
        <v>238</v>
      </c>
    </row>
    <row r="138" spans="1:28" ht="21.75" customHeight="1" x14ac:dyDescent="0.2">
      <c r="A138" s="7" t="s">
        <v>193</v>
      </c>
      <c r="B138" s="7" t="s">
        <v>235</v>
      </c>
      <c r="C138" s="7" t="s">
        <v>253</v>
      </c>
      <c r="E138" s="7" t="s">
        <v>280</v>
      </c>
      <c r="F138" s="7" t="s">
        <v>212</v>
      </c>
      <c r="G138" s="7" t="s">
        <v>206</v>
      </c>
      <c r="H138" s="1" t="s">
        <v>207</v>
      </c>
      <c r="I138" s="2">
        <f>8*0.3048</f>
        <v>2.4384000000000001</v>
      </c>
      <c r="J138" s="2" t="s">
        <v>4367</v>
      </c>
      <c r="K138" s="2" t="s">
        <v>5713</v>
      </c>
      <c r="L138" s="6">
        <v>335</v>
      </c>
      <c r="R138" s="7" t="s">
        <v>234</v>
      </c>
      <c r="S138" s="7" t="s">
        <v>251</v>
      </c>
      <c r="T138" s="7" t="s">
        <v>236</v>
      </c>
      <c r="W138" s="7" t="s">
        <v>252</v>
      </c>
      <c r="X138" s="24">
        <v>36.591200000000001</v>
      </c>
      <c r="Y138" s="24">
        <v>-101.6129</v>
      </c>
      <c r="Z138" s="20">
        <v>999</v>
      </c>
      <c r="AA138" s="7" t="s">
        <v>239</v>
      </c>
    </row>
    <row r="139" spans="1:28" ht="21.75" customHeight="1" x14ac:dyDescent="0.2">
      <c r="A139" s="7" t="s">
        <v>193</v>
      </c>
      <c r="B139" s="7" t="s">
        <v>235</v>
      </c>
      <c r="C139" s="7" t="s">
        <v>253</v>
      </c>
      <c r="E139" s="7" t="s">
        <v>280</v>
      </c>
      <c r="F139" s="7" t="s">
        <v>212</v>
      </c>
      <c r="G139" s="7" t="s">
        <v>208</v>
      </c>
      <c r="H139" s="1" t="s">
        <v>242</v>
      </c>
      <c r="I139" s="2">
        <f>6*0.3048</f>
        <v>1.8288000000000002</v>
      </c>
      <c r="J139" s="2" t="s">
        <v>4367</v>
      </c>
      <c r="K139" s="2" t="s">
        <v>5713</v>
      </c>
      <c r="L139" s="6">
        <v>335</v>
      </c>
      <c r="R139" s="7" t="s">
        <v>234</v>
      </c>
      <c r="S139" s="7" t="s">
        <v>251</v>
      </c>
      <c r="T139" s="7" t="s">
        <v>236</v>
      </c>
      <c r="W139" s="7" t="s">
        <v>252</v>
      </c>
      <c r="X139" s="24">
        <v>36.573999999999998</v>
      </c>
      <c r="Y139" s="24">
        <v>-101.6472</v>
      </c>
      <c r="Z139" s="20">
        <v>1011</v>
      </c>
      <c r="AA139" s="7" t="s">
        <v>240</v>
      </c>
    </row>
    <row r="140" spans="1:28" ht="21.75" customHeight="1" x14ac:dyDescent="0.2">
      <c r="A140" s="7" t="s">
        <v>193</v>
      </c>
      <c r="B140" s="7" t="s">
        <v>235</v>
      </c>
      <c r="C140" s="7" t="s">
        <v>253</v>
      </c>
      <c r="E140" s="7" t="s">
        <v>280</v>
      </c>
      <c r="F140" s="7" t="s">
        <v>212</v>
      </c>
      <c r="G140" s="7" t="s">
        <v>209</v>
      </c>
      <c r="H140" s="1" t="s">
        <v>210</v>
      </c>
      <c r="I140" s="2">
        <f>6*0.3048</f>
        <v>1.8288000000000002</v>
      </c>
      <c r="J140" s="2" t="s">
        <v>4367</v>
      </c>
      <c r="K140" s="2" t="s">
        <v>5713</v>
      </c>
      <c r="L140" s="6">
        <v>335</v>
      </c>
      <c r="R140" s="7" t="s">
        <v>234</v>
      </c>
      <c r="S140" s="7" t="s">
        <v>251</v>
      </c>
      <c r="T140" s="7" t="s">
        <v>236</v>
      </c>
      <c r="W140" s="7" t="s">
        <v>252</v>
      </c>
      <c r="X140" s="24">
        <v>36.6021</v>
      </c>
      <c r="Y140" s="24">
        <v>-101.58750000000001</v>
      </c>
      <c r="Z140" s="20">
        <v>992</v>
      </c>
      <c r="AA140" s="7" t="s">
        <v>246</v>
      </c>
    </row>
    <row r="141" spans="1:28" s="8" customFormat="1" ht="21.75" customHeight="1" x14ac:dyDescent="0.2">
      <c r="A141" s="8" t="s">
        <v>4327</v>
      </c>
      <c r="B141" s="8" t="s">
        <v>4313</v>
      </c>
      <c r="C141" s="8" t="s">
        <v>1720</v>
      </c>
      <c r="E141" s="8" t="s">
        <v>280</v>
      </c>
      <c r="F141" s="8" t="s">
        <v>212</v>
      </c>
      <c r="G141" s="8" t="s">
        <v>3996</v>
      </c>
      <c r="H141" s="3" t="s">
        <v>3993</v>
      </c>
      <c r="I141" s="4">
        <v>0.6</v>
      </c>
      <c r="J141" s="4" t="s">
        <v>4328</v>
      </c>
      <c r="K141" s="4" t="s">
        <v>4410</v>
      </c>
      <c r="L141" s="14">
        <v>730</v>
      </c>
      <c r="M141" s="14"/>
      <c r="N141" s="14"/>
      <c r="O141" s="110"/>
      <c r="P141" s="4"/>
      <c r="R141" s="8" t="s">
        <v>4330</v>
      </c>
      <c r="X141" s="25">
        <v>52.750399999999999</v>
      </c>
      <c r="Y141" s="25">
        <v>10.5039</v>
      </c>
      <c r="Z141" s="21">
        <v>115</v>
      </c>
      <c r="AA141" s="132" t="s">
        <v>4329</v>
      </c>
      <c r="AB141" s="132" t="s">
        <v>4331</v>
      </c>
    </row>
    <row r="142" spans="1:28" s="8" customFormat="1" ht="21.75" customHeight="1" x14ac:dyDescent="0.2">
      <c r="A142" s="8" t="s">
        <v>4327</v>
      </c>
      <c r="B142" s="8" t="s">
        <v>4313</v>
      </c>
      <c r="C142" s="8" t="s">
        <v>1720</v>
      </c>
      <c r="E142" s="8" t="s">
        <v>280</v>
      </c>
      <c r="F142" s="8" t="s">
        <v>212</v>
      </c>
      <c r="G142" s="8" t="s">
        <v>4319</v>
      </c>
      <c r="H142" s="3" t="s">
        <v>2568</v>
      </c>
      <c r="I142" s="4">
        <v>0.6</v>
      </c>
      <c r="J142" s="4" t="s">
        <v>4328</v>
      </c>
      <c r="K142" s="4" t="s">
        <v>4410</v>
      </c>
      <c r="L142" s="14">
        <v>730</v>
      </c>
      <c r="M142" s="14"/>
      <c r="N142" s="14"/>
      <c r="O142" s="110"/>
      <c r="P142" s="4"/>
      <c r="R142" s="8" t="s">
        <v>4330</v>
      </c>
      <c r="X142" s="25">
        <f>52+45/60</f>
        <v>52.75</v>
      </c>
      <c r="Y142" s="25">
        <f>10.5</f>
        <v>10.5</v>
      </c>
      <c r="Z142" s="21">
        <v>119</v>
      </c>
      <c r="AA142" s="133"/>
      <c r="AB142" s="133"/>
    </row>
    <row r="143" spans="1:28" ht="21.75" customHeight="1" x14ac:dyDescent="0.2">
      <c r="A143" s="7" t="s">
        <v>254</v>
      </c>
      <c r="B143" s="7" t="s">
        <v>262</v>
      </c>
      <c r="C143" s="7" t="s">
        <v>255</v>
      </c>
      <c r="E143" s="7" t="s">
        <v>263</v>
      </c>
      <c r="F143" s="7" t="s">
        <v>212</v>
      </c>
      <c r="G143" s="7" t="s">
        <v>259</v>
      </c>
      <c r="H143" s="1" t="s">
        <v>256</v>
      </c>
      <c r="I143" s="2">
        <v>3.7</v>
      </c>
      <c r="J143" s="2" t="s">
        <v>4328</v>
      </c>
      <c r="K143" s="2" t="s">
        <v>4410</v>
      </c>
      <c r="L143" s="6">
        <v>778</v>
      </c>
      <c r="M143" s="6">
        <v>6</v>
      </c>
      <c r="P143" s="7" t="s">
        <v>260</v>
      </c>
      <c r="R143" s="7" t="s">
        <v>261</v>
      </c>
      <c r="X143" s="5">
        <v>-31.8</v>
      </c>
      <c r="Y143" s="5">
        <v>115.93333333333334</v>
      </c>
      <c r="Z143" s="6">
        <v>48</v>
      </c>
      <c r="AA143" s="134" t="s">
        <v>264</v>
      </c>
      <c r="AB143" s="139" t="s">
        <v>265</v>
      </c>
    </row>
    <row r="144" spans="1:28" ht="21.75" customHeight="1" x14ac:dyDescent="0.2">
      <c r="A144" s="7" t="s">
        <v>254</v>
      </c>
      <c r="B144" s="7" t="s">
        <v>262</v>
      </c>
      <c r="C144" s="7" t="s">
        <v>255</v>
      </c>
      <c r="E144" s="7" t="s">
        <v>263</v>
      </c>
      <c r="F144" s="7" t="s">
        <v>212</v>
      </c>
      <c r="G144" s="7" t="s">
        <v>257</v>
      </c>
      <c r="H144" s="1" t="s">
        <v>258</v>
      </c>
      <c r="I144" s="2">
        <v>3.7</v>
      </c>
      <c r="J144" s="2" t="s">
        <v>4328</v>
      </c>
      <c r="K144" s="2" t="s">
        <v>4410</v>
      </c>
      <c r="L144" s="6">
        <v>778</v>
      </c>
      <c r="M144" s="6">
        <v>6</v>
      </c>
      <c r="P144" s="7" t="s">
        <v>260</v>
      </c>
      <c r="R144" s="7" t="s">
        <v>261</v>
      </c>
      <c r="X144" s="5">
        <v>-31.8</v>
      </c>
      <c r="Y144" s="5">
        <v>115.93333333333334</v>
      </c>
      <c r="Z144" s="6">
        <v>48</v>
      </c>
      <c r="AA144" s="135"/>
      <c r="AB144" s="139"/>
    </row>
    <row r="145" spans="1:28" s="8" customFormat="1" ht="21.75" customHeight="1" x14ac:dyDescent="0.2">
      <c r="A145" s="8" t="s">
        <v>266</v>
      </c>
      <c r="B145" s="8" t="s">
        <v>267</v>
      </c>
      <c r="C145" s="8" t="s">
        <v>46</v>
      </c>
      <c r="D145" s="8" t="s">
        <v>268</v>
      </c>
      <c r="E145" s="8" t="s">
        <v>275</v>
      </c>
      <c r="F145" s="8" t="s">
        <v>217</v>
      </c>
      <c r="H145" s="121" t="s">
        <v>316</v>
      </c>
      <c r="I145" s="4">
        <v>0.15</v>
      </c>
      <c r="J145" s="4" t="s">
        <v>4367</v>
      </c>
      <c r="K145" s="4" t="s">
        <v>5750</v>
      </c>
      <c r="L145" s="14">
        <v>284</v>
      </c>
      <c r="M145" s="14" t="s">
        <v>306</v>
      </c>
      <c r="N145" s="14"/>
      <c r="O145" s="110" t="s">
        <v>307</v>
      </c>
      <c r="P145" s="4"/>
      <c r="R145" s="8" t="s">
        <v>308</v>
      </c>
      <c r="U145" s="8" t="s">
        <v>319</v>
      </c>
      <c r="V145" s="8" t="s">
        <v>320</v>
      </c>
      <c r="X145" s="13">
        <v>32.216299999999997</v>
      </c>
      <c r="Y145" s="13">
        <v>-111.0048</v>
      </c>
      <c r="Z145" s="14">
        <v>874</v>
      </c>
      <c r="AA145" s="8" t="s">
        <v>317</v>
      </c>
      <c r="AB145" s="8" t="s">
        <v>315</v>
      </c>
    </row>
    <row r="146" spans="1:28" s="8" customFormat="1" ht="21.75" customHeight="1" x14ac:dyDescent="0.2">
      <c r="A146" s="8" t="s">
        <v>266</v>
      </c>
      <c r="B146" s="8" t="s">
        <v>267</v>
      </c>
      <c r="C146" s="8" t="s">
        <v>46</v>
      </c>
      <c r="D146" s="8" t="s">
        <v>268</v>
      </c>
      <c r="E146" s="8" t="s">
        <v>282</v>
      </c>
      <c r="F146" s="8" t="s">
        <v>217</v>
      </c>
      <c r="H146" s="121" t="s">
        <v>276</v>
      </c>
      <c r="I146" s="4">
        <v>0.2</v>
      </c>
      <c r="J146" s="4" t="s">
        <v>4367</v>
      </c>
      <c r="K146" s="4" t="s">
        <v>5750</v>
      </c>
      <c r="L146" s="14">
        <v>284</v>
      </c>
      <c r="M146" s="14" t="s">
        <v>306</v>
      </c>
      <c r="N146" s="14"/>
      <c r="O146" s="110" t="s">
        <v>307</v>
      </c>
      <c r="P146" s="4"/>
      <c r="R146" s="8" t="s">
        <v>308</v>
      </c>
      <c r="U146" s="8" t="s">
        <v>319</v>
      </c>
      <c r="V146" s="8" t="s">
        <v>320</v>
      </c>
      <c r="X146" s="13">
        <v>32.216299999999997</v>
      </c>
      <c r="Y146" s="13">
        <v>-111.0048</v>
      </c>
      <c r="Z146" s="14">
        <v>874</v>
      </c>
      <c r="AB146" s="8" t="s">
        <v>310</v>
      </c>
    </row>
    <row r="147" spans="1:28" s="8" customFormat="1" ht="21.75" customHeight="1" x14ac:dyDescent="0.2">
      <c r="A147" s="8" t="s">
        <v>266</v>
      </c>
      <c r="B147" s="8" t="s">
        <v>267</v>
      </c>
      <c r="C147" s="8" t="s">
        <v>46</v>
      </c>
      <c r="D147" s="8" t="s">
        <v>268</v>
      </c>
      <c r="E147" s="8" t="s">
        <v>278</v>
      </c>
      <c r="F147" s="8" t="s">
        <v>214</v>
      </c>
      <c r="G147" s="8" t="s">
        <v>277</v>
      </c>
      <c r="H147" s="121" t="s">
        <v>270</v>
      </c>
      <c r="I147" s="4">
        <v>0.55000000000000004</v>
      </c>
      <c r="J147" s="4" t="s">
        <v>4367</v>
      </c>
      <c r="K147" s="4" t="s">
        <v>5750</v>
      </c>
      <c r="L147" s="14">
        <v>284</v>
      </c>
      <c r="M147" s="14" t="s">
        <v>306</v>
      </c>
      <c r="N147" s="14"/>
      <c r="O147" s="110" t="s">
        <v>307</v>
      </c>
      <c r="P147" s="4"/>
      <c r="R147" s="8" t="s">
        <v>308</v>
      </c>
      <c r="U147" s="8" t="s">
        <v>319</v>
      </c>
      <c r="V147" s="8" t="s">
        <v>320</v>
      </c>
      <c r="X147" s="13">
        <v>32.216299999999997</v>
      </c>
      <c r="Y147" s="13">
        <v>-111.0048</v>
      </c>
      <c r="Z147" s="14">
        <v>874</v>
      </c>
      <c r="AB147" s="8" t="s">
        <v>311</v>
      </c>
    </row>
    <row r="148" spans="1:28" s="8" customFormat="1" ht="21.75" customHeight="1" x14ac:dyDescent="0.2">
      <c r="A148" s="8" t="s">
        <v>266</v>
      </c>
      <c r="B148" s="8" t="s">
        <v>267</v>
      </c>
      <c r="C148" s="8" t="s">
        <v>46</v>
      </c>
      <c r="D148" s="8" t="s">
        <v>322</v>
      </c>
      <c r="E148" s="8" t="s">
        <v>282</v>
      </c>
      <c r="F148" s="8" t="s">
        <v>1629</v>
      </c>
      <c r="G148" s="8" t="s">
        <v>305</v>
      </c>
      <c r="H148" s="121" t="s">
        <v>304</v>
      </c>
      <c r="I148" s="4">
        <v>0.55000000000000004</v>
      </c>
      <c r="J148" s="4" t="s">
        <v>4367</v>
      </c>
      <c r="K148" s="4" t="s">
        <v>5750</v>
      </c>
      <c r="L148" s="14">
        <v>284</v>
      </c>
      <c r="M148" s="14" t="s">
        <v>306</v>
      </c>
      <c r="N148" s="14"/>
      <c r="O148" s="110" t="s">
        <v>323</v>
      </c>
      <c r="P148" s="4"/>
      <c r="R148" s="8" t="s">
        <v>318</v>
      </c>
      <c r="S148" s="8" t="s">
        <v>309</v>
      </c>
      <c r="T148" s="8" t="s">
        <v>321</v>
      </c>
      <c r="X148" s="13">
        <v>32.2151</v>
      </c>
      <c r="Y148" s="13">
        <v>-110.99850000000001</v>
      </c>
      <c r="Z148" s="14">
        <v>807</v>
      </c>
      <c r="AB148" s="8" t="s">
        <v>312</v>
      </c>
    </row>
    <row r="149" spans="1:28" s="8" customFormat="1" ht="21.75" customHeight="1" x14ac:dyDescent="0.2">
      <c r="A149" s="8" t="s">
        <v>266</v>
      </c>
      <c r="B149" s="8" t="s">
        <v>267</v>
      </c>
      <c r="C149" s="8" t="s">
        <v>46</v>
      </c>
      <c r="D149" s="8" t="s">
        <v>322</v>
      </c>
      <c r="E149" s="8" t="s">
        <v>263</v>
      </c>
      <c r="F149" s="8" t="s">
        <v>214</v>
      </c>
      <c r="H149" s="121" t="s">
        <v>274</v>
      </c>
      <c r="I149" s="4">
        <v>0.68</v>
      </c>
      <c r="J149" s="4" t="s">
        <v>4367</v>
      </c>
      <c r="K149" s="4" t="s">
        <v>5750</v>
      </c>
      <c r="L149" s="14">
        <v>284</v>
      </c>
      <c r="M149" s="14" t="s">
        <v>306</v>
      </c>
      <c r="N149" s="14"/>
      <c r="O149" s="110" t="s">
        <v>323</v>
      </c>
      <c r="P149" s="4"/>
      <c r="R149" s="8" t="s">
        <v>318</v>
      </c>
      <c r="S149" s="8" t="s">
        <v>309</v>
      </c>
      <c r="T149" s="8" t="s">
        <v>321</v>
      </c>
      <c r="X149" s="13">
        <v>32.2151</v>
      </c>
      <c r="Y149" s="13">
        <v>-110.99850000000001</v>
      </c>
      <c r="Z149" s="14">
        <v>807</v>
      </c>
      <c r="AB149" s="8" t="s">
        <v>313</v>
      </c>
    </row>
    <row r="150" spans="1:28" s="8" customFormat="1" ht="21.75" customHeight="1" x14ac:dyDescent="0.2">
      <c r="A150" s="8" t="s">
        <v>266</v>
      </c>
      <c r="B150" s="8" t="s">
        <v>267</v>
      </c>
      <c r="C150" s="8" t="s">
        <v>46</v>
      </c>
      <c r="D150" s="8" t="s">
        <v>269</v>
      </c>
      <c r="E150" s="8" t="s">
        <v>263</v>
      </c>
      <c r="F150" s="8" t="s">
        <v>214</v>
      </c>
      <c r="G150" s="8" t="s">
        <v>281</v>
      </c>
      <c r="H150" s="121" t="s">
        <v>273</v>
      </c>
      <c r="I150" s="4">
        <v>1.36</v>
      </c>
      <c r="J150" s="4" t="s">
        <v>4367</v>
      </c>
      <c r="K150" s="4" t="s">
        <v>5750</v>
      </c>
      <c r="L150" s="14">
        <v>284</v>
      </c>
      <c r="M150" s="14" t="s">
        <v>306</v>
      </c>
      <c r="N150" s="14"/>
      <c r="O150" s="110" t="s">
        <v>351</v>
      </c>
      <c r="P150" s="4"/>
      <c r="R150" s="8" t="s">
        <v>326</v>
      </c>
      <c r="X150" s="13">
        <v>32.236899999999999</v>
      </c>
      <c r="Y150" s="13">
        <v>-111.0205</v>
      </c>
      <c r="Z150" s="14">
        <v>733</v>
      </c>
      <c r="AA150" s="8" t="s">
        <v>324</v>
      </c>
      <c r="AB150" s="8" t="s">
        <v>314</v>
      </c>
    </row>
    <row r="151" spans="1:28" s="8" customFormat="1" ht="21.75" customHeight="1" x14ac:dyDescent="0.2">
      <c r="A151" s="8" t="s">
        <v>266</v>
      </c>
      <c r="B151" s="8" t="s">
        <v>267</v>
      </c>
      <c r="C151" s="8" t="s">
        <v>46</v>
      </c>
      <c r="D151" s="8" t="s">
        <v>269</v>
      </c>
      <c r="E151" s="8" t="s">
        <v>280</v>
      </c>
      <c r="F151" s="8" t="s">
        <v>212</v>
      </c>
      <c r="G151" s="8" t="s">
        <v>279</v>
      </c>
      <c r="H151" s="121" t="s">
        <v>271</v>
      </c>
      <c r="I151" s="4" t="s">
        <v>272</v>
      </c>
      <c r="J151" s="4" t="s">
        <v>4367</v>
      </c>
      <c r="K151" s="4" t="s">
        <v>5750</v>
      </c>
      <c r="L151" s="14">
        <v>284</v>
      </c>
      <c r="M151" s="14" t="s">
        <v>306</v>
      </c>
      <c r="N151" s="14"/>
      <c r="O151" s="110" t="s">
        <v>351</v>
      </c>
      <c r="P151" s="4"/>
      <c r="R151" s="8" t="s">
        <v>326</v>
      </c>
      <c r="X151" s="13">
        <v>32.236899999999999</v>
      </c>
      <c r="Y151" s="13">
        <v>-111.0205</v>
      </c>
      <c r="Z151" s="14">
        <v>733</v>
      </c>
      <c r="AA151" s="8" t="s">
        <v>325</v>
      </c>
    </row>
    <row r="152" spans="1:28" ht="21.75" customHeight="1" x14ac:dyDescent="0.2">
      <c r="A152" s="7" t="s">
        <v>327</v>
      </c>
      <c r="B152" s="7" t="s">
        <v>328</v>
      </c>
      <c r="C152" s="7" t="s">
        <v>46</v>
      </c>
      <c r="D152" s="7" t="s">
        <v>329</v>
      </c>
      <c r="E152" s="7" t="s">
        <v>341</v>
      </c>
      <c r="F152" s="7" t="s">
        <v>214</v>
      </c>
      <c r="H152" s="1" t="s">
        <v>332</v>
      </c>
      <c r="I152" s="2">
        <v>0.3</v>
      </c>
      <c r="J152" s="2" t="s">
        <v>4367</v>
      </c>
      <c r="K152" s="2" t="s">
        <v>5750</v>
      </c>
      <c r="L152" s="7">
        <v>198</v>
      </c>
      <c r="O152" s="45" t="s">
        <v>359</v>
      </c>
      <c r="X152" s="24">
        <v>33.488799999999998</v>
      </c>
      <c r="Y152" s="24">
        <v>2.9419</v>
      </c>
      <c r="Z152" s="20">
        <v>863</v>
      </c>
      <c r="AA152" s="7" t="s">
        <v>342</v>
      </c>
      <c r="AB152" s="7" t="s">
        <v>404</v>
      </c>
    </row>
    <row r="153" spans="1:28" ht="21.75" customHeight="1" x14ac:dyDescent="0.2">
      <c r="A153" s="7" t="s">
        <v>327</v>
      </c>
      <c r="B153" s="7" t="s">
        <v>328</v>
      </c>
      <c r="C153" s="7" t="s">
        <v>46</v>
      </c>
      <c r="D153" s="7" t="s">
        <v>330</v>
      </c>
      <c r="E153" s="7" t="s">
        <v>341</v>
      </c>
      <c r="F153" s="7" t="s">
        <v>217</v>
      </c>
      <c r="H153" s="1" t="s">
        <v>333</v>
      </c>
      <c r="I153" s="2">
        <v>0.2</v>
      </c>
      <c r="J153" s="2" t="s">
        <v>4367</v>
      </c>
      <c r="K153" s="2" t="s">
        <v>5750</v>
      </c>
      <c r="L153" s="7">
        <v>114</v>
      </c>
      <c r="O153" s="45" t="s">
        <v>352</v>
      </c>
      <c r="R153" s="7" t="s">
        <v>354</v>
      </c>
      <c r="X153" s="24">
        <v>32.570300000000003</v>
      </c>
      <c r="Y153" s="24">
        <v>3.9123999999999999</v>
      </c>
      <c r="Z153" s="20">
        <v>485</v>
      </c>
      <c r="AA153" s="7" t="s">
        <v>343</v>
      </c>
      <c r="AB153" s="7" t="s">
        <v>405</v>
      </c>
    </row>
    <row r="154" spans="1:28" ht="21.75" customHeight="1" x14ac:dyDescent="0.2">
      <c r="A154" s="7" t="s">
        <v>327</v>
      </c>
      <c r="B154" s="7" t="s">
        <v>328</v>
      </c>
      <c r="C154" s="7" t="s">
        <v>46</v>
      </c>
      <c r="D154" s="7" t="s">
        <v>353</v>
      </c>
      <c r="E154" s="7" t="s">
        <v>341</v>
      </c>
      <c r="F154" s="7" t="s">
        <v>217</v>
      </c>
      <c r="G154" s="7" t="s">
        <v>339</v>
      </c>
      <c r="H154" s="1" t="s">
        <v>334</v>
      </c>
      <c r="I154" s="2">
        <v>0.3</v>
      </c>
      <c r="J154" s="2" t="s">
        <v>4367</v>
      </c>
      <c r="K154" s="2" t="s">
        <v>5750</v>
      </c>
      <c r="L154" s="7">
        <v>114</v>
      </c>
      <c r="O154" s="45" t="s">
        <v>355</v>
      </c>
      <c r="R154" s="7" t="s">
        <v>356</v>
      </c>
      <c r="S154" s="7" t="s">
        <v>357</v>
      </c>
      <c r="T154" s="7">
        <v>0.2</v>
      </c>
      <c r="X154" s="24">
        <v>32.408900000000003</v>
      </c>
      <c r="Y154" s="24">
        <v>3.9249999999999998</v>
      </c>
      <c r="Z154" s="20">
        <v>401</v>
      </c>
      <c r="AA154" s="7" t="s">
        <v>344</v>
      </c>
    </row>
    <row r="155" spans="1:28" ht="21.75" customHeight="1" x14ac:dyDescent="0.2">
      <c r="A155" s="7" t="s">
        <v>327</v>
      </c>
      <c r="B155" s="7" t="s">
        <v>328</v>
      </c>
      <c r="C155" s="7" t="s">
        <v>46</v>
      </c>
      <c r="D155" s="7" t="s">
        <v>353</v>
      </c>
      <c r="E155" s="7" t="s">
        <v>33</v>
      </c>
      <c r="F155" s="7" t="s">
        <v>214</v>
      </c>
      <c r="G155" s="7" t="s">
        <v>5734</v>
      </c>
      <c r="H155" s="1" t="s">
        <v>335</v>
      </c>
      <c r="I155" s="2">
        <v>0.31</v>
      </c>
      <c r="J155" s="2" t="s">
        <v>4367</v>
      </c>
      <c r="K155" s="2" t="s">
        <v>5750</v>
      </c>
      <c r="L155" s="7">
        <v>114</v>
      </c>
      <c r="O155" s="45" t="s">
        <v>355</v>
      </c>
      <c r="R155" s="7" t="s">
        <v>356</v>
      </c>
      <c r="S155" s="7" t="s">
        <v>357</v>
      </c>
      <c r="T155" s="7">
        <v>0.2</v>
      </c>
      <c r="X155" s="24">
        <v>32.4039</v>
      </c>
      <c r="Y155" s="24">
        <v>3.9253999999999998</v>
      </c>
      <c r="Z155" s="20">
        <v>402</v>
      </c>
      <c r="AA155" s="7" t="s">
        <v>345</v>
      </c>
    </row>
    <row r="156" spans="1:28" ht="21.75" customHeight="1" x14ac:dyDescent="0.2">
      <c r="A156" s="7" t="s">
        <v>327</v>
      </c>
      <c r="B156" s="7" t="s">
        <v>328</v>
      </c>
      <c r="C156" s="7" t="s">
        <v>46</v>
      </c>
      <c r="D156" s="7" t="s">
        <v>353</v>
      </c>
      <c r="E156" s="7" t="s">
        <v>33</v>
      </c>
      <c r="F156" s="7" t="s">
        <v>214</v>
      </c>
      <c r="H156" s="1" t="s">
        <v>336</v>
      </c>
      <c r="I156" s="2">
        <v>0.75</v>
      </c>
      <c r="J156" s="2" t="s">
        <v>4367</v>
      </c>
      <c r="K156" s="2" t="s">
        <v>5750</v>
      </c>
      <c r="L156" s="7">
        <v>114</v>
      </c>
      <c r="O156" s="45" t="s">
        <v>355</v>
      </c>
      <c r="R156" s="7" t="s">
        <v>356</v>
      </c>
      <c r="S156" s="7" t="s">
        <v>357</v>
      </c>
      <c r="T156" s="7">
        <v>0.2</v>
      </c>
      <c r="X156" s="24">
        <v>32.405099999999997</v>
      </c>
      <c r="Y156" s="24">
        <v>3.931</v>
      </c>
      <c r="Z156" s="20">
        <v>400</v>
      </c>
      <c r="AA156" s="7" t="s">
        <v>346</v>
      </c>
    </row>
    <row r="157" spans="1:28" ht="21.75" customHeight="1" x14ac:dyDescent="0.2">
      <c r="A157" s="7" t="s">
        <v>327</v>
      </c>
      <c r="B157" s="7" t="s">
        <v>328</v>
      </c>
      <c r="C157" s="7" t="s">
        <v>46</v>
      </c>
      <c r="D157" s="7" t="s">
        <v>353</v>
      </c>
      <c r="E157" s="7" t="s">
        <v>341</v>
      </c>
      <c r="F157" s="7" t="s">
        <v>214</v>
      </c>
      <c r="G157" s="7" t="s">
        <v>5735</v>
      </c>
      <c r="H157" s="1" t="s">
        <v>334</v>
      </c>
      <c r="I157" s="2">
        <v>0.27</v>
      </c>
      <c r="J157" s="2" t="s">
        <v>4367</v>
      </c>
      <c r="K157" s="2" t="s">
        <v>5750</v>
      </c>
      <c r="L157" s="7">
        <v>114</v>
      </c>
      <c r="O157" s="45" t="s">
        <v>355</v>
      </c>
      <c r="R157" s="7" t="s">
        <v>356</v>
      </c>
      <c r="S157" s="7" t="s">
        <v>357</v>
      </c>
      <c r="T157" s="7">
        <v>0.2</v>
      </c>
      <c r="X157" s="24">
        <v>32.390799999999999</v>
      </c>
      <c r="Y157" s="24">
        <v>3.9466000000000001</v>
      </c>
      <c r="Z157" s="20">
        <v>394</v>
      </c>
      <c r="AA157" s="7" t="s">
        <v>347</v>
      </c>
    </row>
    <row r="158" spans="1:28" ht="21.75" customHeight="1" x14ac:dyDescent="0.2">
      <c r="A158" s="7" t="s">
        <v>327</v>
      </c>
      <c r="B158" s="7" t="s">
        <v>328</v>
      </c>
      <c r="C158" s="7" t="s">
        <v>46</v>
      </c>
      <c r="D158" s="7" t="s">
        <v>331</v>
      </c>
      <c r="E158" s="7" t="s">
        <v>33</v>
      </c>
      <c r="F158" s="7" t="s">
        <v>214</v>
      </c>
      <c r="G158" s="7" t="s">
        <v>5734</v>
      </c>
      <c r="H158" s="1" t="s">
        <v>337</v>
      </c>
      <c r="I158" s="2">
        <v>1.1299999999999999</v>
      </c>
      <c r="J158" s="2" t="s">
        <v>4367</v>
      </c>
      <c r="K158" s="2" t="s">
        <v>5750</v>
      </c>
      <c r="L158" s="7">
        <v>199</v>
      </c>
      <c r="O158" s="45" t="s">
        <v>358</v>
      </c>
      <c r="X158" s="24">
        <v>34.873100000000001</v>
      </c>
      <c r="Y158" s="24">
        <v>5.7160000000000002</v>
      </c>
      <c r="Z158" s="20">
        <v>142</v>
      </c>
      <c r="AA158" s="7" t="s">
        <v>348</v>
      </c>
    </row>
    <row r="159" spans="1:28" ht="21.75" customHeight="1" x14ac:dyDescent="0.2">
      <c r="A159" s="7" t="s">
        <v>327</v>
      </c>
      <c r="B159" s="7" t="s">
        <v>328</v>
      </c>
      <c r="C159" s="7" t="s">
        <v>46</v>
      </c>
      <c r="D159" s="7" t="s">
        <v>331</v>
      </c>
      <c r="E159" s="7" t="s">
        <v>341</v>
      </c>
      <c r="F159" s="7" t="s">
        <v>217</v>
      </c>
      <c r="G159" s="7" t="s">
        <v>339</v>
      </c>
      <c r="H159" s="1" t="s">
        <v>334</v>
      </c>
      <c r="I159" s="2">
        <v>0.61</v>
      </c>
      <c r="J159" s="2" t="s">
        <v>4367</v>
      </c>
      <c r="K159" s="2" t="s">
        <v>5750</v>
      </c>
      <c r="L159" s="7">
        <v>199</v>
      </c>
      <c r="O159" s="45" t="s">
        <v>358</v>
      </c>
      <c r="X159" s="24">
        <v>34.873100000000001</v>
      </c>
      <c r="Y159" s="24">
        <v>5.7160000000000002</v>
      </c>
      <c r="Z159" s="20">
        <v>142</v>
      </c>
      <c r="AA159" s="7" t="s">
        <v>349</v>
      </c>
    </row>
    <row r="160" spans="1:28" ht="21.75" customHeight="1" x14ac:dyDescent="0.2">
      <c r="A160" s="7" t="s">
        <v>327</v>
      </c>
      <c r="B160" s="7" t="s">
        <v>328</v>
      </c>
      <c r="C160" s="7" t="s">
        <v>46</v>
      </c>
      <c r="D160" s="7" t="s">
        <v>331</v>
      </c>
      <c r="E160" s="7" t="s">
        <v>341</v>
      </c>
      <c r="F160" s="7" t="s">
        <v>217</v>
      </c>
      <c r="G160" s="7" t="s">
        <v>340</v>
      </c>
      <c r="H160" s="1" t="s">
        <v>338</v>
      </c>
      <c r="I160" s="2">
        <v>0.71</v>
      </c>
      <c r="J160" s="2" t="s">
        <v>4367</v>
      </c>
      <c r="K160" s="2" t="s">
        <v>5750</v>
      </c>
      <c r="L160" s="7">
        <v>199</v>
      </c>
      <c r="O160" s="45" t="s">
        <v>358</v>
      </c>
      <c r="X160" s="24">
        <v>34.873100000000001</v>
      </c>
      <c r="Y160" s="24">
        <v>5.7160000000000002</v>
      </c>
      <c r="Z160" s="20">
        <v>142</v>
      </c>
      <c r="AA160" s="7" t="s">
        <v>350</v>
      </c>
    </row>
    <row r="161" spans="1:28" s="8" customFormat="1" ht="21.75" customHeight="1" x14ac:dyDescent="0.2">
      <c r="A161" s="8" t="s">
        <v>360</v>
      </c>
      <c r="B161" s="8" t="s">
        <v>361</v>
      </c>
      <c r="C161" s="8" t="s">
        <v>861</v>
      </c>
      <c r="D161" s="8" t="s">
        <v>362</v>
      </c>
      <c r="E161" s="8" t="s">
        <v>33</v>
      </c>
      <c r="F161" s="8" t="s">
        <v>212</v>
      </c>
      <c r="G161" s="8" t="s">
        <v>363</v>
      </c>
      <c r="H161" s="3" t="s">
        <v>364</v>
      </c>
      <c r="I161" s="8">
        <v>19.809999999999999</v>
      </c>
      <c r="J161" s="8" t="s">
        <v>5718</v>
      </c>
      <c r="K161" s="8" t="s">
        <v>4480</v>
      </c>
      <c r="L161" s="14">
        <v>457</v>
      </c>
      <c r="M161" s="14"/>
      <c r="N161" s="14"/>
      <c r="O161" s="110" t="s">
        <v>366</v>
      </c>
      <c r="P161" s="4"/>
      <c r="Q161" s="4" t="s">
        <v>365</v>
      </c>
      <c r="R161" s="8" t="s">
        <v>369</v>
      </c>
      <c r="U161" s="8" t="s">
        <v>368</v>
      </c>
      <c r="X161" s="13">
        <v>35.841999999999999</v>
      </c>
      <c r="Y161" s="13">
        <v>-106.9562</v>
      </c>
      <c r="Z161" s="14">
        <v>2231</v>
      </c>
      <c r="AA161" s="8" t="s">
        <v>367</v>
      </c>
      <c r="AB161" s="8" t="s">
        <v>403</v>
      </c>
    </row>
    <row r="162" spans="1:28" ht="21.75" customHeight="1" x14ac:dyDescent="0.2">
      <c r="A162" s="7" t="s">
        <v>7263</v>
      </c>
      <c r="B162" s="7" t="s">
        <v>7266</v>
      </c>
      <c r="C162" s="7" t="s">
        <v>7265</v>
      </c>
      <c r="D162" s="7" t="s">
        <v>7272</v>
      </c>
      <c r="E162" s="7" t="s">
        <v>280</v>
      </c>
      <c r="F162" s="7" t="s">
        <v>212</v>
      </c>
      <c r="G162" s="7" t="s">
        <v>2060</v>
      </c>
      <c r="H162" s="1" t="s">
        <v>7269</v>
      </c>
      <c r="I162" s="7" t="s">
        <v>7264</v>
      </c>
      <c r="J162" s="7" t="s">
        <v>7274</v>
      </c>
      <c r="K162" s="7" t="s">
        <v>4410</v>
      </c>
      <c r="L162" s="6">
        <v>951</v>
      </c>
      <c r="O162" s="45" t="s">
        <v>7268</v>
      </c>
      <c r="P162" s="2" t="s">
        <v>7205</v>
      </c>
      <c r="Q162" s="2">
        <v>6</v>
      </c>
      <c r="R162" s="7" t="s">
        <v>7267</v>
      </c>
      <c r="X162" s="5">
        <v>43.723999999999997</v>
      </c>
      <c r="Y162" s="5">
        <v>4.0426000000000002</v>
      </c>
      <c r="Z162" s="6">
        <v>74</v>
      </c>
      <c r="AA162" s="134" t="s">
        <v>7271</v>
      </c>
      <c r="AB162" s="134" t="s">
        <v>7277</v>
      </c>
    </row>
    <row r="163" spans="1:28" ht="21.75" customHeight="1" x14ac:dyDescent="0.2">
      <c r="A163" s="7" t="s">
        <v>7263</v>
      </c>
      <c r="B163" s="7" t="s">
        <v>7266</v>
      </c>
      <c r="C163" s="7" t="s">
        <v>7265</v>
      </c>
      <c r="D163" s="7" t="s">
        <v>7272</v>
      </c>
      <c r="E163" s="7" t="s">
        <v>275</v>
      </c>
      <c r="F163" s="7" t="s">
        <v>62</v>
      </c>
      <c r="G163" s="7" t="s">
        <v>7273</v>
      </c>
      <c r="H163" s="1" t="s">
        <v>7270</v>
      </c>
      <c r="I163" s="7" t="s">
        <v>7276</v>
      </c>
      <c r="J163" s="7" t="s">
        <v>7275</v>
      </c>
      <c r="K163" s="7" t="s">
        <v>4410</v>
      </c>
      <c r="L163" s="6">
        <v>951</v>
      </c>
      <c r="O163" s="45" t="s">
        <v>7268</v>
      </c>
      <c r="P163" s="2" t="s">
        <v>7205</v>
      </c>
      <c r="Q163" s="2">
        <v>6</v>
      </c>
      <c r="R163" s="7" t="s">
        <v>7267</v>
      </c>
      <c r="X163" s="5">
        <v>43.723999999999997</v>
      </c>
      <c r="Y163" s="5">
        <v>4.0426000000000002</v>
      </c>
      <c r="Z163" s="6">
        <v>74</v>
      </c>
      <c r="AA163" s="135"/>
      <c r="AB163" s="135"/>
    </row>
    <row r="164" spans="1:28" s="8" customFormat="1" ht="21.75" customHeight="1" x14ac:dyDescent="0.2">
      <c r="A164" s="8" t="s">
        <v>3134</v>
      </c>
      <c r="B164" s="8" t="s">
        <v>3144</v>
      </c>
      <c r="C164" s="8" t="s">
        <v>3145</v>
      </c>
      <c r="D164" s="8" t="s">
        <v>3146</v>
      </c>
      <c r="E164" s="8" t="s">
        <v>398</v>
      </c>
      <c r="F164" s="8" t="s">
        <v>3147</v>
      </c>
      <c r="H164" s="3" t="s">
        <v>3136</v>
      </c>
      <c r="I164" s="8">
        <v>0.18</v>
      </c>
      <c r="J164" s="8" t="s">
        <v>4367</v>
      </c>
      <c r="K164" s="8" t="s">
        <v>5751</v>
      </c>
      <c r="L164" s="14">
        <v>135</v>
      </c>
      <c r="M164" s="14"/>
      <c r="N164" s="14"/>
      <c r="O164" s="110"/>
      <c r="P164" s="4"/>
      <c r="Q164" s="4"/>
      <c r="R164" s="8" t="s">
        <v>3141</v>
      </c>
      <c r="U164" s="8" t="s">
        <v>3142</v>
      </c>
      <c r="V164" s="8" t="s">
        <v>3143</v>
      </c>
      <c r="X164" s="13">
        <v>-30.412800000000001</v>
      </c>
      <c r="Y164" s="13">
        <v>18.249700000000001</v>
      </c>
      <c r="Z164" s="14">
        <v>1105</v>
      </c>
      <c r="AA164" s="22" t="s">
        <v>3139</v>
      </c>
      <c r="AB164" s="8" t="s">
        <v>3135</v>
      </c>
    </row>
    <row r="165" spans="1:28" s="8" customFormat="1" ht="21.75" customHeight="1" x14ac:dyDescent="0.2">
      <c r="A165" s="8" t="s">
        <v>3134</v>
      </c>
      <c r="B165" s="8" t="s">
        <v>3144</v>
      </c>
      <c r="C165" s="8" t="s">
        <v>3145</v>
      </c>
      <c r="D165" s="8" t="s">
        <v>3146</v>
      </c>
      <c r="E165" s="8" t="s">
        <v>398</v>
      </c>
      <c r="F165" s="8" t="s">
        <v>3147</v>
      </c>
      <c r="H165" s="3" t="s">
        <v>2577</v>
      </c>
      <c r="I165" s="8">
        <v>0.28000000000000003</v>
      </c>
      <c r="J165" s="8" t="s">
        <v>4367</v>
      </c>
      <c r="K165" s="8" t="s">
        <v>5751</v>
      </c>
      <c r="L165" s="14">
        <v>135</v>
      </c>
      <c r="M165" s="14"/>
      <c r="N165" s="14"/>
      <c r="O165" s="110"/>
      <c r="P165" s="4"/>
      <c r="Q165" s="4"/>
      <c r="R165" s="8" t="s">
        <v>3141</v>
      </c>
      <c r="U165" s="8" t="s">
        <v>3142</v>
      </c>
      <c r="V165" s="8" t="s">
        <v>3143</v>
      </c>
      <c r="X165" s="13">
        <v>-30.412800000000001</v>
      </c>
      <c r="Y165" s="13">
        <v>18.249700000000001</v>
      </c>
      <c r="Z165" s="14">
        <v>1105</v>
      </c>
      <c r="AA165" s="22" t="s">
        <v>3140</v>
      </c>
    </row>
    <row r="166" spans="1:28" s="8" customFormat="1" ht="21.75" customHeight="1" x14ac:dyDescent="0.2">
      <c r="A166" s="8" t="s">
        <v>3134</v>
      </c>
      <c r="B166" s="8" t="s">
        <v>3144</v>
      </c>
      <c r="C166" s="8" t="s">
        <v>3145</v>
      </c>
      <c r="D166" s="8" t="s">
        <v>7227</v>
      </c>
      <c r="E166" s="8" t="s">
        <v>398</v>
      </c>
      <c r="F166" s="8" t="s">
        <v>214</v>
      </c>
      <c r="H166" s="3" t="s">
        <v>3137</v>
      </c>
      <c r="I166" s="8">
        <v>0.4</v>
      </c>
      <c r="J166" s="8" t="s">
        <v>4367</v>
      </c>
      <c r="K166" s="8" t="s">
        <v>5751</v>
      </c>
      <c r="L166" s="14">
        <v>135</v>
      </c>
      <c r="M166" s="14"/>
      <c r="N166" s="14"/>
      <c r="O166" s="110"/>
      <c r="P166" s="4"/>
      <c r="Q166" s="4"/>
      <c r="R166" s="8" t="s">
        <v>3141</v>
      </c>
      <c r="U166" s="8" t="s">
        <v>3142</v>
      </c>
      <c r="V166" s="8" t="s">
        <v>3143</v>
      </c>
      <c r="X166" s="13">
        <v>-30.412800000000001</v>
      </c>
      <c r="Y166" s="13">
        <v>18.249700000000001</v>
      </c>
      <c r="Z166" s="14">
        <v>1105</v>
      </c>
      <c r="AA166" s="22" t="s">
        <v>3138</v>
      </c>
    </row>
    <row r="167" spans="1:28" ht="21.75" customHeight="1" x14ac:dyDescent="0.2">
      <c r="A167" s="7" t="s">
        <v>2854</v>
      </c>
      <c r="B167" s="7" t="s">
        <v>5940</v>
      </c>
      <c r="C167" s="7" t="s">
        <v>2857</v>
      </c>
      <c r="D167" s="7" t="s">
        <v>2856</v>
      </c>
      <c r="E167" s="7" t="s">
        <v>398</v>
      </c>
      <c r="F167" s="7" t="s">
        <v>62</v>
      </c>
      <c r="G167" s="7" t="s">
        <v>2861</v>
      </c>
      <c r="H167" s="1" t="s">
        <v>2860</v>
      </c>
      <c r="I167" s="7" t="s">
        <v>2859</v>
      </c>
      <c r="J167" s="7" t="s">
        <v>5719</v>
      </c>
      <c r="K167" s="7" t="s">
        <v>4410</v>
      </c>
      <c r="L167" s="6">
        <v>1077</v>
      </c>
      <c r="O167" s="45" t="s">
        <v>2864</v>
      </c>
      <c r="Q167" s="2"/>
      <c r="R167" s="7" t="s">
        <v>2855</v>
      </c>
      <c r="W167" s="7" t="s">
        <v>2858</v>
      </c>
      <c r="X167" s="5">
        <f>46+20/60</f>
        <v>46.333333333333336</v>
      </c>
      <c r="Y167" s="5">
        <f>-(63+10/60)</f>
        <v>-63.166666666666664</v>
      </c>
      <c r="Z167" s="6">
        <v>54</v>
      </c>
      <c r="AA167" s="44" t="s">
        <v>2862</v>
      </c>
      <c r="AB167" s="7" t="s">
        <v>2863</v>
      </c>
    </row>
    <row r="168" spans="1:28" s="8" customFormat="1" ht="21.75" customHeight="1" x14ac:dyDescent="0.2">
      <c r="A168" s="8" t="s">
        <v>5928</v>
      </c>
      <c r="B168" s="8" t="s">
        <v>5931</v>
      </c>
      <c r="C168" s="8" t="s">
        <v>5930</v>
      </c>
      <c r="D168" s="8" t="s">
        <v>5929</v>
      </c>
      <c r="E168" s="8" t="s">
        <v>280</v>
      </c>
      <c r="F168" s="8" t="s">
        <v>212</v>
      </c>
      <c r="H168" s="3" t="s">
        <v>5935</v>
      </c>
      <c r="I168" s="8">
        <v>0.9</v>
      </c>
      <c r="J168" s="8" t="s">
        <v>5937</v>
      </c>
      <c r="K168" s="8" t="s">
        <v>4410</v>
      </c>
      <c r="L168" s="14">
        <v>707</v>
      </c>
      <c r="M168" s="14" t="s">
        <v>5932</v>
      </c>
      <c r="N168" s="14"/>
      <c r="O168" s="110" t="s">
        <v>5936</v>
      </c>
      <c r="P168" s="4"/>
      <c r="Q168" s="4"/>
      <c r="R168" s="8" t="s">
        <v>5934</v>
      </c>
      <c r="S168" s="8" t="s">
        <v>977</v>
      </c>
      <c r="T168" s="8" t="s">
        <v>5933</v>
      </c>
      <c r="X168" s="13">
        <v>19.498999999999999</v>
      </c>
      <c r="Y168" s="13">
        <v>-105.0472</v>
      </c>
      <c r="Z168" s="14">
        <v>58</v>
      </c>
      <c r="AA168" s="22" t="s">
        <v>5938</v>
      </c>
      <c r="AB168" s="8" t="s">
        <v>5939</v>
      </c>
    </row>
    <row r="169" spans="1:28" ht="21.75" customHeight="1" x14ac:dyDescent="0.2">
      <c r="A169" s="7" t="s">
        <v>4222</v>
      </c>
      <c r="B169" s="7" t="s">
        <v>4223</v>
      </c>
      <c r="C169" s="7" t="s">
        <v>4224</v>
      </c>
      <c r="D169" s="7" t="s">
        <v>4225</v>
      </c>
      <c r="E169" s="7" t="s">
        <v>398</v>
      </c>
      <c r="F169" s="7" t="s">
        <v>1557</v>
      </c>
      <c r="G169" s="7" t="s">
        <v>4287</v>
      </c>
      <c r="H169" s="1" t="s">
        <v>4233</v>
      </c>
      <c r="I169" s="7">
        <v>0.6</v>
      </c>
      <c r="J169" s="7" t="s">
        <v>4280</v>
      </c>
      <c r="K169" s="7" t="s">
        <v>4410</v>
      </c>
      <c r="L169" s="6">
        <v>480</v>
      </c>
      <c r="Q169" s="7">
        <v>0.1</v>
      </c>
      <c r="R169" s="7" t="s">
        <v>4281</v>
      </c>
      <c r="X169" s="5">
        <f>39+19/60+28/3600</f>
        <v>39.324444444444445</v>
      </c>
      <c r="Y169" s="5">
        <f>-(117+7/60+16/3600)</f>
        <v>-117.12111111111111</v>
      </c>
      <c r="Z169" s="6">
        <v>2146</v>
      </c>
      <c r="AA169" s="44"/>
    </row>
    <row r="170" spans="1:28" ht="21.75" customHeight="1" x14ac:dyDescent="0.2">
      <c r="A170" s="7" t="s">
        <v>4222</v>
      </c>
      <c r="B170" s="7" t="s">
        <v>4223</v>
      </c>
      <c r="C170" s="7" t="s">
        <v>4224</v>
      </c>
      <c r="D170" s="7" t="s">
        <v>4226</v>
      </c>
      <c r="E170" s="7" t="s">
        <v>398</v>
      </c>
      <c r="F170" s="7" t="s">
        <v>62</v>
      </c>
      <c r="G170" s="7" t="s">
        <v>4288</v>
      </c>
      <c r="H170" s="1" t="s">
        <v>4234</v>
      </c>
      <c r="I170" s="7">
        <v>0.3</v>
      </c>
      <c r="J170" s="7" t="s">
        <v>4280</v>
      </c>
      <c r="K170" s="7" t="s">
        <v>4410</v>
      </c>
      <c r="L170" s="6">
        <v>480</v>
      </c>
      <c r="Q170" s="2">
        <v>0.28999999999999998</v>
      </c>
      <c r="R170" s="7" t="s">
        <v>4282</v>
      </c>
      <c r="X170" s="5">
        <f>39+19/60+28/3600</f>
        <v>39.324444444444445</v>
      </c>
      <c r="Y170" s="5">
        <f>-(117+7/60+16/3600)</f>
        <v>-117.12111111111111</v>
      </c>
      <c r="Z170" s="6">
        <v>2146</v>
      </c>
      <c r="AA170" s="44"/>
    </row>
    <row r="171" spans="1:28" ht="21.75" customHeight="1" x14ac:dyDescent="0.2">
      <c r="A171" s="7" t="s">
        <v>4222</v>
      </c>
      <c r="B171" s="7" t="s">
        <v>4223</v>
      </c>
      <c r="C171" s="7" t="s">
        <v>4224</v>
      </c>
      <c r="D171" s="7" t="s">
        <v>4227</v>
      </c>
      <c r="E171" s="7" t="s">
        <v>398</v>
      </c>
      <c r="F171" s="7" t="s">
        <v>62</v>
      </c>
      <c r="G171" s="7" t="s">
        <v>4289</v>
      </c>
      <c r="H171" s="1" t="s">
        <v>4235</v>
      </c>
      <c r="I171" s="7">
        <v>0.67</v>
      </c>
      <c r="J171" s="7" t="s">
        <v>4280</v>
      </c>
      <c r="K171" s="7" t="s">
        <v>4410</v>
      </c>
      <c r="L171" s="6">
        <v>480</v>
      </c>
      <c r="Q171" s="2">
        <v>0.2</v>
      </c>
      <c r="R171" s="7" t="s">
        <v>4281</v>
      </c>
      <c r="X171" s="5">
        <f>39+19/60+28/3600</f>
        <v>39.324444444444445</v>
      </c>
      <c r="Y171" s="5">
        <f>-(117+7/60+16/3600)</f>
        <v>-117.12111111111111</v>
      </c>
      <c r="Z171" s="6">
        <v>2146</v>
      </c>
      <c r="AA171" s="44"/>
    </row>
    <row r="172" spans="1:28" ht="21.75" customHeight="1" x14ac:dyDescent="0.2">
      <c r="A172" s="7" t="s">
        <v>4222</v>
      </c>
      <c r="B172" s="7" t="s">
        <v>4223</v>
      </c>
      <c r="C172" s="7" t="s">
        <v>4224</v>
      </c>
      <c r="D172" s="7" t="s">
        <v>4228</v>
      </c>
      <c r="E172" s="7" t="s">
        <v>398</v>
      </c>
      <c r="F172" s="7" t="s">
        <v>214</v>
      </c>
      <c r="G172" s="7" t="s">
        <v>4290</v>
      </c>
      <c r="H172" s="1" t="s">
        <v>4236</v>
      </c>
      <c r="I172" s="7">
        <v>0.91</v>
      </c>
      <c r="J172" s="7" t="s">
        <v>4280</v>
      </c>
      <c r="K172" s="7" t="s">
        <v>4410</v>
      </c>
      <c r="L172" s="6">
        <v>480</v>
      </c>
      <c r="Q172" s="2">
        <v>0.25</v>
      </c>
      <c r="R172" s="7" t="s">
        <v>4283</v>
      </c>
      <c r="X172" s="5">
        <f>39+19/60+28/3600</f>
        <v>39.324444444444445</v>
      </c>
      <c r="Y172" s="5">
        <f>-(117+7/60+16/3600)</f>
        <v>-117.12111111111111</v>
      </c>
      <c r="Z172" s="6">
        <v>2146</v>
      </c>
      <c r="AA172" s="44"/>
    </row>
    <row r="173" spans="1:28" ht="21.75" customHeight="1" x14ac:dyDescent="0.2">
      <c r="A173" s="7" t="s">
        <v>4222</v>
      </c>
      <c r="B173" s="7" t="s">
        <v>4223</v>
      </c>
      <c r="C173" s="7" t="s">
        <v>4224</v>
      </c>
      <c r="D173" s="7" t="s">
        <v>4229</v>
      </c>
      <c r="E173" s="7" t="s">
        <v>398</v>
      </c>
      <c r="F173" s="7" t="s">
        <v>1557</v>
      </c>
      <c r="G173" s="7" t="s">
        <v>4287</v>
      </c>
      <c r="H173" s="1" t="s">
        <v>4233</v>
      </c>
      <c r="I173" s="7">
        <v>1.3</v>
      </c>
      <c r="J173" s="7" t="s">
        <v>4280</v>
      </c>
      <c r="K173" s="7" t="s">
        <v>4410</v>
      </c>
      <c r="L173" s="6">
        <v>510</v>
      </c>
      <c r="Q173" s="7">
        <v>0.03</v>
      </c>
      <c r="R173" s="7" t="s">
        <v>4284</v>
      </c>
      <c r="X173" s="5">
        <f>39+7/60+13.5/3600</f>
        <v>39.120416666666664</v>
      </c>
      <c r="Y173" s="5">
        <f>-(116+48/60+38.6/3600)</f>
        <v>-116.81072222222222</v>
      </c>
      <c r="Z173" s="6">
        <v>2377</v>
      </c>
      <c r="AA173" s="44"/>
    </row>
    <row r="174" spans="1:28" ht="21.75" customHeight="1" x14ac:dyDescent="0.2">
      <c r="A174" s="7" t="s">
        <v>4222</v>
      </c>
      <c r="B174" s="7" t="s">
        <v>4223</v>
      </c>
      <c r="C174" s="7" t="s">
        <v>4224</v>
      </c>
      <c r="D174" s="7" t="s">
        <v>4230</v>
      </c>
      <c r="E174" s="7" t="s">
        <v>398</v>
      </c>
      <c r="F174" s="7" t="s">
        <v>62</v>
      </c>
      <c r="G174" s="7" t="s">
        <v>4288</v>
      </c>
      <c r="H174" s="1" t="s">
        <v>4234</v>
      </c>
      <c r="I174" s="7">
        <v>1.28</v>
      </c>
      <c r="J174" s="7" t="s">
        <v>4280</v>
      </c>
      <c r="K174" s="7" t="s">
        <v>4410</v>
      </c>
      <c r="L174" s="6">
        <v>510</v>
      </c>
      <c r="Q174" s="2">
        <v>0.33</v>
      </c>
      <c r="R174" s="7" t="s">
        <v>4285</v>
      </c>
      <c r="X174" s="5">
        <f>39+7/60+13.5/3600</f>
        <v>39.120416666666664</v>
      </c>
      <c r="Y174" s="5">
        <f>-(116+48/60+38.6/3600)</f>
        <v>-116.81072222222222</v>
      </c>
      <c r="Z174" s="6">
        <v>2377</v>
      </c>
      <c r="AA174" s="44"/>
    </row>
    <row r="175" spans="1:28" ht="21.75" customHeight="1" x14ac:dyDescent="0.2">
      <c r="A175" s="7" t="s">
        <v>4222</v>
      </c>
      <c r="B175" s="7" t="s">
        <v>4223</v>
      </c>
      <c r="C175" s="7" t="s">
        <v>4224</v>
      </c>
      <c r="D175" s="7" t="s">
        <v>4231</v>
      </c>
      <c r="E175" s="7" t="s">
        <v>398</v>
      </c>
      <c r="F175" s="7" t="s">
        <v>62</v>
      </c>
      <c r="G175" s="7" t="s">
        <v>4289</v>
      </c>
      <c r="H175" s="1" t="s">
        <v>4235</v>
      </c>
      <c r="I175" s="7">
        <v>0.85</v>
      </c>
      <c r="J175" s="7" t="s">
        <v>4280</v>
      </c>
      <c r="K175" s="7" t="s">
        <v>4410</v>
      </c>
      <c r="L175" s="6">
        <v>510</v>
      </c>
      <c r="Q175" s="2">
        <v>0.3</v>
      </c>
      <c r="R175" s="7" t="s">
        <v>4286</v>
      </c>
      <c r="X175" s="5">
        <f>39+7/60+13.5/3600</f>
        <v>39.120416666666664</v>
      </c>
      <c r="Y175" s="5">
        <f>-(116+48/60+38.6/3600)</f>
        <v>-116.81072222222222</v>
      </c>
      <c r="Z175" s="6">
        <v>2377</v>
      </c>
      <c r="AA175" s="44"/>
    </row>
    <row r="176" spans="1:28" ht="21.75" customHeight="1" x14ac:dyDescent="0.2">
      <c r="A176" s="7" t="s">
        <v>4222</v>
      </c>
      <c r="B176" s="7" t="s">
        <v>4223</v>
      </c>
      <c r="C176" s="7" t="s">
        <v>4224</v>
      </c>
      <c r="D176" s="7" t="s">
        <v>4232</v>
      </c>
      <c r="E176" s="7" t="s">
        <v>398</v>
      </c>
      <c r="F176" s="7" t="s">
        <v>214</v>
      </c>
      <c r="G176" s="7" t="s">
        <v>4290</v>
      </c>
      <c r="H176" s="1" t="s">
        <v>4236</v>
      </c>
      <c r="I176" s="7">
        <v>0.52</v>
      </c>
      <c r="J176" s="7" t="s">
        <v>4280</v>
      </c>
      <c r="K176" s="7" t="s">
        <v>4410</v>
      </c>
      <c r="L176" s="6">
        <v>510</v>
      </c>
      <c r="Q176" s="2">
        <v>0.9</v>
      </c>
      <c r="R176" s="7" t="s">
        <v>4286</v>
      </c>
      <c r="X176" s="5">
        <f>39+7/60+13.5/3600</f>
        <v>39.120416666666664</v>
      </c>
      <c r="Y176" s="5">
        <f>-(116+48/60+38.6/3600)</f>
        <v>-116.81072222222222</v>
      </c>
      <c r="Z176" s="6">
        <v>2377</v>
      </c>
      <c r="AA176" s="44"/>
    </row>
    <row r="177" spans="1:29" s="8" customFormat="1" ht="21.75" customHeight="1" x14ac:dyDescent="0.2">
      <c r="A177" s="8" t="s">
        <v>6890</v>
      </c>
      <c r="B177" s="8" t="s">
        <v>6902</v>
      </c>
      <c r="C177" s="8" t="s">
        <v>4242</v>
      </c>
      <c r="D177" s="8" t="s">
        <v>6893</v>
      </c>
      <c r="E177" s="8" t="s">
        <v>263</v>
      </c>
      <c r="F177" s="8" t="s">
        <v>212</v>
      </c>
      <c r="H177" s="3" t="s">
        <v>6900</v>
      </c>
      <c r="I177" s="8">
        <v>3.5</v>
      </c>
      <c r="J177" s="8" t="s">
        <v>6897</v>
      </c>
      <c r="K177" s="8" t="s">
        <v>4410</v>
      </c>
      <c r="L177" s="14">
        <v>2800</v>
      </c>
      <c r="M177" s="14"/>
      <c r="N177" s="14"/>
      <c r="O177" s="110" t="s">
        <v>6894</v>
      </c>
      <c r="P177" s="4"/>
      <c r="Q177" s="4"/>
      <c r="R177" s="8" t="s">
        <v>6898</v>
      </c>
      <c r="X177" s="13">
        <v>-1.5011000000000001</v>
      </c>
      <c r="Y177" s="13">
        <v>-48.47</v>
      </c>
      <c r="Z177" s="14">
        <v>15</v>
      </c>
      <c r="AA177" s="22" t="s">
        <v>6903</v>
      </c>
      <c r="AB177" s="8" t="s">
        <v>6907</v>
      </c>
    </row>
    <row r="178" spans="1:29" s="8" customFormat="1" ht="21.75" customHeight="1" x14ac:dyDescent="0.2">
      <c r="A178" s="8" t="s">
        <v>6890</v>
      </c>
      <c r="B178" s="8" t="s">
        <v>6902</v>
      </c>
      <c r="C178" s="8" t="s">
        <v>4242</v>
      </c>
      <c r="D178" s="8" t="s">
        <v>6891</v>
      </c>
      <c r="E178" s="8" t="s">
        <v>263</v>
      </c>
      <c r="F178" s="8" t="s">
        <v>212</v>
      </c>
      <c r="H178" s="3" t="s">
        <v>6900</v>
      </c>
      <c r="I178" s="8">
        <v>3</v>
      </c>
      <c r="J178" s="8" t="s">
        <v>6897</v>
      </c>
      <c r="K178" s="8" t="s">
        <v>4410</v>
      </c>
      <c r="L178" s="14">
        <v>2800</v>
      </c>
      <c r="M178" s="14"/>
      <c r="N178" s="14"/>
      <c r="O178" s="110" t="s">
        <v>6895</v>
      </c>
      <c r="P178" s="4"/>
      <c r="Q178" s="4"/>
      <c r="R178" s="8" t="s">
        <v>3692</v>
      </c>
      <c r="X178" s="13">
        <v>-1.5035000000000001</v>
      </c>
      <c r="Y178" s="13">
        <v>-48.462899999999998</v>
      </c>
      <c r="Z178" s="14">
        <v>14</v>
      </c>
      <c r="AA178" s="22" t="s">
        <v>6906</v>
      </c>
      <c r="AB178" s="8" t="s">
        <v>6901</v>
      </c>
    </row>
    <row r="179" spans="1:29" s="8" customFormat="1" ht="21.75" customHeight="1" x14ac:dyDescent="0.2">
      <c r="A179" s="8" t="s">
        <v>6890</v>
      </c>
      <c r="B179" s="8" t="s">
        <v>6902</v>
      </c>
      <c r="C179" s="8" t="s">
        <v>4242</v>
      </c>
      <c r="D179" s="8" t="s">
        <v>6892</v>
      </c>
      <c r="E179" s="8" t="s">
        <v>263</v>
      </c>
      <c r="F179" s="8" t="s">
        <v>212</v>
      </c>
      <c r="H179" s="3" t="s">
        <v>6904</v>
      </c>
      <c r="I179" s="8">
        <v>2.5</v>
      </c>
      <c r="J179" s="8" t="s">
        <v>6897</v>
      </c>
      <c r="K179" s="8" t="s">
        <v>4410</v>
      </c>
      <c r="L179" s="14">
        <v>2800</v>
      </c>
      <c r="M179" s="14"/>
      <c r="N179" s="14"/>
      <c r="O179" s="110" t="s">
        <v>6896</v>
      </c>
      <c r="P179" s="4"/>
      <c r="Q179" s="4"/>
      <c r="R179" s="8" t="s">
        <v>6899</v>
      </c>
      <c r="X179" s="13">
        <v>-1.5086999999999999</v>
      </c>
      <c r="Y179" s="13">
        <v>-48.465600000000002</v>
      </c>
      <c r="Z179" s="14">
        <v>13</v>
      </c>
      <c r="AA179" s="22" t="s">
        <v>6905</v>
      </c>
      <c r="AB179" s="8" t="s">
        <v>6901</v>
      </c>
    </row>
    <row r="180" spans="1:29" ht="21.75" customHeight="1" x14ac:dyDescent="0.2">
      <c r="A180" s="7" t="s">
        <v>370</v>
      </c>
      <c r="B180" s="7" t="s">
        <v>371</v>
      </c>
      <c r="C180" s="7" t="s">
        <v>374</v>
      </c>
      <c r="D180" s="7" t="s">
        <v>372</v>
      </c>
      <c r="E180" s="7" t="s">
        <v>341</v>
      </c>
      <c r="F180" s="7" t="s">
        <v>378</v>
      </c>
      <c r="G180" s="7" t="s">
        <v>379</v>
      </c>
      <c r="H180" s="1" t="s">
        <v>375</v>
      </c>
      <c r="I180" s="2">
        <v>0.3</v>
      </c>
      <c r="J180" s="2" t="s">
        <v>4328</v>
      </c>
      <c r="K180" s="2" t="s">
        <v>4410</v>
      </c>
      <c r="L180" s="6">
        <v>1100</v>
      </c>
      <c r="O180" s="45" t="s">
        <v>383</v>
      </c>
      <c r="P180" s="18" t="s">
        <v>380</v>
      </c>
      <c r="R180" s="7" t="s">
        <v>385</v>
      </c>
      <c r="X180" s="24">
        <v>-34.139000000000003</v>
      </c>
      <c r="Y180" s="24">
        <v>-58.709099999999999</v>
      </c>
      <c r="Z180" s="20">
        <v>3</v>
      </c>
      <c r="AA180" s="134" t="s">
        <v>382</v>
      </c>
      <c r="AB180" s="139" t="s">
        <v>386</v>
      </c>
    </row>
    <row r="181" spans="1:29" ht="21.75" customHeight="1" x14ac:dyDescent="0.2">
      <c r="A181" s="7" t="s">
        <v>370</v>
      </c>
      <c r="B181" s="7" t="s">
        <v>371</v>
      </c>
      <c r="C181" s="7" t="s">
        <v>374</v>
      </c>
      <c r="D181" s="7" t="s">
        <v>373</v>
      </c>
      <c r="E181" s="7" t="s">
        <v>280</v>
      </c>
      <c r="F181" s="7" t="s">
        <v>212</v>
      </c>
      <c r="G181" s="7" t="s">
        <v>376</v>
      </c>
      <c r="H181" s="1" t="s">
        <v>377</v>
      </c>
      <c r="I181" s="2">
        <v>1</v>
      </c>
      <c r="J181" s="7" t="s">
        <v>4367</v>
      </c>
      <c r="K181" s="2" t="s">
        <v>4410</v>
      </c>
      <c r="L181" s="6">
        <v>1100</v>
      </c>
      <c r="O181" s="45" t="s">
        <v>384</v>
      </c>
      <c r="P181" s="18" t="s">
        <v>381</v>
      </c>
      <c r="R181" s="7" t="s">
        <v>385</v>
      </c>
      <c r="W181" s="7" t="s">
        <v>5941</v>
      </c>
      <c r="X181" s="24">
        <v>-34.151600000000002</v>
      </c>
      <c r="Y181" s="24">
        <v>-58.719700000000003</v>
      </c>
      <c r="Z181" s="20">
        <v>5</v>
      </c>
      <c r="AA181" s="135"/>
      <c r="AB181" s="139"/>
    </row>
    <row r="182" spans="1:29" s="8" customFormat="1" ht="21.75" customHeight="1" x14ac:dyDescent="0.2">
      <c r="A182" s="8" t="s">
        <v>4590</v>
      </c>
      <c r="B182" s="8" t="s">
        <v>4591</v>
      </c>
      <c r="C182" s="8" t="s">
        <v>284</v>
      </c>
      <c r="D182" s="8" t="s">
        <v>4592</v>
      </c>
      <c r="E182" s="8" t="s">
        <v>263</v>
      </c>
      <c r="F182" s="8" t="s">
        <v>212</v>
      </c>
      <c r="H182" s="3"/>
      <c r="I182" s="4" t="s">
        <v>4598</v>
      </c>
      <c r="J182" s="4" t="s">
        <v>4597</v>
      </c>
      <c r="K182" s="4" t="s">
        <v>4410</v>
      </c>
      <c r="L182" s="14">
        <v>2100</v>
      </c>
      <c r="M182" s="14" t="s">
        <v>4593</v>
      </c>
      <c r="N182" s="14"/>
      <c r="O182" s="110" t="s">
        <v>4594</v>
      </c>
      <c r="P182" s="9"/>
      <c r="R182" s="8" t="s">
        <v>4595</v>
      </c>
      <c r="X182" s="25">
        <v>-2.597</v>
      </c>
      <c r="Y182" s="25">
        <v>-60.049599999999998</v>
      </c>
      <c r="Z182" s="21">
        <v>124</v>
      </c>
      <c r="AA182" s="107" t="s">
        <v>4596</v>
      </c>
      <c r="AB182" s="8" t="s">
        <v>4752</v>
      </c>
    </row>
    <row r="183" spans="1:29" ht="21.75" customHeight="1" x14ac:dyDescent="0.2">
      <c r="A183" s="7" t="s">
        <v>6332</v>
      </c>
      <c r="B183" s="7" t="s">
        <v>5615</v>
      </c>
      <c r="C183" s="7" t="s">
        <v>5617</v>
      </c>
      <c r="E183" s="7" t="s">
        <v>263</v>
      </c>
      <c r="F183" s="7" t="s">
        <v>214</v>
      </c>
      <c r="G183" s="7" t="s">
        <v>5622</v>
      </c>
      <c r="H183" s="1" t="s">
        <v>5621</v>
      </c>
      <c r="I183" s="7">
        <v>0.5</v>
      </c>
      <c r="J183" s="7" t="s">
        <v>4328</v>
      </c>
      <c r="K183" s="7" t="s">
        <v>4410</v>
      </c>
      <c r="O183" s="45" t="s">
        <v>5620</v>
      </c>
      <c r="R183" s="7" t="s">
        <v>5619</v>
      </c>
      <c r="X183" s="5">
        <v>50.718499999999999</v>
      </c>
      <c r="Y183" s="5">
        <v>-2.1368</v>
      </c>
      <c r="Z183" s="6">
        <v>15</v>
      </c>
      <c r="AA183" s="7" t="s">
        <v>5616</v>
      </c>
      <c r="AB183" s="7" t="s">
        <v>5618</v>
      </c>
    </row>
    <row r="184" spans="1:29" s="8" customFormat="1" ht="21.75" customHeight="1" x14ac:dyDescent="0.2">
      <c r="A184" s="8" t="s">
        <v>6331</v>
      </c>
      <c r="B184" s="8" t="s">
        <v>5615</v>
      </c>
      <c r="C184" s="8" t="s">
        <v>5617</v>
      </c>
      <c r="D184" s="8" t="s">
        <v>6333</v>
      </c>
      <c r="E184" s="8" t="s">
        <v>263</v>
      </c>
      <c r="F184" s="8" t="s">
        <v>214</v>
      </c>
      <c r="G184" s="8" t="s">
        <v>6344</v>
      </c>
      <c r="H184" s="3" t="s">
        <v>6342</v>
      </c>
      <c r="I184" s="8">
        <v>0.3</v>
      </c>
      <c r="J184" s="8" t="s">
        <v>6345</v>
      </c>
      <c r="K184" s="8" t="s">
        <v>4410</v>
      </c>
      <c r="L184" s="14"/>
      <c r="M184" s="14"/>
      <c r="N184" s="14"/>
      <c r="O184" s="110" t="s">
        <v>6341</v>
      </c>
      <c r="P184" s="4"/>
      <c r="R184" s="8" t="s">
        <v>1605</v>
      </c>
      <c r="X184" s="13">
        <v>50.663800000000002</v>
      </c>
      <c r="Y184" s="13">
        <v>-1.9518</v>
      </c>
      <c r="Z184" s="14">
        <v>5</v>
      </c>
      <c r="AA184" s="22"/>
      <c r="AB184" s="8" t="s">
        <v>6340</v>
      </c>
      <c r="AC184" s="8">
        <v>2</v>
      </c>
    </row>
    <row r="185" spans="1:29" s="8" customFormat="1" ht="21.75" customHeight="1" x14ac:dyDescent="0.2">
      <c r="A185" s="8" t="s">
        <v>6331</v>
      </c>
      <c r="B185" s="8" t="s">
        <v>5615</v>
      </c>
      <c r="C185" s="8" t="s">
        <v>5617</v>
      </c>
      <c r="D185" s="8" t="s">
        <v>6334</v>
      </c>
      <c r="E185" s="8" t="s">
        <v>263</v>
      </c>
      <c r="F185" s="8" t="s">
        <v>214</v>
      </c>
      <c r="G185" s="8" t="s">
        <v>6344</v>
      </c>
      <c r="H185" s="3" t="s">
        <v>6343</v>
      </c>
      <c r="I185" s="8">
        <v>0.6</v>
      </c>
      <c r="J185" s="8" t="s">
        <v>6345</v>
      </c>
      <c r="K185" s="8" t="s">
        <v>4410</v>
      </c>
      <c r="L185" s="14"/>
      <c r="M185" s="14"/>
      <c r="N185" s="14"/>
      <c r="O185" s="110" t="s">
        <v>6341</v>
      </c>
      <c r="P185" s="4"/>
      <c r="R185" s="8" t="s">
        <v>1605</v>
      </c>
      <c r="X185" s="13">
        <v>50.667400000000001</v>
      </c>
      <c r="Y185" s="13">
        <v>-1.9518</v>
      </c>
      <c r="Z185" s="14">
        <v>5</v>
      </c>
      <c r="AA185" s="22"/>
      <c r="AB185" s="8" t="s">
        <v>6346</v>
      </c>
      <c r="AC185" s="8">
        <v>2</v>
      </c>
    </row>
    <row r="186" spans="1:29" s="8" customFormat="1" ht="21.75" customHeight="1" x14ac:dyDescent="0.2">
      <c r="A186" s="8" t="s">
        <v>6331</v>
      </c>
      <c r="B186" s="8" t="s">
        <v>5615</v>
      </c>
      <c r="C186" s="8" t="s">
        <v>5617</v>
      </c>
      <c r="D186" s="8" t="s">
        <v>6335</v>
      </c>
      <c r="E186" s="8" t="s">
        <v>263</v>
      </c>
      <c r="F186" s="8" t="s">
        <v>214</v>
      </c>
      <c r="G186" s="8" t="s">
        <v>6344</v>
      </c>
      <c r="H186" s="3" t="s">
        <v>6343</v>
      </c>
      <c r="I186" s="8">
        <v>1.5</v>
      </c>
      <c r="J186" s="8" t="s">
        <v>6345</v>
      </c>
      <c r="K186" s="8" t="s">
        <v>4410</v>
      </c>
      <c r="L186" s="14"/>
      <c r="M186" s="14"/>
      <c r="N186" s="14"/>
      <c r="O186" s="110" t="s">
        <v>6341</v>
      </c>
      <c r="P186" s="4"/>
      <c r="R186" s="8" t="s">
        <v>1605</v>
      </c>
      <c r="X186" s="13">
        <v>50.669199999999996</v>
      </c>
      <c r="Y186" s="13">
        <v>-1.9568000000000001</v>
      </c>
      <c r="Z186" s="14">
        <v>5</v>
      </c>
      <c r="AA186" s="22"/>
      <c r="AC186" s="8">
        <v>2</v>
      </c>
    </row>
    <row r="187" spans="1:29" s="8" customFormat="1" ht="21.75" customHeight="1" x14ac:dyDescent="0.2">
      <c r="A187" s="8" t="s">
        <v>6331</v>
      </c>
      <c r="B187" s="8" t="s">
        <v>5615</v>
      </c>
      <c r="C187" s="8" t="s">
        <v>5617</v>
      </c>
      <c r="D187" s="8" t="s">
        <v>6336</v>
      </c>
      <c r="E187" s="8" t="s">
        <v>263</v>
      </c>
      <c r="F187" s="8" t="s">
        <v>214</v>
      </c>
      <c r="G187" s="8" t="s">
        <v>6344</v>
      </c>
      <c r="H187" s="3" t="s">
        <v>6343</v>
      </c>
      <c r="I187" s="8">
        <v>1.8</v>
      </c>
      <c r="J187" s="8" t="s">
        <v>6345</v>
      </c>
      <c r="K187" s="8" t="s">
        <v>4410</v>
      </c>
      <c r="L187" s="14"/>
      <c r="M187" s="14"/>
      <c r="N187" s="14"/>
      <c r="O187" s="110" t="s">
        <v>6350</v>
      </c>
      <c r="P187" s="4"/>
      <c r="R187" s="8" t="s">
        <v>1605</v>
      </c>
      <c r="X187" s="13">
        <v>50.666400000000003</v>
      </c>
      <c r="Y187" s="13">
        <v>-2.1046999999999998</v>
      </c>
      <c r="Z187" s="14">
        <v>30</v>
      </c>
      <c r="AA187" s="22"/>
      <c r="AB187" s="8" t="s">
        <v>6347</v>
      </c>
      <c r="AC187" s="8">
        <v>5</v>
      </c>
    </row>
    <row r="188" spans="1:29" s="8" customFormat="1" ht="21.75" customHeight="1" x14ac:dyDescent="0.2">
      <c r="A188" s="8" t="s">
        <v>6331</v>
      </c>
      <c r="B188" s="8" t="s">
        <v>5615</v>
      </c>
      <c r="C188" s="8" t="s">
        <v>5617</v>
      </c>
      <c r="D188" s="8" t="s">
        <v>6337</v>
      </c>
      <c r="E188" s="8" t="s">
        <v>263</v>
      </c>
      <c r="F188" s="8" t="s">
        <v>214</v>
      </c>
      <c r="G188" s="8" t="s">
        <v>6344</v>
      </c>
      <c r="H188" s="3" t="s">
        <v>6343</v>
      </c>
      <c r="I188" s="8">
        <v>1.7</v>
      </c>
      <c r="J188" s="8" t="s">
        <v>6345</v>
      </c>
      <c r="K188" s="8" t="s">
        <v>4410</v>
      </c>
      <c r="L188" s="14"/>
      <c r="M188" s="14"/>
      <c r="N188" s="14"/>
      <c r="O188" s="110" t="s">
        <v>6353</v>
      </c>
      <c r="P188" s="4"/>
      <c r="R188" s="8" t="s">
        <v>1605</v>
      </c>
      <c r="X188" s="13">
        <v>50.660200000000003</v>
      </c>
      <c r="Y188" s="13">
        <v>-1.9632000000000001</v>
      </c>
      <c r="Z188" s="14">
        <v>10</v>
      </c>
      <c r="AA188" s="22"/>
      <c r="AB188" s="8" t="s">
        <v>6348</v>
      </c>
      <c r="AC188" s="8">
        <v>5</v>
      </c>
    </row>
    <row r="189" spans="1:29" s="8" customFormat="1" ht="21.75" customHeight="1" x14ac:dyDescent="0.2">
      <c r="A189" s="8" t="s">
        <v>6331</v>
      </c>
      <c r="B189" s="8" t="s">
        <v>5615</v>
      </c>
      <c r="C189" s="8" t="s">
        <v>5617</v>
      </c>
      <c r="D189" s="8" t="s">
        <v>6338</v>
      </c>
      <c r="E189" s="8" t="s">
        <v>263</v>
      </c>
      <c r="F189" s="8" t="s">
        <v>214</v>
      </c>
      <c r="G189" s="8" t="s">
        <v>6344</v>
      </c>
      <c r="H189" s="3" t="s">
        <v>6343</v>
      </c>
      <c r="I189" s="8">
        <v>1.3</v>
      </c>
      <c r="J189" s="8" t="s">
        <v>6345</v>
      </c>
      <c r="K189" s="8" t="s">
        <v>4410</v>
      </c>
      <c r="L189" s="14"/>
      <c r="M189" s="14"/>
      <c r="N189" s="14"/>
      <c r="O189" s="110" t="s">
        <v>6351</v>
      </c>
      <c r="P189" s="4"/>
      <c r="R189" s="8" t="s">
        <v>1605</v>
      </c>
      <c r="X189" s="13">
        <v>50.659300000000002</v>
      </c>
      <c r="Y189" s="13">
        <v>-1.966</v>
      </c>
      <c r="Z189" s="14">
        <v>8</v>
      </c>
      <c r="AA189" s="22"/>
      <c r="AB189" s="8" t="s">
        <v>6347</v>
      </c>
      <c r="AC189" s="8">
        <v>5</v>
      </c>
    </row>
    <row r="190" spans="1:29" s="8" customFormat="1" ht="21.75" customHeight="1" x14ac:dyDescent="0.2">
      <c r="A190" s="8" t="s">
        <v>6331</v>
      </c>
      <c r="B190" s="8" t="s">
        <v>5615</v>
      </c>
      <c r="C190" s="8" t="s">
        <v>5617</v>
      </c>
      <c r="D190" s="8" t="s">
        <v>6339</v>
      </c>
      <c r="E190" s="8" t="s">
        <v>263</v>
      </c>
      <c r="F190" s="8" t="s">
        <v>214</v>
      </c>
      <c r="G190" s="8" t="s">
        <v>6344</v>
      </c>
      <c r="H190" s="3" t="s">
        <v>6343</v>
      </c>
      <c r="I190" s="8">
        <v>2</v>
      </c>
      <c r="J190" s="8" t="s">
        <v>6345</v>
      </c>
      <c r="K190" s="8" t="s">
        <v>4410</v>
      </c>
      <c r="L190" s="14"/>
      <c r="M190" s="14"/>
      <c r="N190" s="14"/>
      <c r="O190" s="110" t="s">
        <v>6352</v>
      </c>
      <c r="P190" s="4"/>
      <c r="R190" s="8" t="s">
        <v>1605</v>
      </c>
      <c r="X190" s="13">
        <v>50.655700000000003</v>
      </c>
      <c r="Y190" s="13">
        <v>-1.9618</v>
      </c>
      <c r="Z190" s="14">
        <v>15</v>
      </c>
      <c r="AA190" s="22"/>
      <c r="AB190" s="8" t="s">
        <v>6349</v>
      </c>
      <c r="AC190" s="8">
        <v>5</v>
      </c>
    </row>
    <row r="191" spans="1:29" ht="21.75" customHeight="1" x14ac:dyDescent="0.2">
      <c r="A191" s="7" t="s">
        <v>387</v>
      </c>
      <c r="B191" s="7" t="s">
        <v>388</v>
      </c>
      <c r="C191" s="7" t="s">
        <v>90</v>
      </c>
      <c r="E191" s="7" t="s">
        <v>280</v>
      </c>
      <c r="F191" s="7" t="s">
        <v>214</v>
      </c>
      <c r="G191" s="7" t="s">
        <v>389</v>
      </c>
      <c r="H191" s="1" t="s">
        <v>390</v>
      </c>
      <c r="I191" s="2">
        <v>0.97536000000000012</v>
      </c>
      <c r="J191" s="2" t="s">
        <v>4367</v>
      </c>
      <c r="K191" s="2" t="s">
        <v>4480</v>
      </c>
      <c r="O191" s="45" t="s">
        <v>400</v>
      </c>
      <c r="R191" s="7" t="s">
        <v>399</v>
      </c>
      <c r="X191" s="5">
        <v>47.168399999999998</v>
      </c>
      <c r="Y191" s="5">
        <v>-95.164900000000003</v>
      </c>
      <c r="Z191" s="6">
        <v>486</v>
      </c>
      <c r="AA191" s="134" t="s">
        <v>401</v>
      </c>
      <c r="AB191" s="139" t="s">
        <v>402</v>
      </c>
    </row>
    <row r="192" spans="1:29" ht="21.75" customHeight="1" x14ac:dyDescent="0.2">
      <c r="A192" s="7" t="s">
        <v>387</v>
      </c>
      <c r="B192" s="7" t="s">
        <v>388</v>
      </c>
      <c r="C192" s="7" t="s">
        <v>90</v>
      </c>
      <c r="E192" s="7" t="s">
        <v>280</v>
      </c>
      <c r="F192" s="7" t="s">
        <v>214</v>
      </c>
      <c r="G192" s="7" t="s">
        <v>394</v>
      </c>
      <c r="H192" s="1" t="s">
        <v>395</v>
      </c>
      <c r="I192" s="2">
        <v>0.60960000000000003</v>
      </c>
      <c r="J192" s="2" t="s">
        <v>4367</v>
      </c>
      <c r="K192" s="2" t="s">
        <v>4480</v>
      </c>
      <c r="O192" s="45" t="s">
        <v>400</v>
      </c>
      <c r="R192" s="7" t="s">
        <v>399</v>
      </c>
      <c r="X192" s="5">
        <v>47.168399999999998</v>
      </c>
      <c r="Y192" s="5">
        <v>-95.164900000000003</v>
      </c>
      <c r="Z192" s="6">
        <v>486</v>
      </c>
      <c r="AA192" s="136"/>
      <c r="AB192" s="139"/>
    </row>
    <row r="193" spans="1:28" ht="21.75" customHeight="1" x14ac:dyDescent="0.2">
      <c r="A193" s="7" t="s">
        <v>387</v>
      </c>
      <c r="B193" s="7" t="s">
        <v>388</v>
      </c>
      <c r="C193" s="7" t="s">
        <v>90</v>
      </c>
      <c r="E193" s="7" t="s">
        <v>33</v>
      </c>
      <c r="F193" s="7" t="s">
        <v>212</v>
      </c>
      <c r="G193" s="7" t="s">
        <v>391</v>
      </c>
      <c r="H193" s="1" t="s">
        <v>392</v>
      </c>
      <c r="I193" s="2">
        <v>1.6764000000000001</v>
      </c>
      <c r="J193" s="2" t="s">
        <v>4367</v>
      </c>
      <c r="K193" s="2" t="s">
        <v>5713</v>
      </c>
      <c r="O193" s="45" t="s">
        <v>400</v>
      </c>
      <c r="R193" s="7" t="s">
        <v>399</v>
      </c>
      <c r="X193" s="5">
        <v>47.168399999999998</v>
      </c>
      <c r="Y193" s="5">
        <v>-95.164900000000003</v>
      </c>
      <c r="Z193" s="6">
        <v>486</v>
      </c>
      <c r="AA193" s="136"/>
      <c r="AB193" s="139" t="s">
        <v>928</v>
      </c>
    </row>
    <row r="194" spans="1:28" ht="21.75" customHeight="1" x14ac:dyDescent="0.2">
      <c r="A194" s="7" t="s">
        <v>387</v>
      </c>
      <c r="B194" s="7" t="s">
        <v>388</v>
      </c>
      <c r="C194" s="7" t="s">
        <v>90</v>
      </c>
      <c r="E194" s="7" t="s">
        <v>398</v>
      </c>
      <c r="F194" s="7" t="s">
        <v>397</v>
      </c>
      <c r="G194" s="7" t="s">
        <v>393</v>
      </c>
      <c r="H194" s="1" t="s">
        <v>396</v>
      </c>
      <c r="I194" s="2">
        <v>0.15240000000000001</v>
      </c>
      <c r="J194" s="2" t="s">
        <v>4367</v>
      </c>
      <c r="K194" s="2" t="s">
        <v>4480</v>
      </c>
      <c r="O194" s="45" t="s">
        <v>400</v>
      </c>
      <c r="R194" s="7" t="s">
        <v>399</v>
      </c>
      <c r="X194" s="5">
        <v>47.168399999999998</v>
      </c>
      <c r="Y194" s="5">
        <v>-95.164900000000003</v>
      </c>
      <c r="Z194" s="6">
        <v>486</v>
      </c>
      <c r="AA194" s="135"/>
      <c r="AB194" s="139"/>
    </row>
    <row r="195" spans="1:28" s="8" customFormat="1" ht="21.75" customHeight="1" x14ac:dyDescent="0.2">
      <c r="A195" s="8" t="s">
        <v>1047</v>
      </c>
      <c r="B195" s="8" t="s">
        <v>1037</v>
      </c>
      <c r="C195" s="8" t="s">
        <v>94</v>
      </c>
      <c r="D195" s="8" t="s">
        <v>1045</v>
      </c>
      <c r="E195" s="8" t="s">
        <v>263</v>
      </c>
      <c r="F195" s="8" t="s">
        <v>212</v>
      </c>
      <c r="G195" s="8" t="s">
        <v>1044</v>
      </c>
      <c r="H195" s="3" t="s">
        <v>1043</v>
      </c>
      <c r="I195" s="8">
        <v>15.8</v>
      </c>
      <c r="J195" s="8" t="s">
        <v>5720</v>
      </c>
      <c r="K195" s="8" t="s">
        <v>4410</v>
      </c>
      <c r="L195" s="14">
        <v>1367</v>
      </c>
      <c r="M195" s="14" t="s">
        <v>7223</v>
      </c>
      <c r="N195" s="14"/>
      <c r="O195" s="110" t="s">
        <v>1049</v>
      </c>
      <c r="P195" s="4"/>
      <c r="Q195" s="8">
        <v>17.5</v>
      </c>
      <c r="R195" s="8" t="s">
        <v>1040</v>
      </c>
      <c r="U195" s="8" t="s">
        <v>7316</v>
      </c>
      <c r="W195" s="8" t="s">
        <v>1048</v>
      </c>
      <c r="X195" s="13">
        <v>-23.022500000000001</v>
      </c>
      <c r="Y195" s="13">
        <v>-48.599499999999999</v>
      </c>
      <c r="Z195" s="14">
        <v>869</v>
      </c>
      <c r="AA195" s="8" t="s">
        <v>1051</v>
      </c>
      <c r="AB195" s="8" t="s">
        <v>1052</v>
      </c>
    </row>
    <row r="196" spans="1:28" s="8" customFormat="1" ht="21.75" customHeight="1" x14ac:dyDescent="0.2">
      <c r="A196" s="8" t="s">
        <v>1047</v>
      </c>
      <c r="B196" s="8" t="s">
        <v>1037</v>
      </c>
      <c r="C196" s="8" t="s">
        <v>94</v>
      </c>
      <c r="D196" s="8" t="s">
        <v>1045</v>
      </c>
      <c r="E196" s="8" t="s">
        <v>263</v>
      </c>
      <c r="F196" s="8" t="s">
        <v>212</v>
      </c>
      <c r="G196" s="8" t="s">
        <v>1044</v>
      </c>
      <c r="H196" s="3" t="s">
        <v>1043</v>
      </c>
      <c r="I196" s="8">
        <v>14</v>
      </c>
      <c r="J196" s="8" t="s">
        <v>5720</v>
      </c>
      <c r="K196" s="8" t="s">
        <v>4410</v>
      </c>
      <c r="L196" s="14">
        <v>1367</v>
      </c>
      <c r="M196" s="14" t="s">
        <v>7223</v>
      </c>
      <c r="N196" s="14"/>
      <c r="O196" s="110" t="s">
        <v>1049</v>
      </c>
      <c r="P196" s="4"/>
      <c r="Q196" s="8">
        <v>16</v>
      </c>
      <c r="R196" s="8" t="s">
        <v>1040</v>
      </c>
      <c r="U196" s="8" t="s">
        <v>7316</v>
      </c>
      <c r="W196" s="8" t="s">
        <v>1039</v>
      </c>
      <c r="X196" s="13">
        <v>-23.0243</v>
      </c>
      <c r="Y196" s="13">
        <v>-48.5989</v>
      </c>
      <c r="Z196" s="14">
        <v>861</v>
      </c>
      <c r="AA196" s="8" t="s">
        <v>1050</v>
      </c>
      <c r="AB196" s="8" t="s">
        <v>1052</v>
      </c>
    </row>
    <row r="197" spans="1:28" ht="21.75" customHeight="1" x14ac:dyDescent="0.2">
      <c r="A197" s="7" t="s">
        <v>7224</v>
      </c>
      <c r="B197" s="7" t="s">
        <v>7315</v>
      </c>
      <c r="C197" s="7" t="s">
        <v>94</v>
      </c>
      <c r="E197" s="7" t="s">
        <v>263</v>
      </c>
      <c r="F197" s="7" t="s">
        <v>212</v>
      </c>
      <c r="G197" s="7" t="s">
        <v>1044</v>
      </c>
      <c r="H197" s="1" t="s">
        <v>1043</v>
      </c>
      <c r="I197" s="7">
        <v>16</v>
      </c>
      <c r="K197" s="7" t="s">
        <v>4410</v>
      </c>
      <c r="L197" s="6">
        <v>1430</v>
      </c>
      <c r="M197" s="6" t="s">
        <v>7225</v>
      </c>
      <c r="O197" s="45" t="s">
        <v>7300</v>
      </c>
      <c r="Q197" s="7">
        <v>16</v>
      </c>
      <c r="R197" s="7" t="s">
        <v>7226</v>
      </c>
      <c r="U197" s="7" t="s">
        <v>7316</v>
      </c>
      <c r="X197" s="5">
        <f>-(22+58/60+4/3600)</f>
        <v>-22.967777777777776</v>
      </c>
      <c r="Y197" s="5">
        <f>-(48+43/60+40/3600)</f>
        <v>-48.727777777777781</v>
      </c>
      <c r="Z197" s="6">
        <v>750</v>
      </c>
      <c r="AA197" s="73"/>
      <c r="AB197" s="7" t="s">
        <v>7317</v>
      </c>
    </row>
    <row r="198" spans="1:28" s="8" customFormat="1" ht="21.75" customHeight="1" x14ac:dyDescent="0.2">
      <c r="A198" s="8" t="s">
        <v>6928</v>
      </c>
      <c r="B198" s="8" t="s">
        <v>6929</v>
      </c>
      <c r="C198" s="8" t="s">
        <v>1720</v>
      </c>
      <c r="D198" s="8" t="s">
        <v>6936</v>
      </c>
      <c r="E198" s="8" t="s">
        <v>280</v>
      </c>
      <c r="F198" s="8" t="s">
        <v>212</v>
      </c>
      <c r="G198" s="8" t="s">
        <v>6930</v>
      </c>
      <c r="H198" s="3" t="s">
        <v>6933</v>
      </c>
      <c r="I198" s="8">
        <v>0.5</v>
      </c>
      <c r="J198" s="8" t="s">
        <v>6942</v>
      </c>
      <c r="K198" s="8" t="s">
        <v>4410</v>
      </c>
      <c r="L198" s="14">
        <v>750</v>
      </c>
      <c r="M198" s="14"/>
      <c r="N198" s="14"/>
      <c r="O198" s="110" t="s">
        <v>6943</v>
      </c>
      <c r="P198" s="4"/>
      <c r="R198" s="8" t="s">
        <v>6950</v>
      </c>
      <c r="W198" s="8" t="s">
        <v>6931</v>
      </c>
      <c r="X198" s="13">
        <f>51+20/60</f>
        <v>51.333333333333336</v>
      </c>
      <c r="Y198" s="13">
        <v>10.372299999999999</v>
      </c>
      <c r="Z198" s="14">
        <v>468</v>
      </c>
      <c r="AA198" s="19" t="s">
        <v>6946</v>
      </c>
      <c r="AB198" s="8" t="s">
        <v>6949</v>
      </c>
    </row>
    <row r="199" spans="1:28" s="8" customFormat="1" ht="21.75" customHeight="1" x14ac:dyDescent="0.2">
      <c r="A199" s="8" t="s">
        <v>6928</v>
      </c>
      <c r="B199" s="8" t="s">
        <v>6932</v>
      </c>
      <c r="C199" s="8" t="s">
        <v>1720</v>
      </c>
      <c r="D199" s="8" t="s">
        <v>6937</v>
      </c>
      <c r="E199" s="8" t="s">
        <v>33</v>
      </c>
      <c r="F199" s="8" t="s">
        <v>212</v>
      </c>
      <c r="G199" s="8" t="s">
        <v>4295</v>
      </c>
      <c r="H199" s="3" t="s">
        <v>6938</v>
      </c>
      <c r="I199" s="8">
        <v>0.6</v>
      </c>
      <c r="J199" s="8" t="s">
        <v>6942</v>
      </c>
      <c r="K199" s="8" t="s">
        <v>4410</v>
      </c>
      <c r="L199" s="14">
        <v>820</v>
      </c>
      <c r="M199" s="14"/>
      <c r="N199" s="14"/>
      <c r="O199" s="110" t="s">
        <v>6943</v>
      </c>
      <c r="P199" s="4"/>
      <c r="R199" s="8" t="s">
        <v>6951</v>
      </c>
      <c r="W199" s="8" t="s">
        <v>6934</v>
      </c>
      <c r="X199" s="13">
        <v>50.927100000000003</v>
      </c>
      <c r="Y199" s="13">
        <v>13.489699999999999</v>
      </c>
      <c r="Z199" s="14">
        <v>486</v>
      </c>
      <c r="AA199" s="19" t="s">
        <v>6948</v>
      </c>
      <c r="AB199" s="8" t="s">
        <v>6949</v>
      </c>
    </row>
    <row r="200" spans="1:28" s="8" customFormat="1" ht="21.75" customHeight="1" x14ac:dyDescent="0.2">
      <c r="A200" s="8" t="s">
        <v>6928</v>
      </c>
      <c r="B200" s="8" t="s">
        <v>6935</v>
      </c>
      <c r="C200" s="8" t="s">
        <v>1720</v>
      </c>
      <c r="D200" s="8" t="s">
        <v>6936</v>
      </c>
      <c r="E200" s="8" t="s">
        <v>280</v>
      </c>
      <c r="F200" s="8" t="s">
        <v>212</v>
      </c>
      <c r="G200" s="8" t="s">
        <v>6940</v>
      </c>
      <c r="H200" s="3" t="s">
        <v>6939</v>
      </c>
      <c r="I200" s="8">
        <v>0.7</v>
      </c>
      <c r="J200" s="8" t="s">
        <v>6942</v>
      </c>
      <c r="K200" s="8" t="s">
        <v>4410</v>
      </c>
      <c r="L200" s="14">
        <v>936</v>
      </c>
      <c r="M200" s="14"/>
      <c r="N200" s="14"/>
      <c r="O200" s="110" t="s">
        <v>6944</v>
      </c>
      <c r="P200" s="4"/>
      <c r="R200" s="8" t="s">
        <v>6945</v>
      </c>
      <c r="W200" s="8" t="s">
        <v>6941</v>
      </c>
      <c r="X200" s="13">
        <v>42.402700000000003</v>
      </c>
      <c r="Y200" s="13">
        <v>11.924899999999999</v>
      </c>
      <c r="Z200" s="14">
        <v>175</v>
      </c>
      <c r="AA200" s="19" t="s">
        <v>6947</v>
      </c>
      <c r="AB200" s="8" t="s">
        <v>6949</v>
      </c>
    </row>
    <row r="201" spans="1:28" s="77" customFormat="1" ht="21.75" customHeight="1" x14ac:dyDescent="0.2">
      <c r="A201" s="77" t="s">
        <v>7802</v>
      </c>
      <c r="B201" s="77" t="s">
        <v>7808</v>
      </c>
      <c r="C201" s="77" t="s">
        <v>7777</v>
      </c>
      <c r="D201" s="77" t="s">
        <v>7803</v>
      </c>
      <c r="E201" s="77" t="s">
        <v>33</v>
      </c>
      <c r="F201" s="77" t="s">
        <v>214</v>
      </c>
      <c r="G201" s="77" t="s">
        <v>7805</v>
      </c>
      <c r="H201" s="78" t="s">
        <v>7806</v>
      </c>
      <c r="I201" s="77" t="s">
        <v>7276</v>
      </c>
      <c r="J201" s="77" t="s">
        <v>7807</v>
      </c>
      <c r="K201" s="77" t="s">
        <v>4410</v>
      </c>
      <c r="L201" s="79">
        <v>220</v>
      </c>
      <c r="M201" s="79"/>
      <c r="N201" s="79"/>
      <c r="O201" s="111" t="s">
        <v>7812</v>
      </c>
      <c r="P201" s="80"/>
      <c r="R201" s="77" t="s">
        <v>7811</v>
      </c>
      <c r="X201" s="81">
        <v>46.580399999999997</v>
      </c>
      <c r="Y201" s="81">
        <v>-119.82989999999999</v>
      </c>
      <c r="Z201" s="79">
        <v>396</v>
      </c>
      <c r="AA201" s="88" t="s">
        <v>7816</v>
      </c>
      <c r="AB201" s="77" t="s">
        <v>7817</v>
      </c>
    </row>
    <row r="202" spans="1:28" s="77" customFormat="1" ht="21.75" customHeight="1" x14ac:dyDescent="0.2">
      <c r="A202" s="77" t="s">
        <v>7802</v>
      </c>
      <c r="B202" s="77" t="s">
        <v>7808</v>
      </c>
      <c r="C202" s="77" t="s">
        <v>7777</v>
      </c>
      <c r="D202" s="77" t="s">
        <v>7803</v>
      </c>
      <c r="E202" s="77" t="s">
        <v>275</v>
      </c>
      <c r="F202" s="77" t="s">
        <v>62</v>
      </c>
      <c r="G202" s="77" t="s">
        <v>7810</v>
      </c>
      <c r="H202" s="78" t="s">
        <v>7809</v>
      </c>
      <c r="I202" s="77">
        <v>0.8</v>
      </c>
      <c r="J202" s="77" t="s">
        <v>7807</v>
      </c>
      <c r="K202" s="77" t="s">
        <v>4410</v>
      </c>
      <c r="L202" s="79">
        <v>192</v>
      </c>
      <c r="M202" s="79"/>
      <c r="N202" s="79"/>
      <c r="O202" s="111" t="s">
        <v>7812</v>
      </c>
      <c r="P202" s="80"/>
      <c r="R202" s="77" t="s">
        <v>7811</v>
      </c>
      <c r="W202" s="77" t="s">
        <v>7813</v>
      </c>
      <c r="X202" s="81">
        <v>46.578200000000002</v>
      </c>
      <c r="Y202" s="81">
        <v>-119.7908</v>
      </c>
      <c r="Z202" s="79">
        <v>305</v>
      </c>
      <c r="AA202" s="88" t="s">
        <v>7815</v>
      </c>
      <c r="AB202" s="77" t="s">
        <v>7814</v>
      </c>
    </row>
    <row r="203" spans="1:28" s="8" customFormat="1" ht="21.75" customHeight="1" x14ac:dyDescent="0.2">
      <c r="A203" s="8" t="s">
        <v>4483</v>
      </c>
      <c r="B203" s="8" t="s">
        <v>4507</v>
      </c>
      <c r="C203" s="8" t="s">
        <v>4494</v>
      </c>
      <c r="D203" s="8" t="s">
        <v>4499</v>
      </c>
      <c r="E203" s="8" t="s">
        <v>33</v>
      </c>
      <c r="F203" s="8" t="s">
        <v>212</v>
      </c>
      <c r="G203" s="8" t="s">
        <v>1870</v>
      </c>
      <c r="H203" s="3" t="s">
        <v>4484</v>
      </c>
      <c r="I203" s="4">
        <v>0.91</v>
      </c>
      <c r="J203" s="4" t="s">
        <v>4367</v>
      </c>
      <c r="K203" s="4" t="s">
        <v>4410</v>
      </c>
      <c r="L203" s="14"/>
      <c r="M203" s="14"/>
      <c r="N203" s="14"/>
      <c r="O203" s="110"/>
      <c r="P203" s="4"/>
      <c r="R203" s="8" t="s">
        <v>4495</v>
      </c>
      <c r="W203" s="8" t="s">
        <v>4500</v>
      </c>
      <c r="X203" s="13">
        <v>36.0291</v>
      </c>
      <c r="Y203" s="13">
        <v>-78.991200000000006</v>
      </c>
      <c r="Z203" s="14">
        <v>149</v>
      </c>
      <c r="AA203" s="19" t="s">
        <v>4505</v>
      </c>
      <c r="AB203" s="8" t="s">
        <v>4493</v>
      </c>
    </row>
    <row r="204" spans="1:28" s="8" customFormat="1" ht="21.75" customHeight="1" x14ac:dyDescent="0.2">
      <c r="A204" s="8" t="s">
        <v>4483</v>
      </c>
      <c r="B204" s="8" t="s">
        <v>4507</v>
      </c>
      <c r="C204" s="8" t="s">
        <v>4494</v>
      </c>
      <c r="D204" s="8" t="s">
        <v>4499</v>
      </c>
      <c r="E204" s="8" t="s">
        <v>33</v>
      </c>
      <c r="F204" s="8" t="s">
        <v>212</v>
      </c>
      <c r="G204" s="8" t="s">
        <v>4485</v>
      </c>
      <c r="H204" s="3" t="s">
        <v>5737</v>
      </c>
      <c r="I204" s="4">
        <v>1.02</v>
      </c>
      <c r="J204" s="4" t="s">
        <v>4367</v>
      </c>
      <c r="K204" s="4" t="s">
        <v>4410</v>
      </c>
      <c r="L204" s="14"/>
      <c r="M204" s="14"/>
      <c r="N204" s="14"/>
      <c r="O204" s="110"/>
      <c r="P204" s="4"/>
      <c r="R204" s="8" t="s">
        <v>4496</v>
      </c>
      <c r="W204" s="8" t="s">
        <v>4500</v>
      </c>
      <c r="X204" s="13">
        <v>36.025100000000002</v>
      </c>
      <c r="Y204" s="13">
        <v>-78.978999999999999</v>
      </c>
      <c r="Z204" s="14">
        <v>152</v>
      </c>
      <c r="AA204" s="19" t="s">
        <v>4504</v>
      </c>
      <c r="AB204" s="8" t="s">
        <v>4493</v>
      </c>
    </row>
    <row r="205" spans="1:28" s="8" customFormat="1" ht="21.75" customHeight="1" x14ac:dyDescent="0.2">
      <c r="A205" s="8" t="s">
        <v>4483</v>
      </c>
      <c r="B205" s="8" t="s">
        <v>4507</v>
      </c>
      <c r="C205" s="8" t="s">
        <v>4494</v>
      </c>
      <c r="D205" s="8" t="s">
        <v>4499</v>
      </c>
      <c r="E205" s="8" t="s">
        <v>280</v>
      </c>
      <c r="F205" s="8" t="s">
        <v>212</v>
      </c>
      <c r="G205" s="8" t="s">
        <v>4486</v>
      </c>
      <c r="H205" s="3" t="s">
        <v>4487</v>
      </c>
      <c r="I205" s="4">
        <v>0.91</v>
      </c>
      <c r="J205" s="4" t="s">
        <v>4367</v>
      </c>
      <c r="K205" s="4" t="s">
        <v>4410</v>
      </c>
      <c r="L205" s="14"/>
      <c r="M205" s="14"/>
      <c r="N205" s="14"/>
      <c r="O205" s="110"/>
      <c r="P205" s="4"/>
      <c r="R205" s="8" t="s">
        <v>4497</v>
      </c>
      <c r="W205" s="8" t="s">
        <v>4500</v>
      </c>
      <c r="X205" s="13">
        <v>36.021599999999999</v>
      </c>
      <c r="Y205" s="13">
        <v>-78.980500000000006</v>
      </c>
      <c r="Z205" s="14">
        <v>161</v>
      </c>
      <c r="AA205" s="19" t="s">
        <v>4503</v>
      </c>
      <c r="AB205" s="8" t="s">
        <v>4493</v>
      </c>
    </row>
    <row r="206" spans="1:28" s="8" customFormat="1" ht="21.75" customHeight="1" x14ac:dyDescent="0.2">
      <c r="A206" s="8" t="s">
        <v>4483</v>
      </c>
      <c r="B206" s="8" t="s">
        <v>4507</v>
      </c>
      <c r="C206" s="8" t="s">
        <v>4494</v>
      </c>
      <c r="D206" s="8" t="s">
        <v>4499</v>
      </c>
      <c r="E206" s="8" t="s">
        <v>280</v>
      </c>
      <c r="F206" s="8" t="s">
        <v>212</v>
      </c>
      <c r="G206" s="8" t="s">
        <v>4488</v>
      </c>
      <c r="H206" s="3" t="s">
        <v>4489</v>
      </c>
      <c r="I206" s="4">
        <v>1.42</v>
      </c>
      <c r="J206" s="4" t="s">
        <v>4367</v>
      </c>
      <c r="K206" s="4" t="s">
        <v>4410</v>
      </c>
      <c r="L206" s="14"/>
      <c r="M206" s="14"/>
      <c r="N206" s="14"/>
      <c r="O206" s="110"/>
      <c r="P206" s="4"/>
      <c r="R206" s="8" t="s">
        <v>3230</v>
      </c>
      <c r="W206" s="8" t="s">
        <v>4500</v>
      </c>
      <c r="X206" s="13">
        <v>36.023899999999998</v>
      </c>
      <c r="Y206" s="13">
        <v>-78.997399999999999</v>
      </c>
      <c r="Z206" s="14">
        <v>165</v>
      </c>
      <c r="AA206" s="19" t="s">
        <v>4502</v>
      </c>
      <c r="AB206" s="8" t="s">
        <v>4493</v>
      </c>
    </row>
    <row r="207" spans="1:28" s="8" customFormat="1" ht="21.75" customHeight="1" x14ac:dyDescent="0.2">
      <c r="A207" s="8" t="s">
        <v>4483</v>
      </c>
      <c r="B207" s="8" t="s">
        <v>4507</v>
      </c>
      <c r="C207" s="8" t="s">
        <v>4494</v>
      </c>
      <c r="D207" s="8" t="s">
        <v>4499</v>
      </c>
      <c r="E207" s="8" t="s">
        <v>280</v>
      </c>
      <c r="F207" s="8" t="s">
        <v>212</v>
      </c>
      <c r="G207" s="8" t="s">
        <v>4490</v>
      </c>
      <c r="H207" s="3" t="s">
        <v>4491</v>
      </c>
      <c r="I207" s="8">
        <v>2.44</v>
      </c>
      <c r="J207" s="4" t="s">
        <v>4367</v>
      </c>
      <c r="K207" s="4" t="s">
        <v>4410</v>
      </c>
      <c r="L207" s="14"/>
      <c r="M207" s="14"/>
      <c r="N207" s="14"/>
      <c r="O207" s="110"/>
      <c r="P207" s="4"/>
      <c r="R207" s="8" t="s">
        <v>4498</v>
      </c>
      <c r="W207" s="8" t="s">
        <v>4500</v>
      </c>
      <c r="X207" s="13">
        <v>36.018000000000001</v>
      </c>
      <c r="Y207" s="13">
        <v>-78.988200000000006</v>
      </c>
      <c r="Z207" s="14">
        <v>181</v>
      </c>
      <c r="AA207" s="8" t="s">
        <v>4501</v>
      </c>
      <c r="AB207" s="8" t="s">
        <v>4506</v>
      </c>
    </row>
    <row r="208" spans="1:28" ht="21.75" customHeight="1" x14ac:dyDescent="0.2">
      <c r="A208" s="7" t="s">
        <v>7155</v>
      </c>
      <c r="B208" s="7" t="s">
        <v>7161</v>
      </c>
      <c r="C208" s="7" t="s">
        <v>143</v>
      </c>
      <c r="D208" s="7" t="s">
        <v>7158</v>
      </c>
      <c r="E208" s="7" t="s">
        <v>398</v>
      </c>
      <c r="F208" s="7" t="s">
        <v>62</v>
      </c>
      <c r="G208" s="7" t="s">
        <v>7162</v>
      </c>
      <c r="H208" s="1" t="s">
        <v>7157</v>
      </c>
      <c r="I208" s="18" t="s">
        <v>7156</v>
      </c>
      <c r="J208" s="2" t="s">
        <v>7163</v>
      </c>
      <c r="K208" s="2" t="s">
        <v>4480</v>
      </c>
      <c r="L208" s="6">
        <v>1092</v>
      </c>
      <c r="O208" s="45" t="s">
        <v>7164</v>
      </c>
      <c r="R208" s="7" t="s">
        <v>7165</v>
      </c>
      <c r="X208" s="5">
        <f>44+49/60+10/3600</f>
        <v>44.81944444444445</v>
      </c>
      <c r="Y208" s="5">
        <f>7+19/60+7/3600</f>
        <v>7.3186111111111112</v>
      </c>
      <c r="Z208" s="6">
        <v>357</v>
      </c>
      <c r="AA208" s="44" t="s">
        <v>7168</v>
      </c>
      <c r="AB208" s="44"/>
    </row>
    <row r="209" spans="1:28" ht="21.75" customHeight="1" x14ac:dyDescent="0.2">
      <c r="A209" s="7" t="s">
        <v>7155</v>
      </c>
      <c r="B209" s="7" t="s">
        <v>7161</v>
      </c>
      <c r="C209" s="7" t="s">
        <v>143</v>
      </c>
      <c r="D209" s="7" t="s">
        <v>7159</v>
      </c>
      <c r="E209" s="7" t="s">
        <v>398</v>
      </c>
      <c r="F209" s="7" t="s">
        <v>62</v>
      </c>
      <c r="G209" s="7" t="s">
        <v>7162</v>
      </c>
      <c r="H209" s="1" t="s">
        <v>7157</v>
      </c>
      <c r="I209" s="18" t="s">
        <v>7156</v>
      </c>
      <c r="J209" s="2" t="s">
        <v>7163</v>
      </c>
      <c r="K209" s="2" t="s">
        <v>4480</v>
      </c>
      <c r="L209" s="6">
        <v>1092</v>
      </c>
      <c r="O209" s="45" t="s">
        <v>7164</v>
      </c>
      <c r="R209" s="7" t="s">
        <v>7166</v>
      </c>
      <c r="X209" s="5">
        <f>44+49/60+35/3600</f>
        <v>44.826388888888893</v>
      </c>
      <c r="Y209" s="5">
        <f>7+18/60+10/3600</f>
        <v>7.302777777777778</v>
      </c>
      <c r="Z209" s="6">
        <v>402</v>
      </c>
      <c r="AA209" s="44" t="s">
        <v>7168</v>
      </c>
      <c r="AB209" s="44"/>
    </row>
    <row r="210" spans="1:28" ht="21.75" customHeight="1" x14ac:dyDescent="0.2">
      <c r="A210" s="7" t="s">
        <v>7155</v>
      </c>
      <c r="B210" s="7" t="s">
        <v>7161</v>
      </c>
      <c r="C210" s="7" t="s">
        <v>143</v>
      </c>
      <c r="D210" s="7" t="s">
        <v>7160</v>
      </c>
      <c r="E210" s="7" t="s">
        <v>398</v>
      </c>
      <c r="F210" s="7" t="s">
        <v>62</v>
      </c>
      <c r="G210" s="7" t="s">
        <v>7162</v>
      </c>
      <c r="H210" s="1" t="s">
        <v>7157</v>
      </c>
      <c r="I210" s="18" t="s">
        <v>7156</v>
      </c>
      <c r="J210" s="2" t="s">
        <v>7163</v>
      </c>
      <c r="K210" s="2" t="s">
        <v>4480</v>
      </c>
      <c r="L210" s="6">
        <v>1092</v>
      </c>
      <c r="O210" s="45" t="s">
        <v>7164</v>
      </c>
      <c r="R210" s="7" t="s">
        <v>7167</v>
      </c>
      <c r="X210" s="5">
        <f>44+47/60+50/3600</f>
        <v>44.797222222222217</v>
      </c>
      <c r="Y210" s="5">
        <f>7+16/60+41/3600</f>
        <v>7.2780555555555555</v>
      </c>
      <c r="Z210" s="6">
        <v>437</v>
      </c>
      <c r="AA210" s="44" t="s">
        <v>7168</v>
      </c>
      <c r="AB210" s="44"/>
    </row>
    <row r="211" spans="1:28" s="8" customFormat="1" ht="21.75" customHeight="1" x14ac:dyDescent="0.2">
      <c r="A211" s="8" t="s">
        <v>6268</v>
      </c>
      <c r="B211" s="8" t="s">
        <v>6270</v>
      </c>
      <c r="C211" s="8" t="s">
        <v>116</v>
      </c>
      <c r="E211" s="8" t="s">
        <v>280</v>
      </c>
      <c r="F211" s="8" t="s">
        <v>212</v>
      </c>
      <c r="H211" s="3" t="s">
        <v>435</v>
      </c>
      <c r="I211" s="8">
        <v>3.5</v>
      </c>
      <c r="J211" s="4" t="s">
        <v>4367</v>
      </c>
      <c r="K211" s="4" t="s">
        <v>4410</v>
      </c>
      <c r="L211" s="14">
        <v>200</v>
      </c>
      <c r="M211" s="14"/>
      <c r="N211" s="14"/>
      <c r="O211" s="110" t="s">
        <v>6272</v>
      </c>
      <c r="P211" s="4"/>
      <c r="R211" s="8" t="s">
        <v>6271</v>
      </c>
      <c r="X211" s="13">
        <v>2.1916000000000002</v>
      </c>
      <c r="Y211" s="13">
        <v>36.143000000000001</v>
      </c>
      <c r="Z211" s="14">
        <v>530</v>
      </c>
      <c r="AA211" s="22" t="s">
        <v>6273</v>
      </c>
      <c r="AB211" s="132" t="s">
        <v>6275</v>
      </c>
    </row>
    <row r="212" spans="1:28" s="8" customFormat="1" ht="21.75" customHeight="1" x14ac:dyDescent="0.2">
      <c r="A212" s="8" t="s">
        <v>6268</v>
      </c>
      <c r="B212" s="8" t="s">
        <v>6270</v>
      </c>
      <c r="C212" s="8" t="s">
        <v>116</v>
      </c>
      <c r="E212" s="8" t="s">
        <v>280</v>
      </c>
      <c r="F212" s="8" t="s">
        <v>212</v>
      </c>
      <c r="H212" s="3" t="s">
        <v>6269</v>
      </c>
      <c r="I212" s="8">
        <v>2.4</v>
      </c>
      <c r="J212" s="4" t="s">
        <v>4367</v>
      </c>
      <c r="K212" s="4" t="s">
        <v>4410</v>
      </c>
      <c r="L212" s="14">
        <v>300</v>
      </c>
      <c r="M212" s="14"/>
      <c r="N212" s="14"/>
      <c r="O212" s="110" t="s">
        <v>1272</v>
      </c>
      <c r="P212" s="4"/>
      <c r="R212" s="8" t="s">
        <v>6271</v>
      </c>
      <c r="X212" s="13">
        <v>2.2763</v>
      </c>
      <c r="Y212" s="13">
        <v>36.2652</v>
      </c>
      <c r="Z212" s="14">
        <v>636</v>
      </c>
      <c r="AA212" s="22" t="s">
        <v>6274</v>
      </c>
      <c r="AB212" s="133"/>
    </row>
    <row r="213" spans="1:28" s="47" customFormat="1" ht="21.75" customHeight="1" x14ac:dyDescent="0.2">
      <c r="A213" s="47" t="s">
        <v>6145</v>
      </c>
      <c r="B213" s="47" t="s">
        <v>6146</v>
      </c>
      <c r="C213" s="47" t="s">
        <v>6166</v>
      </c>
      <c r="D213" s="47" t="s">
        <v>6149</v>
      </c>
      <c r="E213" s="47" t="s">
        <v>398</v>
      </c>
      <c r="F213" s="47" t="s">
        <v>884</v>
      </c>
      <c r="G213" s="47" t="s">
        <v>6164</v>
      </c>
      <c r="H213" s="48" t="s">
        <v>1563</v>
      </c>
      <c r="I213" s="47">
        <v>1.1000000000000001</v>
      </c>
      <c r="J213" s="51" t="s">
        <v>4404</v>
      </c>
      <c r="K213" s="51" t="s">
        <v>5713</v>
      </c>
      <c r="L213" s="49" t="s">
        <v>6147</v>
      </c>
      <c r="M213" s="49"/>
      <c r="N213" s="49" t="s">
        <v>6148</v>
      </c>
      <c r="O213" s="113" t="s">
        <v>6152</v>
      </c>
      <c r="P213" s="51"/>
      <c r="R213" s="47" t="s">
        <v>3489</v>
      </c>
      <c r="X213" s="50">
        <v>50.409799999999997</v>
      </c>
      <c r="Y213" s="50">
        <v>-107.7897</v>
      </c>
      <c r="Z213" s="49">
        <v>762</v>
      </c>
      <c r="AA213" s="155" t="s">
        <v>6167</v>
      </c>
      <c r="AB213" s="155" t="s">
        <v>6242</v>
      </c>
    </row>
    <row r="214" spans="1:28" s="47" customFormat="1" ht="21.75" customHeight="1" x14ac:dyDescent="0.2">
      <c r="A214" s="47" t="s">
        <v>6145</v>
      </c>
      <c r="B214" s="47" t="s">
        <v>6146</v>
      </c>
      <c r="C214" s="47" t="s">
        <v>6166</v>
      </c>
      <c r="D214" s="47" t="s">
        <v>6149</v>
      </c>
      <c r="E214" s="47" t="s">
        <v>398</v>
      </c>
      <c r="F214" s="47" t="s">
        <v>884</v>
      </c>
      <c r="G214" s="47" t="s">
        <v>6164</v>
      </c>
      <c r="H214" s="48" t="s">
        <v>1563</v>
      </c>
      <c r="I214" s="47">
        <v>0.99</v>
      </c>
      <c r="J214" s="51" t="s">
        <v>4404</v>
      </c>
      <c r="K214" s="51" t="s">
        <v>5713</v>
      </c>
      <c r="L214" s="49" t="s">
        <v>6147</v>
      </c>
      <c r="M214" s="49"/>
      <c r="N214" s="49" t="s">
        <v>6148</v>
      </c>
      <c r="O214" s="113" t="s">
        <v>6153</v>
      </c>
      <c r="P214" s="51"/>
      <c r="R214" s="47" t="s">
        <v>3489</v>
      </c>
      <c r="X214" s="50">
        <v>49.565399999999997</v>
      </c>
      <c r="Y214" s="50">
        <v>-109.49509999999999</v>
      </c>
      <c r="Z214" s="49">
        <v>1130</v>
      </c>
      <c r="AA214" s="156"/>
      <c r="AB214" s="156"/>
    </row>
    <row r="215" spans="1:28" s="47" customFormat="1" ht="21.75" customHeight="1" x14ac:dyDescent="0.2">
      <c r="A215" s="47" t="s">
        <v>6145</v>
      </c>
      <c r="B215" s="47" t="s">
        <v>6146</v>
      </c>
      <c r="C215" s="47" t="s">
        <v>6166</v>
      </c>
      <c r="D215" s="47" t="s">
        <v>6150</v>
      </c>
      <c r="E215" s="47" t="s">
        <v>398</v>
      </c>
      <c r="F215" s="47" t="s">
        <v>884</v>
      </c>
      <c r="G215" s="47" t="s">
        <v>6164</v>
      </c>
      <c r="H215" s="48" t="s">
        <v>1563</v>
      </c>
      <c r="I215" s="47">
        <v>0.63</v>
      </c>
      <c r="J215" s="51" t="s">
        <v>4404</v>
      </c>
      <c r="K215" s="51" t="s">
        <v>5713</v>
      </c>
      <c r="L215" s="49" t="s">
        <v>6147</v>
      </c>
      <c r="M215" s="49"/>
      <c r="N215" s="49" t="s">
        <v>6148</v>
      </c>
      <c r="O215" s="113" t="s">
        <v>6152</v>
      </c>
      <c r="P215" s="51"/>
      <c r="R215" s="47" t="s">
        <v>3489</v>
      </c>
      <c r="X215" s="50">
        <v>52.222299999999997</v>
      </c>
      <c r="Y215" s="50">
        <v>-107.78279999999999</v>
      </c>
      <c r="Z215" s="49">
        <v>693</v>
      </c>
      <c r="AA215" s="156"/>
      <c r="AB215" s="156"/>
    </row>
    <row r="216" spans="1:28" s="47" customFormat="1" ht="21.75" customHeight="1" x14ac:dyDescent="0.2">
      <c r="A216" s="47" t="s">
        <v>6145</v>
      </c>
      <c r="B216" s="47" t="s">
        <v>6146</v>
      </c>
      <c r="C216" s="47" t="s">
        <v>6166</v>
      </c>
      <c r="D216" s="47" t="s">
        <v>6150</v>
      </c>
      <c r="E216" s="47" t="s">
        <v>398</v>
      </c>
      <c r="F216" s="47" t="s">
        <v>884</v>
      </c>
      <c r="G216" s="47" t="s">
        <v>6164</v>
      </c>
      <c r="H216" s="48" t="s">
        <v>1563</v>
      </c>
      <c r="I216" s="47">
        <v>1.07</v>
      </c>
      <c r="J216" s="51" t="s">
        <v>4404</v>
      </c>
      <c r="K216" s="51" t="s">
        <v>5713</v>
      </c>
      <c r="L216" s="49" t="s">
        <v>6147</v>
      </c>
      <c r="M216" s="49"/>
      <c r="N216" s="49" t="s">
        <v>6148</v>
      </c>
      <c r="O216" s="113" t="s">
        <v>6152</v>
      </c>
      <c r="P216" s="51"/>
      <c r="R216" s="47" t="s">
        <v>2538</v>
      </c>
      <c r="X216" s="50">
        <v>49.759099999999997</v>
      </c>
      <c r="Y216" s="50">
        <v>-109.5</v>
      </c>
      <c r="Z216" s="49">
        <v>971</v>
      </c>
      <c r="AA216" s="156"/>
      <c r="AB216" s="156"/>
    </row>
    <row r="217" spans="1:28" s="47" customFormat="1" ht="21.75" customHeight="1" x14ac:dyDescent="0.2">
      <c r="A217" s="47" t="s">
        <v>6145</v>
      </c>
      <c r="B217" s="47" t="s">
        <v>6146</v>
      </c>
      <c r="C217" s="47" t="s">
        <v>6166</v>
      </c>
      <c r="D217" s="47" t="s">
        <v>6150</v>
      </c>
      <c r="E217" s="47" t="s">
        <v>398</v>
      </c>
      <c r="F217" s="47" t="s">
        <v>884</v>
      </c>
      <c r="G217" s="47" t="s">
        <v>6164</v>
      </c>
      <c r="H217" s="48" t="s">
        <v>1563</v>
      </c>
      <c r="I217" s="47">
        <v>0.85</v>
      </c>
      <c r="J217" s="51" t="s">
        <v>4404</v>
      </c>
      <c r="K217" s="51" t="s">
        <v>5713</v>
      </c>
      <c r="L217" s="49" t="s">
        <v>6147</v>
      </c>
      <c r="M217" s="49"/>
      <c r="N217" s="49" t="s">
        <v>6148</v>
      </c>
      <c r="O217" s="113" t="s">
        <v>6154</v>
      </c>
      <c r="P217" s="51"/>
      <c r="R217" s="47" t="s">
        <v>3489</v>
      </c>
      <c r="X217" s="50">
        <v>52.076999999999998</v>
      </c>
      <c r="Y217" s="50">
        <v>-106.2829</v>
      </c>
      <c r="Z217" s="49">
        <v>538</v>
      </c>
      <c r="AA217" s="157"/>
      <c r="AB217" s="156"/>
    </row>
    <row r="218" spans="1:28" s="47" customFormat="1" ht="21.75" customHeight="1" x14ac:dyDescent="0.2">
      <c r="A218" s="47" t="s">
        <v>6145</v>
      </c>
      <c r="B218" s="47" t="s">
        <v>6146</v>
      </c>
      <c r="C218" s="47" t="s">
        <v>6166</v>
      </c>
      <c r="D218" s="47" t="s">
        <v>6149</v>
      </c>
      <c r="E218" s="47" t="s">
        <v>398</v>
      </c>
      <c r="F218" s="47" t="s">
        <v>884</v>
      </c>
      <c r="G218" s="47" t="s">
        <v>6165</v>
      </c>
      <c r="H218" s="48" t="s">
        <v>6156</v>
      </c>
      <c r="I218" s="47">
        <v>1.27</v>
      </c>
      <c r="J218" s="51" t="s">
        <v>4404</v>
      </c>
      <c r="K218" s="51" t="s">
        <v>5713</v>
      </c>
      <c r="L218" s="49" t="s">
        <v>6147</v>
      </c>
      <c r="M218" s="49"/>
      <c r="N218" s="49" t="s">
        <v>6148</v>
      </c>
      <c r="O218" s="113" t="s">
        <v>6153</v>
      </c>
      <c r="P218" s="51"/>
      <c r="R218" s="47" t="s">
        <v>3489</v>
      </c>
      <c r="X218" s="50">
        <v>49.565399999999997</v>
      </c>
      <c r="Y218" s="50">
        <v>-109.49509999999999</v>
      </c>
      <c r="Z218" s="49">
        <v>1130</v>
      </c>
      <c r="AA218" s="155" t="s">
        <v>6168</v>
      </c>
      <c r="AB218" s="156"/>
    </row>
    <row r="219" spans="1:28" s="47" customFormat="1" ht="21.75" customHeight="1" x14ac:dyDescent="0.2">
      <c r="A219" s="47" t="s">
        <v>6145</v>
      </c>
      <c r="B219" s="47" t="s">
        <v>6146</v>
      </c>
      <c r="C219" s="47" t="s">
        <v>6166</v>
      </c>
      <c r="D219" s="47" t="s">
        <v>6149</v>
      </c>
      <c r="E219" s="47" t="s">
        <v>398</v>
      </c>
      <c r="F219" s="47" t="s">
        <v>884</v>
      </c>
      <c r="G219" s="47" t="s">
        <v>6165</v>
      </c>
      <c r="H219" s="48" t="s">
        <v>6156</v>
      </c>
      <c r="I219" s="47">
        <v>1.02</v>
      </c>
      <c r="J219" s="51" t="s">
        <v>4404</v>
      </c>
      <c r="K219" s="51" t="s">
        <v>5713</v>
      </c>
      <c r="L219" s="49" t="s">
        <v>6147</v>
      </c>
      <c r="M219" s="49"/>
      <c r="N219" s="49" t="s">
        <v>6148</v>
      </c>
      <c r="O219" s="113" t="s">
        <v>2648</v>
      </c>
      <c r="P219" s="51"/>
      <c r="R219" s="47" t="s">
        <v>3489</v>
      </c>
      <c r="X219" s="50">
        <v>50.386400000000002</v>
      </c>
      <c r="Y219" s="50">
        <v>-107.6228</v>
      </c>
      <c r="Z219" s="49">
        <v>752</v>
      </c>
      <c r="AA219" s="156"/>
      <c r="AB219" s="157"/>
    </row>
    <row r="220" spans="1:28" s="47" customFormat="1" ht="21.75" customHeight="1" x14ac:dyDescent="0.2">
      <c r="A220" s="47" t="s">
        <v>6145</v>
      </c>
      <c r="B220" s="47" t="s">
        <v>6146</v>
      </c>
      <c r="C220" s="47" t="s">
        <v>6166</v>
      </c>
      <c r="D220" s="47" t="s">
        <v>6150</v>
      </c>
      <c r="E220" s="47" t="s">
        <v>398</v>
      </c>
      <c r="F220" s="47" t="s">
        <v>884</v>
      </c>
      <c r="G220" s="47" t="s">
        <v>6165</v>
      </c>
      <c r="H220" s="48" t="s">
        <v>6156</v>
      </c>
      <c r="I220" s="47">
        <v>0.85</v>
      </c>
      <c r="J220" s="51" t="s">
        <v>4404</v>
      </c>
      <c r="K220" s="51" t="s">
        <v>5713</v>
      </c>
      <c r="L220" s="49" t="s">
        <v>6147</v>
      </c>
      <c r="M220" s="49"/>
      <c r="N220" s="49" t="s">
        <v>6148</v>
      </c>
      <c r="O220" s="113" t="s">
        <v>6152</v>
      </c>
      <c r="P220" s="51"/>
      <c r="R220" s="47" t="s">
        <v>3489</v>
      </c>
      <c r="X220" s="50">
        <v>52.222299999999997</v>
      </c>
      <c r="Y220" s="50">
        <v>-107.78279999999999</v>
      </c>
      <c r="Z220" s="49">
        <v>693</v>
      </c>
      <c r="AA220" s="156"/>
      <c r="AB220" s="155" t="s">
        <v>6243</v>
      </c>
    </row>
    <row r="221" spans="1:28" s="47" customFormat="1" ht="21.75" customHeight="1" x14ac:dyDescent="0.2">
      <c r="A221" s="47" t="s">
        <v>6145</v>
      </c>
      <c r="B221" s="47" t="s">
        <v>6146</v>
      </c>
      <c r="C221" s="47" t="s">
        <v>6166</v>
      </c>
      <c r="D221" s="47" t="s">
        <v>6150</v>
      </c>
      <c r="E221" s="47" t="s">
        <v>398</v>
      </c>
      <c r="F221" s="47" t="s">
        <v>884</v>
      </c>
      <c r="G221" s="47" t="s">
        <v>6165</v>
      </c>
      <c r="H221" s="48" t="s">
        <v>6156</v>
      </c>
      <c r="I221" s="47">
        <v>0.6</v>
      </c>
      <c r="J221" s="51" t="s">
        <v>4404</v>
      </c>
      <c r="K221" s="51" t="s">
        <v>5713</v>
      </c>
      <c r="L221" s="49" t="s">
        <v>6147</v>
      </c>
      <c r="M221" s="49"/>
      <c r="N221" s="49" t="s">
        <v>6148</v>
      </c>
      <c r="O221" s="113" t="s">
        <v>6153</v>
      </c>
      <c r="P221" s="51"/>
      <c r="R221" s="47" t="s">
        <v>3489</v>
      </c>
      <c r="X221" s="50">
        <v>51.746299999999998</v>
      </c>
      <c r="Y221" s="50">
        <v>-106.72750000000001</v>
      </c>
      <c r="Z221" s="49">
        <v>516</v>
      </c>
      <c r="AA221" s="156"/>
      <c r="AB221" s="156"/>
    </row>
    <row r="222" spans="1:28" s="47" customFormat="1" ht="21.75" customHeight="1" x14ac:dyDescent="0.2">
      <c r="A222" s="47" t="s">
        <v>6145</v>
      </c>
      <c r="B222" s="47" t="s">
        <v>6146</v>
      </c>
      <c r="C222" s="47" t="s">
        <v>6166</v>
      </c>
      <c r="D222" s="47" t="s">
        <v>6150</v>
      </c>
      <c r="E222" s="47" t="s">
        <v>398</v>
      </c>
      <c r="F222" s="47" t="s">
        <v>884</v>
      </c>
      <c r="G222" s="47" t="s">
        <v>6165</v>
      </c>
      <c r="H222" s="48" t="s">
        <v>6156</v>
      </c>
      <c r="I222" s="47">
        <v>0.68</v>
      </c>
      <c r="J222" s="51" t="s">
        <v>4404</v>
      </c>
      <c r="K222" s="51" t="s">
        <v>5713</v>
      </c>
      <c r="L222" s="49" t="s">
        <v>6147</v>
      </c>
      <c r="M222" s="49"/>
      <c r="N222" s="49" t="s">
        <v>6148</v>
      </c>
      <c r="O222" s="113" t="s">
        <v>2648</v>
      </c>
      <c r="P222" s="51"/>
      <c r="R222" s="47" t="s">
        <v>3489</v>
      </c>
      <c r="X222" s="50">
        <v>52.139099999999999</v>
      </c>
      <c r="Y222" s="50">
        <v>-106.7899</v>
      </c>
      <c r="Z222" s="49">
        <v>501</v>
      </c>
      <c r="AA222" s="156"/>
      <c r="AB222" s="156"/>
    </row>
    <row r="223" spans="1:28" s="47" customFormat="1" ht="21.75" customHeight="1" x14ac:dyDescent="0.2">
      <c r="A223" s="47" t="s">
        <v>6145</v>
      </c>
      <c r="B223" s="47" t="s">
        <v>6146</v>
      </c>
      <c r="C223" s="47" t="s">
        <v>6166</v>
      </c>
      <c r="D223" s="47" t="s">
        <v>6150</v>
      </c>
      <c r="E223" s="47" t="s">
        <v>398</v>
      </c>
      <c r="F223" s="47" t="s">
        <v>884</v>
      </c>
      <c r="G223" s="47" t="s">
        <v>6165</v>
      </c>
      <c r="H223" s="48" t="s">
        <v>6156</v>
      </c>
      <c r="I223" s="47">
        <v>1.05</v>
      </c>
      <c r="J223" s="51" t="s">
        <v>4404</v>
      </c>
      <c r="K223" s="51" t="s">
        <v>5713</v>
      </c>
      <c r="L223" s="49" t="s">
        <v>6147</v>
      </c>
      <c r="M223" s="49"/>
      <c r="N223" s="49" t="s">
        <v>6148</v>
      </c>
      <c r="O223" s="113" t="s">
        <v>6154</v>
      </c>
      <c r="P223" s="51"/>
      <c r="R223" s="47" t="s">
        <v>3489</v>
      </c>
      <c r="X223" s="50">
        <v>52.076999999999998</v>
      </c>
      <c r="Y223" s="50">
        <v>-106.2829</v>
      </c>
      <c r="Z223" s="49">
        <v>538</v>
      </c>
      <c r="AA223" s="156"/>
      <c r="AB223" s="156"/>
    </row>
    <row r="224" spans="1:28" s="47" customFormat="1" ht="21.75" customHeight="1" x14ac:dyDescent="0.2">
      <c r="A224" s="47" t="s">
        <v>6145</v>
      </c>
      <c r="B224" s="47" t="s">
        <v>6146</v>
      </c>
      <c r="C224" s="47" t="s">
        <v>6166</v>
      </c>
      <c r="D224" s="47" t="s">
        <v>6150</v>
      </c>
      <c r="E224" s="47" t="s">
        <v>398</v>
      </c>
      <c r="F224" s="47" t="s">
        <v>884</v>
      </c>
      <c r="G224" s="47" t="s">
        <v>6165</v>
      </c>
      <c r="H224" s="48" t="s">
        <v>6156</v>
      </c>
      <c r="I224" s="47">
        <v>0.8</v>
      </c>
      <c r="J224" s="51" t="s">
        <v>4404</v>
      </c>
      <c r="K224" s="51" t="s">
        <v>5713</v>
      </c>
      <c r="L224" s="49" t="s">
        <v>6147</v>
      </c>
      <c r="M224" s="49"/>
      <c r="N224" s="49" t="s">
        <v>6148</v>
      </c>
      <c r="O224" s="113" t="s">
        <v>6155</v>
      </c>
      <c r="P224" s="51"/>
      <c r="R224" s="47" t="s">
        <v>3489</v>
      </c>
      <c r="X224" s="50">
        <v>51.818800000000003</v>
      </c>
      <c r="Y224" s="50">
        <v>-106.2573</v>
      </c>
      <c r="Z224" s="49">
        <v>543</v>
      </c>
      <c r="AA224" s="156"/>
      <c r="AB224" s="157"/>
    </row>
    <row r="225" spans="1:28" s="47" customFormat="1" ht="21.75" customHeight="1" x14ac:dyDescent="0.2">
      <c r="A225" s="47" t="s">
        <v>6145</v>
      </c>
      <c r="B225" s="47" t="s">
        <v>6146</v>
      </c>
      <c r="C225" s="47" t="s">
        <v>6166</v>
      </c>
      <c r="D225" s="47" t="s">
        <v>6151</v>
      </c>
      <c r="E225" s="47" t="s">
        <v>398</v>
      </c>
      <c r="F225" s="47" t="s">
        <v>884</v>
      </c>
      <c r="G225" s="47" t="s">
        <v>6165</v>
      </c>
      <c r="H225" s="48" t="s">
        <v>6156</v>
      </c>
      <c r="I225" s="47">
        <v>0.8</v>
      </c>
      <c r="J225" s="51" t="s">
        <v>4404</v>
      </c>
      <c r="K225" s="51" t="s">
        <v>5713</v>
      </c>
      <c r="L225" s="49" t="s">
        <v>6147</v>
      </c>
      <c r="M225" s="49"/>
      <c r="N225" s="49" t="s">
        <v>6148</v>
      </c>
      <c r="O225" s="113" t="s">
        <v>6152</v>
      </c>
      <c r="P225" s="51"/>
      <c r="R225" s="47" t="s">
        <v>3489</v>
      </c>
      <c r="X225" s="50">
        <v>52.693899999999999</v>
      </c>
      <c r="Y225" s="50">
        <v>-107.8172</v>
      </c>
      <c r="Z225" s="49">
        <v>554</v>
      </c>
      <c r="AA225" s="156"/>
      <c r="AB225" s="155" t="s">
        <v>6244</v>
      </c>
    </row>
    <row r="226" spans="1:28" s="47" customFormat="1" ht="21.75" customHeight="1" x14ac:dyDescent="0.2">
      <c r="A226" s="47" t="s">
        <v>6145</v>
      </c>
      <c r="B226" s="47" t="s">
        <v>6146</v>
      </c>
      <c r="C226" s="47" t="s">
        <v>6166</v>
      </c>
      <c r="D226" s="47" t="s">
        <v>6151</v>
      </c>
      <c r="E226" s="47" t="s">
        <v>398</v>
      </c>
      <c r="F226" s="47" t="s">
        <v>884</v>
      </c>
      <c r="G226" s="47" t="s">
        <v>6165</v>
      </c>
      <c r="H226" s="48" t="s">
        <v>6156</v>
      </c>
      <c r="I226" s="47">
        <v>1.4</v>
      </c>
      <c r="J226" s="51" t="s">
        <v>4404</v>
      </c>
      <c r="K226" s="51" t="s">
        <v>5713</v>
      </c>
      <c r="L226" s="49" t="s">
        <v>6147</v>
      </c>
      <c r="M226" s="49"/>
      <c r="N226" s="49" t="s">
        <v>6148</v>
      </c>
      <c r="O226" s="113" t="s">
        <v>6152</v>
      </c>
      <c r="P226" s="51"/>
      <c r="R226" s="47" t="s">
        <v>6157</v>
      </c>
      <c r="X226" s="50">
        <v>52.521299999999997</v>
      </c>
      <c r="Y226" s="50">
        <v>-106.9281</v>
      </c>
      <c r="Z226" s="49">
        <v>519</v>
      </c>
      <c r="AA226" s="157"/>
      <c r="AB226" s="156"/>
    </row>
    <row r="227" spans="1:28" s="47" customFormat="1" ht="21.75" customHeight="1" x14ac:dyDescent="0.2">
      <c r="A227" s="47" t="s">
        <v>6145</v>
      </c>
      <c r="B227" s="47" t="s">
        <v>6146</v>
      </c>
      <c r="C227" s="47" t="s">
        <v>6166</v>
      </c>
      <c r="D227" s="47" t="s">
        <v>6149</v>
      </c>
      <c r="E227" s="47" t="s">
        <v>398</v>
      </c>
      <c r="F227" s="47" t="s">
        <v>6170</v>
      </c>
      <c r="G227" s="47" t="s">
        <v>6169</v>
      </c>
      <c r="H227" s="48" t="s">
        <v>6158</v>
      </c>
      <c r="I227" s="47">
        <v>1.27</v>
      </c>
      <c r="J227" s="51" t="s">
        <v>4404</v>
      </c>
      <c r="K227" s="51" t="s">
        <v>5713</v>
      </c>
      <c r="L227" s="49" t="s">
        <v>6147</v>
      </c>
      <c r="M227" s="49"/>
      <c r="N227" s="49" t="s">
        <v>6148</v>
      </c>
      <c r="O227" s="113" t="s">
        <v>6152</v>
      </c>
      <c r="P227" s="51"/>
      <c r="R227" s="47" t="s">
        <v>3489</v>
      </c>
      <c r="X227" s="50">
        <v>50.409799999999997</v>
      </c>
      <c r="Y227" s="50">
        <v>-107.7897</v>
      </c>
      <c r="Z227" s="49">
        <v>762</v>
      </c>
      <c r="AA227" s="155" t="s">
        <v>6171</v>
      </c>
      <c r="AB227" s="156"/>
    </row>
    <row r="228" spans="1:28" s="47" customFormat="1" ht="21.75" customHeight="1" x14ac:dyDescent="0.2">
      <c r="A228" s="47" t="s">
        <v>6145</v>
      </c>
      <c r="B228" s="47" t="s">
        <v>6146</v>
      </c>
      <c r="C228" s="47" t="s">
        <v>6166</v>
      </c>
      <c r="D228" s="47" t="s">
        <v>6149</v>
      </c>
      <c r="E228" s="47" t="s">
        <v>398</v>
      </c>
      <c r="F228" s="47" t="s">
        <v>6170</v>
      </c>
      <c r="G228" s="47" t="s">
        <v>6169</v>
      </c>
      <c r="H228" s="48" t="s">
        <v>6158</v>
      </c>
      <c r="I228" s="47">
        <v>1.37</v>
      </c>
      <c r="J228" s="51" t="s">
        <v>4404</v>
      </c>
      <c r="K228" s="51" t="s">
        <v>5713</v>
      </c>
      <c r="L228" s="49" t="s">
        <v>6147</v>
      </c>
      <c r="M228" s="49"/>
      <c r="N228" s="49" t="s">
        <v>6148</v>
      </c>
      <c r="O228" s="113" t="s">
        <v>2648</v>
      </c>
      <c r="P228" s="51"/>
      <c r="R228" s="47" t="s">
        <v>3489</v>
      </c>
      <c r="X228" s="50">
        <v>50.386400000000002</v>
      </c>
      <c r="Y228" s="50">
        <v>-107.6228</v>
      </c>
      <c r="Z228" s="49">
        <v>752</v>
      </c>
      <c r="AA228" s="156"/>
      <c r="AB228" s="156"/>
    </row>
    <row r="229" spans="1:28" s="47" customFormat="1" ht="21.75" customHeight="1" x14ac:dyDescent="0.2">
      <c r="A229" s="47" t="s">
        <v>6145</v>
      </c>
      <c r="B229" s="47" t="s">
        <v>6146</v>
      </c>
      <c r="C229" s="47" t="s">
        <v>6166</v>
      </c>
      <c r="D229" s="47" t="s">
        <v>6150</v>
      </c>
      <c r="E229" s="47" t="s">
        <v>398</v>
      </c>
      <c r="F229" s="47" t="s">
        <v>6170</v>
      </c>
      <c r="G229" s="47" t="s">
        <v>6169</v>
      </c>
      <c r="H229" s="48" t="s">
        <v>6158</v>
      </c>
      <c r="I229" s="47">
        <v>0.68</v>
      </c>
      <c r="J229" s="51" t="s">
        <v>4404</v>
      </c>
      <c r="K229" s="51" t="s">
        <v>5713</v>
      </c>
      <c r="L229" s="49" t="s">
        <v>6147</v>
      </c>
      <c r="M229" s="49"/>
      <c r="N229" s="49" t="s">
        <v>6148</v>
      </c>
      <c r="O229" s="113" t="s">
        <v>6152</v>
      </c>
      <c r="P229" s="51"/>
      <c r="R229" s="47" t="s">
        <v>2538</v>
      </c>
      <c r="X229" s="50">
        <v>49.759099999999997</v>
      </c>
      <c r="Y229" s="50">
        <v>-109.5</v>
      </c>
      <c r="Z229" s="49">
        <v>971</v>
      </c>
      <c r="AA229" s="156"/>
      <c r="AB229" s="157"/>
    </row>
    <row r="230" spans="1:28" s="47" customFormat="1" ht="21.75" customHeight="1" x14ac:dyDescent="0.2">
      <c r="A230" s="47" t="s">
        <v>6145</v>
      </c>
      <c r="B230" s="47" t="s">
        <v>6146</v>
      </c>
      <c r="C230" s="47" t="s">
        <v>6166</v>
      </c>
      <c r="D230" s="47" t="s">
        <v>6150</v>
      </c>
      <c r="E230" s="47" t="s">
        <v>398</v>
      </c>
      <c r="F230" s="47" t="s">
        <v>6170</v>
      </c>
      <c r="G230" s="47" t="s">
        <v>6169</v>
      </c>
      <c r="H230" s="48" t="s">
        <v>6158</v>
      </c>
      <c r="I230" s="47">
        <v>1.65</v>
      </c>
      <c r="J230" s="51" t="s">
        <v>4404</v>
      </c>
      <c r="K230" s="51" t="s">
        <v>5713</v>
      </c>
      <c r="L230" s="49" t="s">
        <v>6147</v>
      </c>
      <c r="M230" s="49"/>
      <c r="N230" s="49" t="s">
        <v>6148</v>
      </c>
      <c r="O230" s="113" t="s">
        <v>6153</v>
      </c>
      <c r="P230" s="51"/>
      <c r="R230" s="47" t="s">
        <v>3489</v>
      </c>
      <c r="X230" s="50">
        <v>52.222299999999997</v>
      </c>
      <c r="Y230" s="50">
        <v>-107.78279999999999</v>
      </c>
      <c r="Z230" s="49">
        <v>693</v>
      </c>
      <c r="AA230" s="156"/>
    </row>
    <row r="231" spans="1:28" s="47" customFormat="1" ht="21.75" customHeight="1" x14ac:dyDescent="0.2">
      <c r="A231" s="47" t="s">
        <v>6145</v>
      </c>
      <c r="B231" s="47" t="s">
        <v>6146</v>
      </c>
      <c r="C231" s="47" t="s">
        <v>6166</v>
      </c>
      <c r="D231" s="47" t="s">
        <v>6150</v>
      </c>
      <c r="E231" s="47" t="s">
        <v>398</v>
      </c>
      <c r="F231" s="47" t="s">
        <v>6170</v>
      </c>
      <c r="G231" s="47" t="s">
        <v>6169</v>
      </c>
      <c r="H231" s="48" t="s">
        <v>6158</v>
      </c>
      <c r="I231" s="47">
        <v>1.52</v>
      </c>
      <c r="J231" s="51" t="s">
        <v>4404</v>
      </c>
      <c r="K231" s="51" t="s">
        <v>5713</v>
      </c>
      <c r="L231" s="49" t="s">
        <v>6147</v>
      </c>
      <c r="M231" s="49"/>
      <c r="N231" s="49" t="s">
        <v>6148</v>
      </c>
      <c r="O231" s="113" t="s">
        <v>2648</v>
      </c>
      <c r="P231" s="51"/>
      <c r="R231" s="47" t="s">
        <v>3489</v>
      </c>
      <c r="X231" s="50">
        <v>52.139099999999999</v>
      </c>
      <c r="Y231" s="50">
        <v>-106.7899</v>
      </c>
      <c r="Z231" s="49">
        <v>501</v>
      </c>
      <c r="AA231" s="156"/>
    </row>
    <row r="232" spans="1:28" s="47" customFormat="1" ht="21.75" customHeight="1" x14ac:dyDescent="0.2">
      <c r="A232" s="47" t="s">
        <v>6145</v>
      </c>
      <c r="B232" s="47" t="s">
        <v>6146</v>
      </c>
      <c r="C232" s="47" t="s">
        <v>6166</v>
      </c>
      <c r="D232" s="47" t="s">
        <v>6150</v>
      </c>
      <c r="E232" s="47" t="s">
        <v>398</v>
      </c>
      <c r="F232" s="47" t="s">
        <v>6170</v>
      </c>
      <c r="G232" s="47" t="s">
        <v>6169</v>
      </c>
      <c r="H232" s="48" t="s">
        <v>6158</v>
      </c>
      <c r="I232" s="47">
        <v>1.55</v>
      </c>
      <c r="J232" s="51" t="s">
        <v>4404</v>
      </c>
      <c r="K232" s="51" t="s">
        <v>5713</v>
      </c>
      <c r="L232" s="49" t="s">
        <v>6147</v>
      </c>
      <c r="M232" s="49"/>
      <c r="N232" s="49" t="s">
        <v>6148</v>
      </c>
      <c r="O232" s="113" t="s">
        <v>6154</v>
      </c>
      <c r="P232" s="51"/>
      <c r="R232" s="47" t="s">
        <v>3489</v>
      </c>
      <c r="X232" s="50">
        <v>52.076999999999998</v>
      </c>
      <c r="Y232" s="50">
        <v>-106.2829</v>
      </c>
      <c r="Z232" s="49">
        <v>538</v>
      </c>
      <c r="AA232" s="157"/>
    </row>
    <row r="233" spans="1:28" s="47" customFormat="1" ht="21.75" customHeight="1" x14ac:dyDescent="0.2">
      <c r="A233" s="47" t="s">
        <v>6145</v>
      </c>
      <c r="B233" s="47" t="s">
        <v>6146</v>
      </c>
      <c r="C233" s="47" t="s">
        <v>6166</v>
      </c>
      <c r="D233" s="47" t="s">
        <v>6149</v>
      </c>
      <c r="E233" s="47" t="s">
        <v>398</v>
      </c>
      <c r="F233" s="47" t="s">
        <v>6170</v>
      </c>
      <c r="G233" s="47" t="s">
        <v>6173</v>
      </c>
      <c r="H233" s="48" t="s">
        <v>6172</v>
      </c>
      <c r="I233" s="47">
        <v>1.52</v>
      </c>
      <c r="J233" s="51" t="s">
        <v>4404</v>
      </c>
      <c r="K233" s="51" t="s">
        <v>5713</v>
      </c>
      <c r="L233" s="49" t="s">
        <v>6147</v>
      </c>
      <c r="M233" s="49"/>
      <c r="N233" s="49" t="s">
        <v>6148</v>
      </c>
      <c r="O233" s="113" t="s">
        <v>6153</v>
      </c>
      <c r="P233" s="51"/>
      <c r="R233" s="47" t="s">
        <v>3489</v>
      </c>
      <c r="X233" s="50">
        <v>49.565399999999997</v>
      </c>
      <c r="Y233" s="50">
        <v>-109.49509999999999</v>
      </c>
      <c r="Z233" s="49">
        <v>1130</v>
      </c>
      <c r="AA233" s="155" t="s">
        <v>6174</v>
      </c>
    </row>
    <row r="234" spans="1:28" s="47" customFormat="1" ht="21.75" customHeight="1" x14ac:dyDescent="0.2">
      <c r="A234" s="47" t="s">
        <v>6145</v>
      </c>
      <c r="B234" s="47" t="s">
        <v>6146</v>
      </c>
      <c r="C234" s="47" t="s">
        <v>6166</v>
      </c>
      <c r="D234" s="47" t="s">
        <v>6149</v>
      </c>
      <c r="E234" s="47" t="s">
        <v>398</v>
      </c>
      <c r="F234" s="47" t="s">
        <v>6170</v>
      </c>
      <c r="G234" s="47" t="s">
        <v>6173</v>
      </c>
      <c r="H234" s="48" t="s">
        <v>6172</v>
      </c>
      <c r="I234" s="47">
        <v>1.42</v>
      </c>
      <c r="J234" s="51" t="s">
        <v>4404</v>
      </c>
      <c r="K234" s="51" t="s">
        <v>5713</v>
      </c>
      <c r="L234" s="49" t="s">
        <v>6147</v>
      </c>
      <c r="M234" s="49"/>
      <c r="N234" s="49" t="s">
        <v>6148</v>
      </c>
      <c r="O234" s="113" t="s">
        <v>2648</v>
      </c>
      <c r="P234" s="51"/>
      <c r="R234" s="47" t="s">
        <v>3489</v>
      </c>
      <c r="X234" s="50">
        <v>50.386400000000002</v>
      </c>
      <c r="Y234" s="50">
        <v>-107.6228</v>
      </c>
      <c r="Z234" s="49">
        <v>752</v>
      </c>
      <c r="AA234" s="156"/>
    </row>
    <row r="235" spans="1:28" s="47" customFormat="1" ht="21.75" customHeight="1" x14ac:dyDescent="0.2">
      <c r="A235" s="47" t="s">
        <v>6145</v>
      </c>
      <c r="B235" s="47" t="s">
        <v>6146</v>
      </c>
      <c r="C235" s="47" t="s">
        <v>6166</v>
      </c>
      <c r="D235" s="47" t="s">
        <v>6150</v>
      </c>
      <c r="E235" s="47" t="s">
        <v>398</v>
      </c>
      <c r="F235" s="47" t="s">
        <v>6170</v>
      </c>
      <c r="G235" s="47" t="s">
        <v>6173</v>
      </c>
      <c r="H235" s="48" t="s">
        <v>6172</v>
      </c>
      <c r="I235" s="47">
        <v>1.1200000000000001</v>
      </c>
      <c r="J235" s="51" t="s">
        <v>4404</v>
      </c>
      <c r="K235" s="51" t="s">
        <v>5713</v>
      </c>
      <c r="L235" s="49" t="s">
        <v>6147</v>
      </c>
      <c r="M235" s="49"/>
      <c r="N235" s="49" t="s">
        <v>6148</v>
      </c>
      <c r="O235" s="113" t="s">
        <v>6152</v>
      </c>
      <c r="P235" s="51"/>
      <c r="R235" s="47" t="s">
        <v>3489</v>
      </c>
      <c r="X235" s="50">
        <v>52.222299999999997</v>
      </c>
      <c r="Y235" s="50">
        <v>-107.78279999999999</v>
      </c>
      <c r="Z235" s="49">
        <v>693</v>
      </c>
      <c r="AA235" s="156"/>
    </row>
    <row r="236" spans="1:28" s="47" customFormat="1" ht="21.75" customHeight="1" x14ac:dyDescent="0.2">
      <c r="A236" s="47" t="s">
        <v>6145</v>
      </c>
      <c r="B236" s="47" t="s">
        <v>6146</v>
      </c>
      <c r="C236" s="47" t="s">
        <v>6166</v>
      </c>
      <c r="D236" s="47" t="s">
        <v>6150</v>
      </c>
      <c r="E236" s="47" t="s">
        <v>398</v>
      </c>
      <c r="F236" s="47" t="s">
        <v>6170</v>
      </c>
      <c r="G236" s="47" t="s">
        <v>6173</v>
      </c>
      <c r="H236" s="48" t="s">
        <v>6172</v>
      </c>
      <c r="I236" s="47">
        <v>1.22</v>
      </c>
      <c r="J236" s="51" t="s">
        <v>4404</v>
      </c>
      <c r="K236" s="51" t="s">
        <v>5713</v>
      </c>
      <c r="L236" s="49" t="s">
        <v>6147</v>
      </c>
      <c r="M236" s="49"/>
      <c r="N236" s="49" t="s">
        <v>6148</v>
      </c>
      <c r="O236" s="113" t="s">
        <v>6153</v>
      </c>
      <c r="P236" s="51"/>
      <c r="R236" s="47" t="s">
        <v>3489</v>
      </c>
      <c r="X236" s="50">
        <v>51.746299999999998</v>
      </c>
      <c r="Y236" s="50">
        <v>-106.72750000000001</v>
      </c>
      <c r="Z236" s="49">
        <v>516</v>
      </c>
      <c r="AA236" s="156"/>
    </row>
    <row r="237" spans="1:28" s="47" customFormat="1" ht="21.75" customHeight="1" x14ac:dyDescent="0.2">
      <c r="A237" s="47" t="s">
        <v>6145</v>
      </c>
      <c r="B237" s="47" t="s">
        <v>6146</v>
      </c>
      <c r="C237" s="47" t="s">
        <v>6166</v>
      </c>
      <c r="D237" s="47" t="s">
        <v>6150</v>
      </c>
      <c r="E237" s="47" t="s">
        <v>398</v>
      </c>
      <c r="F237" s="47" t="s">
        <v>6170</v>
      </c>
      <c r="G237" s="47" t="s">
        <v>6173</v>
      </c>
      <c r="H237" s="48" t="s">
        <v>6172</v>
      </c>
      <c r="I237" s="47">
        <v>1.42</v>
      </c>
      <c r="J237" s="51" t="s">
        <v>4404</v>
      </c>
      <c r="K237" s="51" t="s">
        <v>5713</v>
      </c>
      <c r="L237" s="49" t="s">
        <v>6147</v>
      </c>
      <c r="M237" s="49"/>
      <c r="N237" s="49" t="s">
        <v>6148</v>
      </c>
      <c r="O237" s="113" t="s">
        <v>2648</v>
      </c>
      <c r="P237" s="51"/>
      <c r="R237" s="47" t="s">
        <v>3489</v>
      </c>
      <c r="X237" s="50">
        <v>52.139099999999999</v>
      </c>
      <c r="Y237" s="50">
        <v>-106.7899</v>
      </c>
      <c r="Z237" s="49">
        <v>501</v>
      </c>
      <c r="AA237" s="156"/>
    </row>
    <row r="238" spans="1:28" s="47" customFormat="1" ht="21.75" customHeight="1" x14ac:dyDescent="0.2">
      <c r="A238" s="47" t="s">
        <v>6145</v>
      </c>
      <c r="B238" s="47" t="s">
        <v>6146</v>
      </c>
      <c r="C238" s="47" t="s">
        <v>6166</v>
      </c>
      <c r="D238" s="47" t="s">
        <v>6150</v>
      </c>
      <c r="E238" s="47" t="s">
        <v>398</v>
      </c>
      <c r="F238" s="47" t="s">
        <v>6170</v>
      </c>
      <c r="G238" s="47" t="s">
        <v>6173</v>
      </c>
      <c r="H238" s="48" t="s">
        <v>6172</v>
      </c>
      <c r="I238" s="47">
        <v>1.3</v>
      </c>
      <c r="J238" s="51" t="s">
        <v>4404</v>
      </c>
      <c r="K238" s="51" t="s">
        <v>5713</v>
      </c>
      <c r="L238" s="49" t="s">
        <v>6147</v>
      </c>
      <c r="M238" s="49"/>
      <c r="N238" s="49" t="s">
        <v>6148</v>
      </c>
      <c r="O238" s="113" t="s">
        <v>6154</v>
      </c>
      <c r="P238" s="51"/>
      <c r="R238" s="47" t="s">
        <v>3489</v>
      </c>
      <c r="X238" s="50">
        <v>52.076999999999998</v>
      </c>
      <c r="Y238" s="50">
        <v>-106.2829</v>
      </c>
      <c r="Z238" s="49">
        <v>538</v>
      </c>
      <c r="AA238" s="156"/>
    </row>
    <row r="239" spans="1:28" s="47" customFormat="1" ht="21.75" customHeight="1" x14ac:dyDescent="0.2">
      <c r="A239" s="47" t="s">
        <v>6145</v>
      </c>
      <c r="B239" s="47" t="s">
        <v>6146</v>
      </c>
      <c r="C239" s="47" t="s">
        <v>6166</v>
      </c>
      <c r="D239" s="47" t="s">
        <v>6150</v>
      </c>
      <c r="E239" s="47" t="s">
        <v>398</v>
      </c>
      <c r="F239" s="47" t="s">
        <v>6170</v>
      </c>
      <c r="G239" s="47" t="s">
        <v>6173</v>
      </c>
      <c r="H239" s="48" t="s">
        <v>6172</v>
      </c>
      <c r="I239" s="47">
        <v>1.1499999999999999</v>
      </c>
      <c r="J239" s="51" t="s">
        <v>4404</v>
      </c>
      <c r="K239" s="51" t="s">
        <v>5713</v>
      </c>
      <c r="L239" s="49" t="s">
        <v>6147</v>
      </c>
      <c r="M239" s="49"/>
      <c r="N239" s="49" t="s">
        <v>6148</v>
      </c>
      <c r="O239" s="113" t="s">
        <v>6155</v>
      </c>
      <c r="P239" s="51"/>
      <c r="R239" s="47" t="s">
        <v>3489</v>
      </c>
      <c r="X239" s="50">
        <v>51.818800000000003</v>
      </c>
      <c r="Y239" s="50">
        <v>-106.2573</v>
      </c>
      <c r="Z239" s="49">
        <v>543</v>
      </c>
      <c r="AA239" s="156"/>
    </row>
    <row r="240" spans="1:28" s="47" customFormat="1" ht="21.75" customHeight="1" x14ac:dyDescent="0.2">
      <c r="A240" s="47" t="s">
        <v>6145</v>
      </c>
      <c r="B240" s="47" t="s">
        <v>6146</v>
      </c>
      <c r="C240" s="47" t="s">
        <v>6166</v>
      </c>
      <c r="D240" s="47" t="s">
        <v>6151</v>
      </c>
      <c r="E240" s="47" t="s">
        <v>398</v>
      </c>
      <c r="F240" s="47" t="s">
        <v>6170</v>
      </c>
      <c r="G240" s="47" t="s">
        <v>6173</v>
      </c>
      <c r="H240" s="48" t="s">
        <v>6172</v>
      </c>
      <c r="I240" s="47">
        <v>1.1000000000000001</v>
      </c>
      <c r="J240" s="51" t="s">
        <v>4404</v>
      </c>
      <c r="K240" s="51" t="s">
        <v>5713</v>
      </c>
      <c r="L240" s="49" t="s">
        <v>6147</v>
      </c>
      <c r="M240" s="49"/>
      <c r="N240" s="49" t="s">
        <v>6148</v>
      </c>
      <c r="O240" s="113" t="s">
        <v>6152</v>
      </c>
      <c r="P240" s="51"/>
      <c r="R240" s="47" t="s">
        <v>3489</v>
      </c>
      <c r="X240" s="50">
        <v>52.693899999999999</v>
      </c>
      <c r="Y240" s="50">
        <v>-107.8172</v>
      </c>
      <c r="Z240" s="49">
        <v>554</v>
      </c>
      <c r="AA240" s="157"/>
    </row>
    <row r="241" spans="1:28" s="47" customFormat="1" ht="21.75" customHeight="1" x14ac:dyDescent="0.2">
      <c r="A241" s="47" t="s">
        <v>6145</v>
      </c>
      <c r="B241" s="47" t="s">
        <v>6146</v>
      </c>
      <c r="C241" s="47" t="s">
        <v>6166</v>
      </c>
      <c r="D241" s="47" t="s">
        <v>6149</v>
      </c>
      <c r="E241" s="47" t="s">
        <v>398</v>
      </c>
      <c r="F241" s="47" t="s">
        <v>6170</v>
      </c>
      <c r="G241" s="47" t="s">
        <v>6175</v>
      </c>
      <c r="H241" s="48" t="s">
        <v>1132</v>
      </c>
      <c r="I241" s="47">
        <v>0.85</v>
      </c>
      <c r="J241" s="51" t="s">
        <v>4404</v>
      </c>
      <c r="K241" s="51" t="s">
        <v>5713</v>
      </c>
      <c r="L241" s="49" t="s">
        <v>6147</v>
      </c>
      <c r="M241" s="49"/>
      <c r="N241" s="49" t="s">
        <v>6148</v>
      </c>
      <c r="O241" s="113" t="s">
        <v>6152</v>
      </c>
      <c r="P241" s="51"/>
      <c r="R241" s="47" t="s">
        <v>3489</v>
      </c>
      <c r="X241" s="50">
        <v>52.693899999999999</v>
      </c>
      <c r="Y241" s="50">
        <v>-107.8172</v>
      </c>
      <c r="Z241" s="49">
        <v>554</v>
      </c>
      <c r="AA241" s="155" t="s">
        <v>6176</v>
      </c>
    </row>
    <row r="242" spans="1:28" s="47" customFormat="1" ht="21.75" customHeight="1" x14ac:dyDescent="0.2">
      <c r="A242" s="47" t="s">
        <v>6145</v>
      </c>
      <c r="B242" s="47" t="s">
        <v>6146</v>
      </c>
      <c r="C242" s="47" t="s">
        <v>6166</v>
      </c>
      <c r="D242" s="47" t="s">
        <v>6149</v>
      </c>
      <c r="E242" s="47" t="s">
        <v>398</v>
      </c>
      <c r="F242" s="47" t="s">
        <v>6170</v>
      </c>
      <c r="G242" s="47" t="s">
        <v>6175</v>
      </c>
      <c r="H242" s="48" t="s">
        <v>1132</v>
      </c>
      <c r="I242" s="47">
        <v>0.75</v>
      </c>
      <c r="J242" s="51" t="s">
        <v>4404</v>
      </c>
      <c r="K242" s="51" t="s">
        <v>5713</v>
      </c>
      <c r="L242" s="49" t="s">
        <v>6147</v>
      </c>
      <c r="M242" s="49"/>
      <c r="N242" s="49" t="s">
        <v>6148</v>
      </c>
      <c r="O242" s="113" t="s">
        <v>6153</v>
      </c>
      <c r="P242" s="51"/>
      <c r="R242" s="47" t="s">
        <v>3489</v>
      </c>
      <c r="X242" s="50">
        <v>49.565399999999997</v>
      </c>
      <c r="Y242" s="50">
        <v>-109.49509999999999</v>
      </c>
      <c r="Z242" s="49">
        <v>1130</v>
      </c>
      <c r="AA242" s="156"/>
    </row>
    <row r="243" spans="1:28" s="47" customFormat="1" ht="21.75" customHeight="1" x14ac:dyDescent="0.2">
      <c r="A243" s="47" t="s">
        <v>6145</v>
      </c>
      <c r="B243" s="47" t="s">
        <v>6146</v>
      </c>
      <c r="C243" s="47" t="s">
        <v>6166</v>
      </c>
      <c r="D243" s="47" t="s">
        <v>6150</v>
      </c>
      <c r="E243" s="47" t="s">
        <v>398</v>
      </c>
      <c r="F243" s="47" t="s">
        <v>6170</v>
      </c>
      <c r="G243" s="47" t="s">
        <v>6175</v>
      </c>
      <c r="H243" s="48" t="s">
        <v>1132</v>
      </c>
      <c r="I243" s="47">
        <v>0.9</v>
      </c>
      <c r="J243" s="51" t="s">
        <v>4404</v>
      </c>
      <c r="K243" s="51" t="s">
        <v>5713</v>
      </c>
      <c r="L243" s="49" t="s">
        <v>6147</v>
      </c>
      <c r="M243" s="49"/>
      <c r="N243" s="49" t="s">
        <v>6148</v>
      </c>
      <c r="O243" s="113" t="s">
        <v>6152</v>
      </c>
      <c r="P243" s="51"/>
      <c r="R243" s="47" t="s">
        <v>2538</v>
      </c>
      <c r="X243" s="50">
        <v>49.759099999999997</v>
      </c>
      <c r="Y243" s="50">
        <v>-109.5</v>
      </c>
      <c r="Z243" s="49">
        <v>971</v>
      </c>
      <c r="AA243" s="156"/>
      <c r="AB243" s="155" t="s">
        <v>6177</v>
      </c>
    </row>
    <row r="244" spans="1:28" s="47" customFormat="1" ht="21.75" customHeight="1" x14ac:dyDescent="0.2">
      <c r="A244" s="47" t="s">
        <v>6145</v>
      </c>
      <c r="B244" s="47" t="s">
        <v>6146</v>
      </c>
      <c r="C244" s="47" t="s">
        <v>6166</v>
      </c>
      <c r="D244" s="47" t="s">
        <v>6150</v>
      </c>
      <c r="E244" s="47" t="s">
        <v>398</v>
      </c>
      <c r="F244" s="47" t="s">
        <v>6170</v>
      </c>
      <c r="G244" s="47" t="s">
        <v>6175</v>
      </c>
      <c r="H244" s="48" t="s">
        <v>1132</v>
      </c>
      <c r="I244" s="47">
        <v>0.38</v>
      </c>
      <c r="J244" s="51" t="s">
        <v>4404</v>
      </c>
      <c r="K244" s="51" t="s">
        <v>5713</v>
      </c>
      <c r="L244" s="49" t="s">
        <v>6147</v>
      </c>
      <c r="M244" s="49"/>
      <c r="N244" s="49" t="s">
        <v>6148</v>
      </c>
      <c r="O244" s="113" t="s">
        <v>6153</v>
      </c>
      <c r="P244" s="51"/>
      <c r="R244" s="47" t="s">
        <v>3489</v>
      </c>
      <c r="X244" s="50">
        <v>51.746299999999998</v>
      </c>
      <c r="Y244" s="50">
        <v>-106.72750000000001</v>
      </c>
      <c r="Z244" s="49">
        <v>516</v>
      </c>
      <c r="AA244" s="156"/>
      <c r="AB244" s="156"/>
    </row>
    <row r="245" spans="1:28" s="47" customFormat="1" ht="21.75" customHeight="1" x14ac:dyDescent="0.2">
      <c r="A245" s="47" t="s">
        <v>6145</v>
      </c>
      <c r="B245" s="47" t="s">
        <v>6146</v>
      </c>
      <c r="C245" s="47" t="s">
        <v>6166</v>
      </c>
      <c r="D245" s="47" t="s">
        <v>6150</v>
      </c>
      <c r="E245" s="47" t="s">
        <v>398</v>
      </c>
      <c r="F245" s="47" t="s">
        <v>6170</v>
      </c>
      <c r="G245" s="47" t="s">
        <v>6175</v>
      </c>
      <c r="H245" s="48" t="s">
        <v>1132</v>
      </c>
      <c r="I245" s="47">
        <v>0.75</v>
      </c>
      <c r="J245" s="51" t="s">
        <v>4404</v>
      </c>
      <c r="K245" s="51" t="s">
        <v>5713</v>
      </c>
      <c r="L245" s="49" t="s">
        <v>6147</v>
      </c>
      <c r="M245" s="49"/>
      <c r="N245" s="49" t="s">
        <v>6148</v>
      </c>
      <c r="O245" s="113" t="s">
        <v>2648</v>
      </c>
      <c r="P245" s="51"/>
      <c r="R245" s="47" t="s">
        <v>3489</v>
      </c>
      <c r="X245" s="50">
        <v>52.139099999999999</v>
      </c>
      <c r="Y245" s="50">
        <v>-106.7899</v>
      </c>
      <c r="Z245" s="49">
        <v>501</v>
      </c>
      <c r="AA245" s="156"/>
      <c r="AB245" s="156"/>
    </row>
    <row r="246" spans="1:28" s="47" customFormat="1" ht="21.75" customHeight="1" x14ac:dyDescent="0.2">
      <c r="A246" s="47" t="s">
        <v>6145</v>
      </c>
      <c r="B246" s="47" t="s">
        <v>6146</v>
      </c>
      <c r="C246" s="47" t="s">
        <v>6166</v>
      </c>
      <c r="D246" s="47" t="s">
        <v>6150</v>
      </c>
      <c r="E246" s="47" t="s">
        <v>398</v>
      </c>
      <c r="F246" s="47" t="s">
        <v>6170</v>
      </c>
      <c r="G246" s="47" t="s">
        <v>6175</v>
      </c>
      <c r="H246" s="48" t="s">
        <v>1132</v>
      </c>
      <c r="I246" s="47">
        <v>0.6</v>
      </c>
      <c r="J246" s="51" t="s">
        <v>4404</v>
      </c>
      <c r="K246" s="51" t="s">
        <v>5713</v>
      </c>
      <c r="L246" s="49" t="s">
        <v>6147</v>
      </c>
      <c r="M246" s="49"/>
      <c r="N246" s="49" t="s">
        <v>6148</v>
      </c>
      <c r="O246" s="113" t="s">
        <v>6154</v>
      </c>
      <c r="P246" s="51"/>
      <c r="R246" s="47" t="s">
        <v>3489</v>
      </c>
      <c r="X246" s="50">
        <v>52.076999999999998</v>
      </c>
      <c r="Y246" s="50">
        <v>-106.2829</v>
      </c>
      <c r="Z246" s="49">
        <v>538</v>
      </c>
      <c r="AA246" s="156"/>
      <c r="AB246" s="156"/>
    </row>
    <row r="247" spans="1:28" s="47" customFormat="1" ht="21.75" customHeight="1" x14ac:dyDescent="0.2">
      <c r="A247" s="47" t="s">
        <v>6145</v>
      </c>
      <c r="B247" s="47" t="s">
        <v>6146</v>
      </c>
      <c r="C247" s="47" t="s">
        <v>6166</v>
      </c>
      <c r="D247" s="47" t="s">
        <v>6150</v>
      </c>
      <c r="E247" s="47" t="s">
        <v>398</v>
      </c>
      <c r="F247" s="47" t="s">
        <v>6170</v>
      </c>
      <c r="G247" s="47" t="s">
        <v>6175</v>
      </c>
      <c r="H247" s="48" t="s">
        <v>1132</v>
      </c>
      <c r="I247" s="47">
        <v>0.4</v>
      </c>
      <c r="J247" s="51" t="s">
        <v>4404</v>
      </c>
      <c r="K247" s="51" t="s">
        <v>5713</v>
      </c>
      <c r="L247" s="49" t="s">
        <v>6147</v>
      </c>
      <c r="M247" s="49"/>
      <c r="N247" s="49" t="s">
        <v>6148</v>
      </c>
      <c r="O247" s="113" t="s">
        <v>6155</v>
      </c>
      <c r="P247" s="51"/>
      <c r="R247" s="47" t="s">
        <v>3489</v>
      </c>
      <c r="X247" s="50">
        <v>51.818800000000003</v>
      </c>
      <c r="Y247" s="50">
        <v>-106.2573</v>
      </c>
      <c r="Z247" s="49">
        <v>543</v>
      </c>
      <c r="AA247" s="156"/>
      <c r="AB247" s="156"/>
    </row>
    <row r="248" spans="1:28" s="47" customFormat="1" ht="21.75" customHeight="1" x14ac:dyDescent="0.2">
      <c r="A248" s="47" t="s">
        <v>6145</v>
      </c>
      <c r="B248" s="47" t="s">
        <v>6146</v>
      </c>
      <c r="C248" s="47" t="s">
        <v>6166</v>
      </c>
      <c r="D248" s="47" t="s">
        <v>6151</v>
      </c>
      <c r="E248" s="47" t="s">
        <v>398</v>
      </c>
      <c r="F248" s="47" t="s">
        <v>6170</v>
      </c>
      <c r="G248" s="47" t="s">
        <v>6175</v>
      </c>
      <c r="H248" s="48" t="s">
        <v>1132</v>
      </c>
      <c r="I248" s="47">
        <v>0.53</v>
      </c>
      <c r="J248" s="51" t="s">
        <v>4404</v>
      </c>
      <c r="K248" s="51" t="s">
        <v>5713</v>
      </c>
      <c r="L248" s="49" t="s">
        <v>6147</v>
      </c>
      <c r="M248" s="49"/>
      <c r="N248" s="49" t="s">
        <v>6148</v>
      </c>
      <c r="O248" s="113" t="s">
        <v>6152</v>
      </c>
      <c r="P248" s="51"/>
      <c r="R248" s="47" t="s">
        <v>3489</v>
      </c>
      <c r="X248" s="50">
        <v>52.693899999999999</v>
      </c>
      <c r="Y248" s="50">
        <v>-107.8172</v>
      </c>
      <c r="Z248" s="49">
        <v>554</v>
      </c>
      <c r="AA248" s="157"/>
      <c r="AB248" s="157"/>
    </row>
    <row r="249" spans="1:28" s="47" customFormat="1" ht="21.75" customHeight="1" x14ac:dyDescent="0.2">
      <c r="A249" s="47" t="s">
        <v>6145</v>
      </c>
      <c r="B249" s="47" t="s">
        <v>6146</v>
      </c>
      <c r="C249" s="47" t="s">
        <v>6166</v>
      </c>
      <c r="D249" s="47" t="s">
        <v>6149</v>
      </c>
      <c r="E249" s="47" t="s">
        <v>398</v>
      </c>
      <c r="F249" s="47" t="s">
        <v>884</v>
      </c>
      <c r="G249" s="47" t="s">
        <v>1715</v>
      </c>
      <c r="H249" s="48" t="s">
        <v>1389</v>
      </c>
      <c r="I249" s="47">
        <v>0.6</v>
      </c>
      <c r="J249" s="51" t="s">
        <v>4404</v>
      </c>
      <c r="K249" s="51" t="s">
        <v>5713</v>
      </c>
      <c r="L249" s="49" t="s">
        <v>6147</v>
      </c>
      <c r="M249" s="49"/>
      <c r="N249" s="49" t="s">
        <v>6148</v>
      </c>
      <c r="O249" s="113" t="s">
        <v>6152</v>
      </c>
      <c r="P249" s="51"/>
      <c r="R249" s="47" t="s">
        <v>3489</v>
      </c>
      <c r="X249" s="50">
        <v>49.926099999999998</v>
      </c>
      <c r="Y249" s="50">
        <v>-109.5363</v>
      </c>
      <c r="Z249" s="49">
        <v>762</v>
      </c>
      <c r="AA249" s="155" t="s">
        <v>6178</v>
      </c>
    </row>
    <row r="250" spans="1:28" s="47" customFormat="1" ht="21.75" customHeight="1" x14ac:dyDescent="0.2">
      <c r="A250" s="47" t="s">
        <v>6145</v>
      </c>
      <c r="B250" s="47" t="s">
        <v>6146</v>
      </c>
      <c r="C250" s="47" t="s">
        <v>6166</v>
      </c>
      <c r="D250" s="47" t="s">
        <v>6149</v>
      </c>
      <c r="E250" s="47" t="s">
        <v>398</v>
      </c>
      <c r="F250" s="47" t="s">
        <v>884</v>
      </c>
      <c r="G250" s="47" t="s">
        <v>1715</v>
      </c>
      <c r="H250" s="48" t="s">
        <v>1389</v>
      </c>
      <c r="I250" s="47">
        <v>0.75</v>
      </c>
      <c r="J250" s="51" t="s">
        <v>4404</v>
      </c>
      <c r="K250" s="51" t="s">
        <v>5713</v>
      </c>
      <c r="L250" s="49" t="s">
        <v>6147</v>
      </c>
      <c r="M250" s="49"/>
      <c r="N250" s="49" t="s">
        <v>6148</v>
      </c>
      <c r="O250" s="113" t="s">
        <v>6153</v>
      </c>
      <c r="P250" s="51"/>
      <c r="R250" s="47" t="s">
        <v>3489</v>
      </c>
      <c r="X250" s="50">
        <v>49.565399999999997</v>
      </c>
      <c r="Y250" s="50">
        <v>-109.49509999999999</v>
      </c>
      <c r="Z250" s="49">
        <v>1130</v>
      </c>
      <c r="AA250" s="156"/>
    </row>
    <row r="251" spans="1:28" s="47" customFormat="1" ht="21.75" customHeight="1" x14ac:dyDescent="0.2">
      <c r="A251" s="47" t="s">
        <v>6145</v>
      </c>
      <c r="B251" s="47" t="s">
        <v>6146</v>
      </c>
      <c r="C251" s="47" t="s">
        <v>6166</v>
      </c>
      <c r="D251" s="47" t="s">
        <v>6150</v>
      </c>
      <c r="E251" s="47" t="s">
        <v>398</v>
      </c>
      <c r="F251" s="47" t="s">
        <v>884</v>
      </c>
      <c r="G251" s="47" t="s">
        <v>1715</v>
      </c>
      <c r="H251" s="48" t="s">
        <v>1389</v>
      </c>
      <c r="I251" s="47">
        <v>0.6</v>
      </c>
      <c r="J251" s="51" t="s">
        <v>4404</v>
      </c>
      <c r="K251" s="51" t="s">
        <v>5713</v>
      </c>
      <c r="L251" s="49" t="s">
        <v>6147</v>
      </c>
      <c r="M251" s="49"/>
      <c r="N251" s="49" t="s">
        <v>6148</v>
      </c>
      <c r="O251" s="113" t="s">
        <v>6152</v>
      </c>
      <c r="P251" s="51"/>
      <c r="R251" s="47" t="s">
        <v>2538</v>
      </c>
      <c r="X251" s="50">
        <v>49.759099999999997</v>
      </c>
      <c r="Y251" s="50">
        <v>-109.5</v>
      </c>
      <c r="Z251" s="49">
        <v>971</v>
      </c>
      <c r="AA251" s="156"/>
    </row>
    <row r="252" spans="1:28" s="47" customFormat="1" ht="21.75" customHeight="1" x14ac:dyDescent="0.2">
      <c r="A252" s="47" t="s">
        <v>6145</v>
      </c>
      <c r="B252" s="47" t="s">
        <v>6146</v>
      </c>
      <c r="C252" s="47" t="s">
        <v>6166</v>
      </c>
      <c r="D252" s="47" t="s">
        <v>6150</v>
      </c>
      <c r="E252" s="47" t="s">
        <v>398</v>
      </c>
      <c r="F252" s="47" t="s">
        <v>884</v>
      </c>
      <c r="G252" s="47" t="s">
        <v>1715</v>
      </c>
      <c r="H252" s="48" t="s">
        <v>1389</v>
      </c>
      <c r="I252" s="47">
        <v>0.33</v>
      </c>
      <c r="J252" s="51" t="s">
        <v>4404</v>
      </c>
      <c r="K252" s="51" t="s">
        <v>5713</v>
      </c>
      <c r="L252" s="49" t="s">
        <v>6147</v>
      </c>
      <c r="M252" s="49"/>
      <c r="N252" s="49" t="s">
        <v>6148</v>
      </c>
      <c r="O252" s="113" t="s">
        <v>6153</v>
      </c>
      <c r="P252" s="51"/>
      <c r="R252" s="47" t="s">
        <v>3489</v>
      </c>
      <c r="X252" s="50">
        <v>51.746299999999998</v>
      </c>
      <c r="Y252" s="50">
        <v>-106.72750000000001</v>
      </c>
      <c r="Z252" s="49">
        <v>516</v>
      </c>
      <c r="AA252" s="156"/>
    </row>
    <row r="253" spans="1:28" s="47" customFormat="1" ht="21.75" customHeight="1" x14ac:dyDescent="0.2">
      <c r="A253" s="47" t="s">
        <v>6145</v>
      </c>
      <c r="B253" s="47" t="s">
        <v>6146</v>
      </c>
      <c r="C253" s="47" t="s">
        <v>6166</v>
      </c>
      <c r="D253" s="47" t="s">
        <v>6150</v>
      </c>
      <c r="E253" s="47" t="s">
        <v>398</v>
      </c>
      <c r="F253" s="47" t="s">
        <v>884</v>
      </c>
      <c r="G253" s="47" t="s">
        <v>1715</v>
      </c>
      <c r="H253" s="48" t="s">
        <v>1389</v>
      </c>
      <c r="I253" s="47">
        <v>0.6</v>
      </c>
      <c r="J253" s="51" t="s">
        <v>4404</v>
      </c>
      <c r="K253" s="51" t="s">
        <v>5713</v>
      </c>
      <c r="L253" s="49" t="s">
        <v>6147</v>
      </c>
      <c r="M253" s="49"/>
      <c r="N253" s="49" t="s">
        <v>6148</v>
      </c>
      <c r="O253" s="113" t="s">
        <v>2648</v>
      </c>
      <c r="P253" s="51"/>
      <c r="R253" s="47" t="s">
        <v>3489</v>
      </c>
      <c r="X253" s="50">
        <v>52.139099999999999</v>
      </c>
      <c r="Y253" s="50">
        <v>-106.7899</v>
      </c>
      <c r="Z253" s="49">
        <v>501</v>
      </c>
      <c r="AA253" s="156"/>
    </row>
    <row r="254" spans="1:28" s="47" customFormat="1" ht="21.75" customHeight="1" x14ac:dyDescent="0.2">
      <c r="A254" s="47" t="s">
        <v>6145</v>
      </c>
      <c r="B254" s="47" t="s">
        <v>6146</v>
      </c>
      <c r="C254" s="47" t="s">
        <v>6166</v>
      </c>
      <c r="D254" s="47" t="s">
        <v>6150</v>
      </c>
      <c r="E254" s="47" t="s">
        <v>398</v>
      </c>
      <c r="F254" s="47" t="s">
        <v>884</v>
      </c>
      <c r="G254" s="47" t="s">
        <v>1715</v>
      </c>
      <c r="H254" s="48" t="s">
        <v>1389</v>
      </c>
      <c r="I254" s="47">
        <v>0.6</v>
      </c>
      <c r="J254" s="51" t="s">
        <v>4404</v>
      </c>
      <c r="K254" s="51" t="s">
        <v>5713</v>
      </c>
      <c r="L254" s="49" t="s">
        <v>6147</v>
      </c>
      <c r="M254" s="49"/>
      <c r="N254" s="49" t="s">
        <v>6148</v>
      </c>
      <c r="O254" s="113" t="s">
        <v>6154</v>
      </c>
      <c r="P254" s="51"/>
      <c r="R254" s="47" t="s">
        <v>3489</v>
      </c>
      <c r="X254" s="50">
        <v>52.076999999999998</v>
      </c>
      <c r="Y254" s="50">
        <v>-106.2829</v>
      </c>
      <c r="Z254" s="49">
        <v>538</v>
      </c>
      <c r="AA254" s="156"/>
    </row>
    <row r="255" spans="1:28" s="47" customFormat="1" ht="21.75" customHeight="1" x14ac:dyDescent="0.2">
      <c r="A255" s="47" t="s">
        <v>6145</v>
      </c>
      <c r="B255" s="47" t="s">
        <v>6146</v>
      </c>
      <c r="C255" s="47" t="s">
        <v>6166</v>
      </c>
      <c r="D255" s="47" t="s">
        <v>6151</v>
      </c>
      <c r="E255" s="47" t="s">
        <v>398</v>
      </c>
      <c r="F255" s="47" t="s">
        <v>884</v>
      </c>
      <c r="G255" s="47" t="s">
        <v>1715</v>
      </c>
      <c r="H255" s="48" t="s">
        <v>1389</v>
      </c>
      <c r="I255" s="47">
        <v>0.57999999999999996</v>
      </c>
      <c r="J255" s="51" t="s">
        <v>4404</v>
      </c>
      <c r="K255" s="51" t="s">
        <v>5713</v>
      </c>
      <c r="L255" s="49" t="s">
        <v>6147</v>
      </c>
      <c r="M255" s="49"/>
      <c r="N255" s="49" t="s">
        <v>6148</v>
      </c>
      <c r="O255" s="113" t="s">
        <v>6152</v>
      </c>
      <c r="P255" s="51"/>
      <c r="R255" s="47" t="s">
        <v>3489</v>
      </c>
      <c r="X255" s="50">
        <v>52.693899999999999</v>
      </c>
      <c r="Y255" s="50">
        <v>-107.8172</v>
      </c>
      <c r="Z255" s="49">
        <v>554</v>
      </c>
      <c r="AA255" s="156"/>
    </row>
    <row r="256" spans="1:28" s="47" customFormat="1" ht="21.75" customHeight="1" x14ac:dyDescent="0.2">
      <c r="A256" s="47" t="s">
        <v>6145</v>
      </c>
      <c r="B256" s="47" t="s">
        <v>6146</v>
      </c>
      <c r="C256" s="47" t="s">
        <v>6166</v>
      </c>
      <c r="D256" s="47" t="s">
        <v>6151</v>
      </c>
      <c r="E256" s="47" t="s">
        <v>398</v>
      </c>
      <c r="F256" s="47" t="s">
        <v>884</v>
      </c>
      <c r="G256" s="47" t="s">
        <v>1715</v>
      </c>
      <c r="H256" s="48" t="s">
        <v>1389</v>
      </c>
      <c r="I256" s="47">
        <v>0.65</v>
      </c>
      <c r="J256" s="51" t="s">
        <v>4404</v>
      </c>
      <c r="K256" s="51" t="s">
        <v>5713</v>
      </c>
      <c r="L256" s="49" t="s">
        <v>6147</v>
      </c>
      <c r="M256" s="49"/>
      <c r="N256" s="49" t="s">
        <v>6148</v>
      </c>
      <c r="O256" s="113" t="s">
        <v>6152</v>
      </c>
      <c r="P256" s="51"/>
      <c r="R256" s="47" t="s">
        <v>6157</v>
      </c>
      <c r="X256" s="50">
        <v>52.521299999999997</v>
      </c>
      <c r="Y256" s="50">
        <v>-106.9281</v>
      </c>
      <c r="Z256" s="49">
        <v>519</v>
      </c>
      <c r="AA256" s="157"/>
    </row>
    <row r="257" spans="1:28" s="47" customFormat="1" ht="21.75" customHeight="1" x14ac:dyDescent="0.2">
      <c r="A257" s="47" t="s">
        <v>6145</v>
      </c>
      <c r="B257" s="47" t="s">
        <v>6146</v>
      </c>
      <c r="C257" s="47" t="s">
        <v>6166</v>
      </c>
      <c r="D257" s="47" t="s">
        <v>6150</v>
      </c>
      <c r="E257" s="47" t="s">
        <v>398</v>
      </c>
      <c r="F257" s="47" t="s">
        <v>884</v>
      </c>
      <c r="G257" s="47" t="s">
        <v>6179</v>
      </c>
      <c r="H257" s="48" t="s">
        <v>6159</v>
      </c>
      <c r="I257" s="47">
        <v>1.02</v>
      </c>
      <c r="J257" s="51" t="s">
        <v>4404</v>
      </c>
      <c r="K257" s="51" t="s">
        <v>5713</v>
      </c>
      <c r="L257" s="49" t="s">
        <v>6147</v>
      </c>
      <c r="M257" s="49"/>
      <c r="N257" s="49" t="s">
        <v>6148</v>
      </c>
      <c r="O257" s="113" t="s">
        <v>6152</v>
      </c>
      <c r="P257" s="51"/>
      <c r="R257" s="47" t="s">
        <v>3489</v>
      </c>
      <c r="X257" s="50">
        <v>52.222299999999997</v>
      </c>
      <c r="Y257" s="50">
        <v>-107.78279999999999</v>
      </c>
      <c r="Z257" s="49">
        <v>693</v>
      </c>
      <c r="AA257" s="155" t="s">
        <v>6180</v>
      </c>
    </row>
    <row r="258" spans="1:28" s="47" customFormat="1" ht="21.75" customHeight="1" x14ac:dyDescent="0.2">
      <c r="A258" s="47" t="s">
        <v>6145</v>
      </c>
      <c r="B258" s="47" t="s">
        <v>6146</v>
      </c>
      <c r="C258" s="47" t="s">
        <v>6166</v>
      </c>
      <c r="D258" s="47" t="s">
        <v>6150</v>
      </c>
      <c r="E258" s="47" t="s">
        <v>398</v>
      </c>
      <c r="F258" s="47" t="s">
        <v>884</v>
      </c>
      <c r="G258" s="47" t="s">
        <v>6179</v>
      </c>
      <c r="H258" s="48" t="s">
        <v>6159</v>
      </c>
      <c r="I258" s="47">
        <v>0.6</v>
      </c>
      <c r="J258" s="51" t="s">
        <v>4404</v>
      </c>
      <c r="K258" s="51" t="s">
        <v>5713</v>
      </c>
      <c r="L258" s="49" t="s">
        <v>6147</v>
      </c>
      <c r="M258" s="49"/>
      <c r="N258" s="49" t="s">
        <v>6148</v>
      </c>
      <c r="O258" s="113" t="s">
        <v>2648</v>
      </c>
      <c r="P258" s="51"/>
      <c r="R258" s="47" t="s">
        <v>3489</v>
      </c>
      <c r="X258" s="50">
        <v>52.139099999999999</v>
      </c>
      <c r="Y258" s="50">
        <v>-106.7899</v>
      </c>
      <c r="Z258" s="49">
        <v>501</v>
      </c>
      <c r="AA258" s="156"/>
    </row>
    <row r="259" spans="1:28" s="47" customFormat="1" ht="21.75" customHeight="1" x14ac:dyDescent="0.2">
      <c r="A259" s="47" t="s">
        <v>6145</v>
      </c>
      <c r="B259" s="47" t="s">
        <v>6146</v>
      </c>
      <c r="C259" s="47" t="s">
        <v>6166</v>
      </c>
      <c r="D259" s="47" t="s">
        <v>6150</v>
      </c>
      <c r="E259" s="47" t="s">
        <v>398</v>
      </c>
      <c r="F259" s="47" t="s">
        <v>884</v>
      </c>
      <c r="G259" s="47" t="s">
        <v>6179</v>
      </c>
      <c r="H259" s="48" t="s">
        <v>6159</v>
      </c>
      <c r="I259" s="47">
        <v>0.68</v>
      </c>
      <c r="J259" s="51" t="s">
        <v>4404</v>
      </c>
      <c r="K259" s="51" t="s">
        <v>5713</v>
      </c>
      <c r="L259" s="49" t="s">
        <v>6147</v>
      </c>
      <c r="M259" s="49"/>
      <c r="N259" s="49" t="s">
        <v>6148</v>
      </c>
      <c r="O259" s="113" t="s">
        <v>6155</v>
      </c>
      <c r="P259" s="51"/>
      <c r="R259" s="47" t="s">
        <v>3489</v>
      </c>
      <c r="X259" s="50">
        <v>51.818800000000003</v>
      </c>
      <c r="Y259" s="50">
        <v>-106.2573</v>
      </c>
      <c r="Z259" s="49">
        <v>543</v>
      </c>
      <c r="AA259" s="156"/>
    </row>
    <row r="260" spans="1:28" s="47" customFormat="1" ht="21.75" customHeight="1" x14ac:dyDescent="0.2">
      <c r="A260" s="47" t="s">
        <v>6145</v>
      </c>
      <c r="B260" s="47" t="s">
        <v>6146</v>
      </c>
      <c r="C260" s="47" t="s">
        <v>6166</v>
      </c>
      <c r="D260" s="47" t="s">
        <v>6151</v>
      </c>
      <c r="E260" s="47" t="s">
        <v>398</v>
      </c>
      <c r="F260" s="47" t="s">
        <v>884</v>
      </c>
      <c r="G260" s="47" t="s">
        <v>6179</v>
      </c>
      <c r="H260" s="48" t="s">
        <v>6159</v>
      </c>
      <c r="I260" s="47">
        <v>0.8</v>
      </c>
      <c r="J260" s="51" t="s">
        <v>4404</v>
      </c>
      <c r="K260" s="51" t="s">
        <v>5713</v>
      </c>
      <c r="L260" s="49" t="s">
        <v>6147</v>
      </c>
      <c r="M260" s="49"/>
      <c r="N260" s="49" t="s">
        <v>6148</v>
      </c>
      <c r="O260" s="113" t="s">
        <v>6152</v>
      </c>
      <c r="P260" s="51"/>
      <c r="R260" s="47" t="s">
        <v>3489</v>
      </c>
      <c r="X260" s="50">
        <v>52.693899999999999</v>
      </c>
      <c r="Y260" s="50">
        <v>-107.8172</v>
      </c>
      <c r="Z260" s="49">
        <v>554</v>
      </c>
      <c r="AA260" s="156"/>
    </row>
    <row r="261" spans="1:28" s="47" customFormat="1" ht="21.75" customHeight="1" x14ac:dyDescent="0.2">
      <c r="A261" s="47" t="s">
        <v>6145</v>
      </c>
      <c r="B261" s="47" t="s">
        <v>6146</v>
      </c>
      <c r="C261" s="47" t="s">
        <v>6166</v>
      </c>
      <c r="D261" s="47" t="s">
        <v>6151</v>
      </c>
      <c r="E261" s="47" t="s">
        <v>398</v>
      </c>
      <c r="F261" s="47" t="s">
        <v>884</v>
      </c>
      <c r="G261" s="47" t="s">
        <v>6179</v>
      </c>
      <c r="H261" s="48" t="s">
        <v>6159</v>
      </c>
      <c r="I261" s="47">
        <v>1.1000000000000001</v>
      </c>
      <c r="J261" s="51" t="s">
        <v>4404</v>
      </c>
      <c r="K261" s="51" t="s">
        <v>5713</v>
      </c>
      <c r="L261" s="49" t="s">
        <v>6147</v>
      </c>
      <c r="M261" s="49"/>
      <c r="N261" s="49" t="s">
        <v>6148</v>
      </c>
      <c r="O261" s="113" t="s">
        <v>6152</v>
      </c>
      <c r="P261" s="51"/>
      <c r="R261" s="47" t="s">
        <v>6157</v>
      </c>
      <c r="X261" s="50">
        <v>52.521299999999997</v>
      </c>
      <c r="Y261" s="50">
        <v>-106.9281</v>
      </c>
      <c r="Z261" s="49">
        <v>519</v>
      </c>
      <c r="AA261" s="157"/>
    </row>
    <row r="262" spans="1:28" s="47" customFormat="1" ht="21.75" customHeight="1" x14ac:dyDescent="0.2">
      <c r="A262" s="47" t="s">
        <v>6145</v>
      </c>
      <c r="B262" s="47" t="s">
        <v>6146</v>
      </c>
      <c r="C262" s="47" t="s">
        <v>6166</v>
      </c>
      <c r="D262" s="47" t="s">
        <v>6149</v>
      </c>
      <c r="E262" s="47" t="s">
        <v>398</v>
      </c>
      <c r="F262" s="47" t="s">
        <v>6182</v>
      </c>
      <c r="G262" s="47" t="s">
        <v>6181</v>
      </c>
      <c r="H262" s="48" t="s">
        <v>6160</v>
      </c>
      <c r="I262" s="47">
        <v>0.65</v>
      </c>
      <c r="J262" s="51" t="s">
        <v>4404</v>
      </c>
      <c r="K262" s="51" t="s">
        <v>5713</v>
      </c>
      <c r="L262" s="49" t="s">
        <v>6147</v>
      </c>
      <c r="M262" s="49"/>
      <c r="N262" s="49" t="s">
        <v>6148</v>
      </c>
      <c r="O262" s="113" t="s">
        <v>6152</v>
      </c>
      <c r="P262" s="51"/>
      <c r="R262" s="47" t="s">
        <v>3489</v>
      </c>
      <c r="X262" s="50">
        <v>49.926099999999998</v>
      </c>
      <c r="Y262" s="50">
        <v>-109.5363</v>
      </c>
      <c r="Z262" s="49">
        <v>762</v>
      </c>
      <c r="AA262" s="155" t="s">
        <v>6183</v>
      </c>
    </row>
    <row r="263" spans="1:28" s="47" customFormat="1" ht="21.75" customHeight="1" x14ac:dyDescent="0.2">
      <c r="A263" s="47" t="s">
        <v>6145</v>
      </c>
      <c r="B263" s="47" t="s">
        <v>6146</v>
      </c>
      <c r="C263" s="47" t="s">
        <v>6166</v>
      </c>
      <c r="D263" s="47" t="s">
        <v>6149</v>
      </c>
      <c r="E263" s="47" t="s">
        <v>398</v>
      </c>
      <c r="F263" s="47" t="s">
        <v>6182</v>
      </c>
      <c r="G263" s="47" t="s">
        <v>6181</v>
      </c>
      <c r="H263" s="48" t="s">
        <v>6160</v>
      </c>
      <c r="I263" s="47">
        <v>0.68</v>
      </c>
      <c r="J263" s="51" t="s">
        <v>4404</v>
      </c>
      <c r="K263" s="51" t="s">
        <v>5713</v>
      </c>
      <c r="L263" s="49" t="s">
        <v>6147</v>
      </c>
      <c r="M263" s="49"/>
      <c r="N263" s="49" t="s">
        <v>6148</v>
      </c>
      <c r="O263" s="113" t="s">
        <v>6153</v>
      </c>
      <c r="P263" s="51"/>
      <c r="R263" s="47" t="s">
        <v>3489</v>
      </c>
      <c r="X263" s="50">
        <v>49.565399999999997</v>
      </c>
      <c r="Y263" s="50">
        <v>-109.49509999999999</v>
      </c>
      <c r="Z263" s="49">
        <v>1130</v>
      </c>
      <c r="AA263" s="156"/>
    </row>
    <row r="264" spans="1:28" s="47" customFormat="1" ht="21.75" customHeight="1" x14ac:dyDescent="0.2">
      <c r="A264" s="47" t="s">
        <v>6145</v>
      </c>
      <c r="B264" s="47" t="s">
        <v>6146</v>
      </c>
      <c r="C264" s="47" t="s">
        <v>6166</v>
      </c>
      <c r="D264" s="47" t="s">
        <v>6150</v>
      </c>
      <c r="E264" s="47" t="s">
        <v>398</v>
      </c>
      <c r="F264" s="47" t="s">
        <v>6182</v>
      </c>
      <c r="G264" s="47" t="s">
        <v>6181</v>
      </c>
      <c r="H264" s="48" t="s">
        <v>6160</v>
      </c>
      <c r="I264" s="47">
        <v>0.35</v>
      </c>
      <c r="J264" s="51" t="s">
        <v>4404</v>
      </c>
      <c r="K264" s="51" t="s">
        <v>5713</v>
      </c>
      <c r="L264" s="49" t="s">
        <v>6147</v>
      </c>
      <c r="M264" s="49"/>
      <c r="N264" s="49" t="s">
        <v>6148</v>
      </c>
      <c r="O264" s="113" t="s">
        <v>6152</v>
      </c>
      <c r="P264" s="51"/>
      <c r="R264" s="47" t="s">
        <v>2538</v>
      </c>
      <c r="X264" s="50">
        <v>49.759099999999997</v>
      </c>
      <c r="Y264" s="50">
        <v>-109.5</v>
      </c>
      <c r="Z264" s="49">
        <v>971</v>
      </c>
      <c r="AA264" s="156"/>
    </row>
    <row r="265" spans="1:28" s="47" customFormat="1" ht="21.75" customHeight="1" x14ac:dyDescent="0.2">
      <c r="A265" s="47" t="s">
        <v>6145</v>
      </c>
      <c r="B265" s="47" t="s">
        <v>6146</v>
      </c>
      <c r="C265" s="47" t="s">
        <v>6166</v>
      </c>
      <c r="D265" s="47" t="s">
        <v>6150</v>
      </c>
      <c r="E265" s="47" t="s">
        <v>398</v>
      </c>
      <c r="F265" s="47" t="s">
        <v>6182</v>
      </c>
      <c r="G265" s="47" t="s">
        <v>6181</v>
      </c>
      <c r="H265" s="48" t="s">
        <v>6160</v>
      </c>
      <c r="I265" s="47">
        <v>0.35</v>
      </c>
      <c r="J265" s="51" t="s">
        <v>4404</v>
      </c>
      <c r="K265" s="51" t="s">
        <v>5713</v>
      </c>
      <c r="L265" s="49" t="s">
        <v>6147</v>
      </c>
      <c r="M265" s="49"/>
      <c r="N265" s="49" t="s">
        <v>6148</v>
      </c>
      <c r="O265" s="113" t="s">
        <v>6153</v>
      </c>
      <c r="P265" s="51"/>
      <c r="R265" s="47" t="s">
        <v>3489</v>
      </c>
      <c r="X265" s="50">
        <v>51.746299999999998</v>
      </c>
      <c r="Y265" s="50">
        <v>-106.72750000000001</v>
      </c>
      <c r="Z265" s="49">
        <v>516</v>
      </c>
      <c r="AA265" s="156"/>
    </row>
    <row r="266" spans="1:28" s="47" customFormat="1" ht="21.75" customHeight="1" x14ac:dyDescent="0.2">
      <c r="A266" s="47" t="s">
        <v>6145</v>
      </c>
      <c r="B266" s="47" t="s">
        <v>6146</v>
      </c>
      <c r="C266" s="47" t="s">
        <v>6166</v>
      </c>
      <c r="D266" s="47" t="s">
        <v>6150</v>
      </c>
      <c r="E266" s="47" t="s">
        <v>398</v>
      </c>
      <c r="F266" s="47" t="s">
        <v>6182</v>
      </c>
      <c r="G266" s="47" t="s">
        <v>6181</v>
      </c>
      <c r="H266" s="48" t="s">
        <v>6160</v>
      </c>
      <c r="I266" s="47">
        <v>0.5</v>
      </c>
      <c r="J266" s="51" t="s">
        <v>4404</v>
      </c>
      <c r="K266" s="51" t="s">
        <v>5713</v>
      </c>
      <c r="L266" s="49" t="s">
        <v>6147</v>
      </c>
      <c r="M266" s="49"/>
      <c r="N266" s="49" t="s">
        <v>6148</v>
      </c>
      <c r="O266" s="113" t="s">
        <v>2648</v>
      </c>
      <c r="P266" s="51"/>
      <c r="R266" s="47" t="s">
        <v>3489</v>
      </c>
      <c r="X266" s="50">
        <v>52.139099999999999</v>
      </c>
      <c r="Y266" s="50">
        <v>-106.7899</v>
      </c>
      <c r="Z266" s="49">
        <v>501</v>
      </c>
      <c r="AA266" s="156"/>
    </row>
    <row r="267" spans="1:28" s="47" customFormat="1" ht="21.75" customHeight="1" x14ac:dyDescent="0.2">
      <c r="A267" s="47" t="s">
        <v>6145</v>
      </c>
      <c r="B267" s="47" t="s">
        <v>6146</v>
      </c>
      <c r="C267" s="47" t="s">
        <v>6166</v>
      </c>
      <c r="D267" s="47" t="s">
        <v>6150</v>
      </c>
      <c r="E267" s="47" t="s">
        <v>398</v>
      </c>
      <c r="F267" s="47" t="s">
        <v>6182</v>
      </c>
      <c r="G267" s="47" t="s">
        <v>6181</v>
      </c>
      <c r="H267" s="48" t="s">
        <v>6160</v>
      </c>
      <c r="I267" s="47">
        <v>0.6</v>
      </c>
      <c r="J267" s="51" t="s">
        <v>4404</v>
      </c>
      <c r="K267" s="51" t="s">
        <v>5713</v>
      </c>
      <c r="L267" s="49" t="s">
        <v>6147</v>
      </c>
      <c r="M267" s="49"/>
      <c r="N267" s="49" t="s">
        <v>6148</v>
      </c>
      <c r="O267" s="113" t="s">
        <v>6154</v>
      </c>
      <c r="P267" s="51"/>
      <c r="R267" s="47" t="s">
        <v>3489</v>
      </c>
      <c r="X267" s="50">
        <v>52.076999999999998</v>
      </c>
      <c r="Y267" s="50">
        <v>-106.2829</v>
      </c>
      <c r="Z267" s="49">
        <v>538</v>
      </c>
      <c r="AA267" s="156"/>
    </row>
    <row r="268" spans="1:28" s="47" customFormat="1" ht="21.75" customHeight="1" x14ac:dyDescent="0.2">
      <c r="A268" s="47" t="s">
        <v>6145</v>
      </c>
      <c r="B268" s="47" t="s">
        <v>6146</v>
      </c>
      <c r="C268" s="47" t="s">
        <v>6166</v>
      </c>
      <c r="D268" s="47" t="s">
        <v>6151</v>
      </c>
      <c r="E268" s="47" t="s">
        <v>398</v>
      </c>
      <c r="F268" s="47" t="s">
        <v>6182</v>
      </c>
      <c r="G268" s="47" t="s">
        <v>6181</v>
      </c>
      <c r="H268" s="48" t="s">
        <v>6160</v>
      </c>
      <c r="I268" s="47">
        <v>0.38</v>
      </c>
      <c r="J268" s="51" t="s">
        <v>4404</v>
      </c>
      <c r="K268" s="51" t="s">
        <v>5713</v>
      </c>
      <c r="L268" s="49" t="s">
        <v>6147</v>
      </c>
      <c r="M268" s="49"/>
      <c r="N268" s="49" t="s">
        <v>6148</v>
      </c>
      <c r="O268" s="113" t="s">
        <v>6152</v>
      </c>
      <c r="P268" s="51"/>
      <c r="R268" s="47" t="s">
        <v>3489</v>
      </c>
      <c r="X268" s="50">
        <v>52.693899999999999</v>
      </c>
      <c r="Y268" s="50">
        <v>-107.8172</v>
      </c>
      <c r="Z268" s="49">
        <v>554</v>
      </c>
      <c r="AA268" s="156"/>
    </row>
    <row r="269" spans="1:28" s="47" customFormat="1" ht="21.75" customHeight="1" x14ac:dyDescent="0.2">
      <c r="A269" s="47" t="s">
        <v>6145</v>
      </c>
      <c r="B269" s="47" t="s">
        <v>6146</v>
      </c>
      <c r="C269" s="47" t="s">
        <v>6166</v>
      </c>
      <c r="D269" s="47" t="s">
        <v>6151</v>
      </c>
      <c r="E269" s="47" t="s">
        <v>398</v>
      </c>
      <c r="F269" s="47" t="s">
        <v>6182</v>
      </c>
      <c r="G269" s="47" t="s">
        <v>6181</v>
      </c>
      <c r="H269" s="48" t="s">
        <v>6160</v>
      </c>
      <c r="I269" s="47">
        <v>0.65</v>
      </c>
      <c r="J269" s="51" t="s">
        <v>4404</v>
      </c>
      <c r="K269" s="51" t="s">
        <v>5713</v>
      </c>
      <c r="L269" s="49" t="s">
        <v>6147</v>
      </c>
      <c r="M269" s="49"/>
      <c r="N269" s="49" t="s">
        <v>6148</v>
      </c>
      <c r="O269" s="113" t="s">
        <v>6152</v>
      </c>
      <c r="P269" s="51"/>
      <c r="R269" s="47" t="s">
        <v>6157</v>
      </c>
      <c r="X269" s="50">
        <v>52.521299999999997</v>
      </c>
      <c r="Y269" s="50">
        <v>-106.9281</v>
      </c>
      <c r="Z269" s="49">
        <v>519</v>
      </c>
      <c r="AA269" s="157"/>
    </row>
    <row r="270" spans="1:28" s="47" customFormat="1" ht="21.75" customHeight="1" x14ac:dyDescent="0.2">
      <c r="A270" s="47" t="s">
        <v>6145</v>
      </c>
      <c r="B270" s="47" t="s">
        <v>6146</v>
      </c>
      <c r="C270" s="47" t="s">
        <v>6166</v>
      </c>
      <c r="D270" s="47" t="s">
        <v>6150</v>
      </c>
      <c r="E270" s="47" t="s">
        <v>398</v>
      </c>
      <c r="F270" s="47" t="s">
        <v>884</v>
      </c>
      <c r="G270" s="47" t="s">
        <v>6186</v>
      </c>
      <c r="H270" s="48" t="s">
        <v>6184</v>
      </c>
      <c r="I270" s="47">
        <v>1.1000000000000001</v>
      </c>
      <c r="J270" s="51" t="s">
        <v>4404</v>
      </c>
      <c r="K270" s="51" t="s">
        <v>5713</v>
      </c>
      <c r="L270" s="49" t="s">
        <v>6147</v>
      </c>
      <c r="M270" s="49"/>
      <c r="N270" s="49" t="s">
        <v>6148</v>
      </c>
      <c r="O270" s="113" t="s">
        <v>2648</v>
      </c>
      <c r="P270" s="51"/>
      <c r="R270" s="47" t="s">
        <v>3489</v>
      </c>
      <c r="X270" s="50">
        <v>52.139099999999999</v>
      </c>
      <c r="Y270" s="50">
        <v>-106.7899</v>
      </c>
      <c r="Z270" s="49">
        <v>501</v>
      </c>
      <c r="AA270" s="47" t="s">
        <v>6185</v>
      </c>
      <c r="AB270" s="47" t="s">
        <v>6187</v>
      </c>
    </row>
    <row r="271" spans="1:28" s="47" customFormat="1" ht="21.75" customHeight="1" x14ac:dyDescent="0.2">
      <c r="A271" s="47" t="s">
        <v>6145</v>
      </c>
      <c r="B271" s="47" t="s">
        <v>6146</v>
      </c>
      <c r="C271" s="47" t="s">
        <v>6166</v>
      </c>
      <c r="D271" s="47" t="s">
        <v>6150</v>
      </c>
      <c r="E271" s="47" t="s">
        <v>398</v>
      </c>
      <c r="F271" s="47" t="s">
        <v>6170</v>
      </c>
      <c r="G271" s="47" t="s">
        <v>6188</v>
      </c>
      <c r="H271" s="48" t="s">
        <v>1606</v>
      </c>
      <c r="I271" s="47">
        <v>1.8</v>
      </c>
      <c r="J271" s="51" t="s">
        <v>4404</v>
      </c>
      <c r="K271" s="51" t="s">
        <v>5713</v>
      </c>
      <c r="L271" s="49" t="s">
        <v>6147</v>
      </c>
      <c r="M271" s="49"/>
      <c r="N271" s="49" t="s">
        <v>6148</v>
      </c>
      <c r="O271" s="113" t="s">
        <v>6152</v>
      </c>
      <c r="P271" s="51"/>
      <c r="R271" s="47" t="s">
        <v>2538</v>
      </c>
      <c r="X271" s="50">
        <v>49.759099999999997</v>
      </c>
      <c r="Y271" s="50">
        <v>-109.5</v>
      </c>
      <c r="Z271" s="49">
        <v>971</v>
      </c>
      <c r="AA271" s="47" t="s">
        <v>6190</v>
      </c>
      <c r="AB271" s="47" t="s">
        <v>6189</v>
      </c>
    </row>
    <row r="272" spans="1:28" s="47" customFormat="1" ht="21.75" customHeight="1" x14ac:dyDescent="0.2">
      <c r="A272" s="47" t="s">
        <v>6145</v>
      </c>
      <c r="B272" s="47" t="s">
        <v>6146</v>
      </c>
      <c r="C272" s="47" t="s">
        <v>6166</v>
      </c>
      <c r="D272" s="47" t="s">
        <v>6150</v>
      </c>
      <c r="E272" s="47" t="s">
        <v>398</v>
      </c>
      <c r="F272" s="47" t="s">
        <v>884</v>
      </c>
      <c r="G272" s="47" t="s">
        <v>1616</v>
      </c>
      <c r="H272" s="48" t="s">
        <v>1615</v>
      </c>
      <c r="I272" s="47">
        <v>0.78</v>
      </c>
      <c r="J272" s="51" t="s">
        <v>4404</v>
      </c>
      <c r="K272" s="51" t="s">
        <v>5713</v>
      </c>
      <c r="L272" s="49" t="s">
        <v>6147</v>
      </c>
      <c r="M272" s="49"/>
      <c r="N272" s="49" t="s">
        <v>6148</v>
      </c>
      <c r="O272" s="113" t="s">
        <v>6152</v>
      </c>
      <c r="P272" s="51"/>
      <c r="R272" s="47" t="s">
        <v>2538</v>
      </c>
      <c r="X272" s="50">
        <v>49.759099999999997</v>
      </c>
      <c r="Y272" s="50">
        <v>-109.5</v>
      </c>
      <c r="Z272" s="49">
        <v>971</v>
      </c>
      <c r="AA272" s="53" t="s">
        <v>6191</v>
      </c>
      <c r="AB272" s="47" t="s">
        <v>6189</v>
      </c>
    </row>
    <row r="273" spans="1:28" s="47" customFormat="1" ht="21.75" customHeight="1" x14ac:dyDescent="0.2">
      <c r="A273" s="47" t="s">
        <v>6145</v>
      </c>
      <c r="B273" s="47" t="s">
        <v>6146</v>
      </c>
      <c r="C273" s="47" t="s">
        <v>6166</v>
      </c>
      <c r="D273" s="47" t="s">
        <v>6149</v>
      </c>
      <c r="E273" s="47" t="s">
        <v>398</v>
      </c>
      <c r="F273" s="47" t="s">
        <v>6193</v>
      </c>
      <c r="G273" s="47" t="s">
        <v>6192</v>
      </c>
      <c r="H273" s="48" t="s">
        <v>1539</v>
      </c>
      <c r="I273" s="47">
        <v>1.47</v>
      </c>
      <c r="J273" s="51" t="s">
        <v>4404</v>
      </c>
      <c r="K273" s="51" t="s">
        <v>5713</v>
      </c>
      <c r="L273" s="49" t="s">
        <v>6147</v>
      </c>
      <c r="M273" s="49"/>
      <c r="N273" s="49" t="s">
        <v>6148</v>
      </c>
      <c r="O273" s="113" t="s">
        <v>6152</v>
      </c>
      <c r="P273" s="51"/>
      <c r="R273" s="47" t="s">
        <v>3489</v>
      </c>
      <c r="X273" s="50">
        <v>49.1008</v>
      </c>
      <c r="Y273" s="50">
        <v>-109.9123</v>
      </c>
      <c r="Z273" s="49">
        <v>882</v>
      </c>
      <c r="AA273" s="155" t="s">
        <v>6194</v>
      </c>
      <c r="AB273" s="155" t="s">
        <v>6195</v>
      </c>
    </row>
    <row r="274" spans="1:28" s="47" customFormat="1" ht="21.75" customHeight="1" x14ac:dyDescent="0.2">
      <c r="A274" s="47" t="s">
        <v>6145</v>
      </c>
      <c r="B274" s="47" t="s">
        <v>6146</v>
      </c>
      <c r="C274" s="47" t="s">
        <v>6166</v>
      </c>
      <c r="D274" s="47" t="s">
        <v>6149</v>
      </c>
      <c r="E274" s="47" t="s">
        <v>398</v>
      </c>
      <c r="F274" s="47" t="s">
        <v>6193</v>
      </c>
      <c r="G274" s="47" t="s">
        <v>6192</v>
      </c>
      <c r="H274" s="48" t="s">
        <v>1539</v>
      </c>
      <c r="I274" s="47">
        <v>1.02</v>
      </c>
      <c r="J274" s="51" t="s">
        <v>4404</v>
      </c>
      <c r="K274" s="51" t="s">
        <v>5713</v>
      </c>
      <c r="L274" s="49" t="s">
        <v>6147</v>
      </c>
      <c r="M274" s="49"/>
      <c r="N274" s="49" t="s">
        <v>6148</v>
      </c>
      <c r="O274" s="113" t="s">
        <v>6153</v>
      </c>
      <c r="P274" s="51"/>
      <c r="R274" s="47" t="s">
        <v>3489</v>
      </c>
      <c r="X274" s="50">
        <v>49.565399999999997</v>
      </c>
      <c r="Y274" s="50">
        <v>-109.49509999999999</v>
      </c>
      <c r="Z274" s="49">
        <v>1130</v>
      </c>
      <c r="AA274" s="156"/>
      <c r="AB274" s="156"/>
    </row>
    <row r="275" spans="1:28" s="47" customFormat="1" ht="21.75" customHeight="1" x14ac:dyDescent="0.2">
      <c r="A275" s="47" t="s">
        <v>6145</v>
      </c>
      <c r="B275" s="47" t="s">
        <v>6146</v>
      </c>
      <c r="C275" s="47" t="s">
        <v>6166</v>
      </c>
      <c r="D275" s="47" t="s">
        <v>6150</v>
      </c>
      <c r="E275" s="47" t="s">
        <v>398</v>
      </c>
      <c r="F275" s="47" t="s">
        <v>6193</v>
      </c>
      <c r="G275" s="47" t="s">
        <v>6192</v>
      </c>
      <c r="H275" s="48" t="s">
        <v>1539</v>
      </c>
      <c r="I275" s="47">
        <v>0.81</v>
      </c>
      <c r="J275" s="51" t="s">
        <v>4404</v>
      </c>
      <c r="K275" s="51" t="s">
        <v>5713</v>
      </c>
      <c r="L275" s="49" t="s">
        <v>6147</v>
      </c>
      <c r="M275" s="49"/>
      <c r="N275" s="49" t="s">
        <v>6148</v>
      </c>
      <c r="O275" s="113" t="s">
        <v>6152</v>
      </c>
      <c r="P275" s="51"/>
      <c r="R275" s="47" t="s">
        <v>3489</v>
      </c>
      <c r="X275" s="50">
        <v>52.222299999999997</v>
      </c>
      <c r="Y275" s="50">
        <v>-107.78279999999999</v>
      </c>
      <c r="Z275" s="49">
        <v>693</v>
      </c>
      <c r="AA275" s="156"/>
      <c r="AB275" s="156"/>
    </row>
    <row r="276" spans="1:28" s="47" customFormat="1" ht="21.75" customHeight="1" x14ac:dyDescent="0.2">
      <c r="A276" s="47" t="s">
        <v>6145</v>
      </c>
      <c r="B276" s="47" t="s">
        <v>6146</v>
      </c>
      <c r="C276" s="47" t="s">
        <v>6166</v>
      </c>
      <c r="D276" s="47" t="s">
        <v>6150</v>
      </c>
      <c r="E276" s="47" t="s">
        <v>398</v>
      </c>
      <c r="F276" s="47" t="s">
        <v>6193</v>
      </c>
      <c r="G276" s="47" t="s">
        <v>6192</v>
      </c>
      <c r="H276" s="48" t="s">
        <v>1539</v>
      </c>
      <c r="I276" s="47">
        <v>0.88</v>
      </c>
      <c r="J276" s="51" t="s">
        <v>4404</v>
      </c>
      <c r="K276" s="51" t="s">
        <v>5713</v>
      </c>
      <c r="L276" s="49" t="s">
        <v>6147</v>
      </c>
      <c r="M276" s="49"/>
      <c r="N276" s="49" t="s">
        <v>6148</v>
      </c>
      <c r="O276" s="113" t="s">
        <v>6152</v>
      </c>
      <c r="P276" s="51"/>
      <c r="R276" s="47" t="s">
        <v>2538</v>
      </c>
      <c r="X276" s="50">
        <v>49.759099999999997</v>
      </c>
      <c r="Y276" s="50">
        <v>-109.5</v>
      </c>
      <c r="Z276" s="49">
        <v>971</v>
      </c>
      <c r="AA276" s="156"/>
      <c r="AB276" s="156"/>
    </row>
    <row r="277" spans="1:28" s="47" customFormat="1" ht="21.75" customHeight="1" x14ac:dyDescent="0.2">
      <c r="A277" s="47" t="s">
        <v>6145</v>
      </c>
      <c r="B277" s="47" t="s">
        <v>6146</v>
      </c>
      <c r="C277" s="47" t="s">
        <v>6166</v>
      </c>
      <c r="D277" s="47" t="s">
        <v>6150</v>
      </c>
      <c r="E277" s="47" t="s">
        <v>398</v>
      </c>
      <c r="F277" s="47" t="s">
        <v>6193</v>
      </c>
      <c r="G277" s="47" t="s">
        <v>6192</v>
      </c>
      <c r="H277" s="48" t="s">
        <v>1539</v>
      </c>
      <c r="I277" s="47">
        <v>0.51</v>
      </c>
      <c r="J277" s="51" t="s">
        <v>4404</v>
      </c>
      <c r="K277" s="51" t="s">
        <v>5713</v>
      </c>
      <c r="L277" s="49" t="s">
        <v>6147</v>
      </c>
      <c r="M277" s="49"/>
      <c r="N277" s="49" t="s">
        <v>6148</v>
      </c>
      <c r="O277" s="113" t="s">
        <v>6153</v>
      </c>
      <c r="P277" s="51"/>
      <c r="R277" s="47" t="s">
        <v>3489</v>
      </c>
      <c r="X277" s="50">
        <v>51.746299999999998</v>
      </c>
      <c r="Y277" s="50">
        <v>-106.72750000000001</v>
      </c>
      <c r="Z277" s="49">
        <v>516</v>
      </c>
      <c r="AA277" s="156"/>
      <c r="AB277" s="156"/>
    </row>
    <row r="278" spans="1:28" s="47" customFormat="1" ht="21.75" customHeight="1" x14ac:dyDescent="0.2">
      <c r="A278" s="47" t="s">
        <v>6145</v>
      </c>
      <c r="B278" s="47" t="s">
        <v>6146</v>
      </c>
      <c r="C278" s="47" t="s">
        <v>6166</v>
      </c>
      <c r="D278" s="47" t="s">
        <v>6150</v>
      </c>
      <c r="E278" s="47" t="s">
        <v>398</v>
      </c>
      <c r="F278" s="47" t="s">
        <v>6193</v>
      </c>
      <c r="G278" s="47" t="s">
        <v>6192</v>
      </c>
      <c r="H278" s="48" t="s">
        <v>1539</v>
      </c>
      <c r="I278" s="47">
        <v>1.47</v>
      </c>
      <c r="J278" s="51" t="s">
        <v>4404</v>
      </c>
      <c r="K278" s="51" t="s">
        <v>5713</v>
      </c>
      <c r="L278" s="49" t="s">
        <v>6147</v>
      </c>
      <c r="M278" s="49"/>
      <c r="N278" s="49" t="s">
        <v>6148</v>
      </c>
      <c r="O278" s="113" t="s">
        <v>2648</v>
      </c>
      <c r="P278" s="51"/>
      <c r="R278" s="47" t="s">
        <v>3489</v>
      </c>
      <c r="X278" s="50">
        <v>52.139099999999999</v>
      </c>
      <c r="Y278" s="50">
        <v>-106.7899</v>
      </c>
      <c r="Z278" s="49">
        <v>501</v>
      </c>
      <c r="AA278" s="156"/>
      <c r="AB278" s="156"/>
    </row>
    <row r="279" spans="1:28" s="47" customFormat="1" ht="21.75" customHeight="1" x14ac:dyDescent="0.2">
      <c r="A279" s="47" t="s">
        <v>6145</v>
      </c>
      <c r="B279" s="47" t="s">
        <v>6146</v>
      </c>
      <c r="C279" s="47" t="s">
        <v>6166</v>
      </c>
      <c r="D279" s="47" t="s">
        <v>6150</v>
      </c>
      <c r="E279" s="47" t="s">
        <v>398</v>
      </c>
      <c r="F279" s="47" t="s">
        <v>6193</v>
      </c>
      <c r="G279" s="47" t="s">
        <v>6192</v>
      </c>
      <c r="H279" s="48" t="s">
        <v>1539</v>
      </c>
      <c r="I279" s="47">
        <v>0.78</v>
      </c>
      <c r="J279" s="51" t="s">
        <v>4404</v>
      </c>
      <c r="K279" s="51" t="s">
        <v>5713</v>
      </c>
      <c r="L279" s="49" t="s">
        <v>6147</v>
      </c>
      <c r="M279" s="49"/>
      <c r="N279" s="49" t="s">
        <v>6148</v>
      </c>
      <c r="O279" s="113" t="s">
        <v>6154</v>
      </c>
      <c r="P279" s="51"/>
      <c r="R279" s="47" t="s">
        <v>3489</v>
      </c>
      <c r="X279" s="50">
        <v>52.076999999999998</v>
      </c>
      <c r="Y279" s="50">
        <v>-106.2829</v>
      </c>
      <c r="Z279" s="49">
        <v>538</v>
      </c>
      <c r="AA279" s="156"/>
      <c r="AB279" s="156"/>
    </row>
    <row r="280" spans="1:28" s="47" customFormat="1" ht="21.75" customHeight="1" x14ac:dyDescent="0.2">
      <c r="A280" s="47" t="s">
        <v>6145</v>
      </c>
      <c r="B280" s="47" t="s">
        <v>6146</v>
      </c>
      <c r="C280" s="47" t="s">
        <v>6166</v>
      </c>
      <c r="D280" s="47" t="s">
        <v>6150</v>
      </c>
      <c r="E280" s="47" t="s">
        <v>398</v>
      </c>
      <c r="F280" s="47" t="s">
        <v>6193</v>
      </c>
      <c r="G280" s="47" t="s">
        <v>6192</v>
      </c>
      <c r="H280" s="48" t="s">
        <v>1539</v>
      </c>
      <c r="I280" s="47">
        <v>0.66</v>
      </c>
      <c r="J280" s="51" t="s">
        <v>4404</v>
      </c>
      <c r="K280" s="51" t="s">
        <v>5713</v>
      </c>
      <c r="L280" s="49" t="s">
        <v>6147</v>
      </c>
      <c r="M280" s="49"/>
      <c r="N280" s="49" t="s">
        <v>6148</v>
      </c>
      <c r="O280" s="113" t="s">
        <v>6155</v>
      </c>
      <c r="P280" s="51"/>
      <c r="R280" s="47" t="s">
        <v>3489</v>
      </c>
      <c r="X280" s="50">
        <v>51.818800000000003</v>
      </c>
      <c r="Y280" s="50">
        <v>-106.2573</v>
      </c>
      <c r="Z280" s="49">
        <v>543</v>
      </c>
      <c r="AA280" s="156"/>
      <c r="AB280" s="156"/>
    </row>
    <row r="281" spans="1:28" s="47" customFormat="1" ht="21.75" customHeight="1" x14ac:dyDescent="0.2">
      <c r="A281" s="47" t="s">
        <v>6145</v>
      </c>
      <c r="B281" s="47" t="s">
        <v>6146</v>
      </c>
      <c r="C281" s="47" t="s">
        <v>6166</v>
      </c>
      <c r="D281" s="47" t="s">
        <v>6151</v>
      </c>
      <c r="E281" s="47" t="s">
        <v>398</v>
      </c>
      <c r="F281" s="47" t="s">
        <v>6193</v>
      </c>
      <c r="G281" s="47" t="s">
        <v>6192</v>
      </c>
      <c r="H281" s="48" t="s">
        <v>1539</v>
      </c>
      <c r="I281" s="47">
        <v>0.66</v>
      </c>
      <c r="J281" s="51" t="s">
        <v>4404</v>
      </c>
      <c r="K281" s="51" t="s">
        <v>5713</v>
      </c>
      <c r="L281" s="49" t="s">
        <v>6147</v>
      </c>
      <c r="M281" s="49"/>
      <c r="N281" s="49" t="s">
        <v>6148</v>
      </c>
      <c r="O281" s="113" t="s">
        <v>6152</v>
      </c>
      <c r="P281" s="51"/>
      <c r="R281" s="47" t="s">
        <v>3489</v>
      </c>
      <c r="X281" s="50">
        <v>52.693899999999999</v>
      </c>
      <c r="Y281" s="50">
        <v>-107.8172</v>
      </c>
      <c r="Z281" s="49">
        <v>554</v>
      </c>
      <c r="AA281" s="157"/>
      <c r="AB281" s="157"/>
    </row>
    <row r="282" spans="1:28" s="47" customFormat="1" ht="21.75" customHeight="1" x14ac:dyDescent="0.2">
      <c r="A282" s="47" t="s">
        <v>6145</v>
      </c>
      <c r="B282" s="47" t="s">
        <v>6146</v>
      </c>
      <c r="C282" s="47" t="s">
        <v>6166</v>
      </c>
      <c r="D282" s="47" t="s">
        <v>6149</v>
      </c>
      <c r="E282" s="47" t="s">
        <v>398</v>
      </c>
      <c r="F282" s="47" t="s">
        <v>6049</v>
      </c>
      <c r="G282" s="47" t="s">
        <v>6196</v>
      </c>
      <c r="H282" s="48" t="s">
        <v>6161</v>
      </c>
      <c r="I282" s="47">
        <v>0.68</v>
      </c>
      <c r="J282" s="51" t="s">
        <v>4404</v>
      </c>
      <c r="K282" s="51" t="s">
        <v>5713</v>
      </c>
      <c r="L282" s="49" t="s">
        <v>6147</v>
      </c>
      <c r="M282" s="49"/>
      <c r="N282" s="49" t="s">
        <v>6148</v>
      </c>
      <c r="O282" s="113" t="s">
        <v>6152</v>
      </c>
      <c r="P282" s="51"/>
      <c r="R282" s="47" t="s">
        <v>3489</v>
      </c>
      <c r="X282" s="50">
        <v>49.1008</v>
      </c>
      <c r="Y282" s="50">
        <v>-109.9123</v>
      </c>
      <c r="Z282" s="49">
        <v>882</v>
      </c>
      <c r="AA282" s="155" t="s">
        <v>6197</v>
      </c>
      <c r="AB282" s="155" t="s">
        <v>6198</v>
      </c>
    </row>
    <row r="283" spans="1:28" s="47" customFormat="1" ht="21.75" customHeight="1" x14ac:dyDescent="0.2">
      <c r="A283" s="47" t="s">
        <v>6145</v>
      </c>
      <c r="B283" s="47" t="s">
        <v>6146</v>
      </c>
      <c r="C283" s="47" t="s">
        <v>6166</v>
      </c>
      <c r="D283" s="47" t="s">
        <v>6149</v>
      </c>
      <c r="E283" s="47" t="s">
        <v>398</v>
      </c>
      <c r="F283" s="47" t="s">
        <v>6049</v>
      </c>
      <c r="G283" s="47" t="s">
        <v>6196</v>
      </c>
      <c r="H283" s="48" t="s">
        <v>6161</v>
      </c>
      <c r="I283" s="47">
        <v>0.66</v>
      </c>
      <c r="J283" s="51" t="s">
        <v>4404</v>
      </c>
      <c r="K283" s="51" t="s">
        <v>5713</v>
      </c>
      <c r="L283" s="49" t="s">
        <v>6147</v>
      </c>
      <c r="M283" s="49"/>
      <c r="N283" s="49" t="s">
        <v>6148</v>
      </c>
      <c r="O283" s="113" t="s">
        <v>6153</v>
      </c>
      <c r="P283" s="51"/>
      <c r="R283" s="47" t="s">
        <v>3489</v>
      </c>
      <c r="X283" s="50">
        <v>49.565399999999997</v>
      </c>
      <c r="Y283" s="50">
        <v>-109.49509999999999</v>
      </c>
      <c r="Z283" s="49">
        <v>1130</v>
      </c>
      <c r="AA283" s="156"/>
      <c r="AB283" s="156"/>
    </row>
    <row r="284" spans="1:28" s="47" customFormat="1" ht="21.75" customHeight="1" x14ac:dyDescent="0.2">
      <c r="A284" s="47" t="s">
        <v>6145</v>
      </c>
      <c r="B284" s="47" t="s">
        <v>6146</v>
      </c>
      <c r="C284" s="47" t="s">
        <v>6166</v>
      </c>
      <c r="D284" s="47" t="s">
        <v>6150</v>
      </c>
      <c r="E284" s="47" t="s">
        <v>398</v>
      </c>
      <c r="F284" s="47" t="s">
        <v>6049</v>
      </c>
      <c r="G284" s="47" t="s">
        <v>6196</v>
      </c>
      <c r="H284" s="48" t="s">
        <v>6161</v>
      </c>
      <c r="I284" s="47">
        <v>0.41</v>
      </c>
      <c r="J284" s="51" t="s">
        <v>4404</v>
      </c>
      <c r="K284" s="51" t="s">
        <v>5713</v>
      </c>
      <c r="L284" s="49" t="s">
        <v>6147</v>
      </c>
      <c r="M284" s="49"/>
      <c r="N284" s="49" t="s">
        <v>6148</v>
      </c>
      <c r="O284" s="113" t="s">
        <v>6152</v>
      </c>
      <c r="P284" s="51"/>
      <c r="R284" s="47" t="s">
        <v>2538</v>
      </c>
      <c r="X284" s="50">
        <v>49.759099999999997</v>
      </c>
      <c r="Y284" s="50">
        <v>-109.5</v>
      </c>
      <c r="Z284" s="49">
        <v>971</v>
      </c>
      <c r="AA284" s="156"/>
      <c r="AB284" s="156"/>
    </row>
    <row r="285" spans="1:28" s="47" customFormat="1" ht="21.75" customHeight="1" x14ac:dyDescent="0.2">
      <c r="A285" s="47" t="s">
        <v>6145</v>
      </c>
      <c r="B285" s="47" t="s">
        <v>6146</v>
      </c>
      <c r="C285" s="47" t="s">
        <v>6166</v>
      </c>
      <c r="D285" s="47" t="s">
        <v>6150</v>
      </c>
      <c r="E285" s="47" t="s">
        <v>398</v>
      </c>
      <c r="F285" s="47" t="s">
        <v>6049</v>
      </c>
      <c r="G285" s="47" t="s">
        <v>6196</v>
      </c>
      <c r="H285" s="48" t="s">
        <v>6161</v>
      </c>
      <c r="I285" s="47">
        <v>0.3</v>
      </c>
      <c r="J285" s="51" t="s">
        <v>4404</v>
      </c>
      <c r="K285" s="51" t="s">
        <v>5713</v>
      </c>
      <c r="L285" s="49" t="s">
        <v>6147</v>
      </c>
      <c r="M285" s="49"/>
      <c r="N285" s="49" t="s">
        <v>6148</v>
      </c>
      <c r="O285" s="113" t="s">
        <v>6153</v>
      </c>
      <c r="P285" s="51"/>
      <c r="R285" s="47" t="s">
        <v>3489</v>
      </c>
      <c r="X285" s="50">
        <v>52.222299999999997</v>
      </c>
      <c r="Y285" s="50">
        <v>-107.78279999999999</v>
      </c>
      <c r="Z285" s="49">
        <v>693</v>
      </c>
      <c r="AA285" s="156"/>
      <c r="AB285" s="156"/>
    </row>
    <row r="286" spans="1:28" s="47" customFormat="1" ht="21.75" customHeight="1" x14ac:dyDescent="0.2">
      <c r="A286" s="47" t="s">
        <v>6145</v>
      </c>
      <c r="B286" s="47" t="s">
        <v>6146</v>
      </c>
      <c r="C286" s="47" t="s">
        <v>6166</v>
      </c>
      <c r="D286" s="47" t="s">
        <v>6150</v>
      </c>
      <c r="E286" s="47" t="s">
        <v>398</v>
      </c>
      <c r="F286" s="47" t="s">
        <v>6049</v>
      </c>
      <c r="G286" s="47" t="s">
        <v>6196</v>
      </c>
      <c r="H286" s="48" t="s">
        <v>6161</v>
      </c>
      <c r="I286" s="47">
        <v>0.76</v>
      </c>
      <c r="J286" s="51" t="s">
        <v>4404</v>
      </c>
      <c r="K286" s="51" t="s">
        <v>5713</v>
      </c>
      <c r="L286" s="49" t="s">
        <v>6147</v>
      </c>
      <c r="M286" s="49"/>
      <c r="N286" s="49" t="s">
        <v>6148</v>
      </c>
      <c r="O286" s="113" t="s">
        <v>2648</v>
      </c>
      <c r="P286" s="51"/>
      <c r="R286" s="47" t="s">
        <v>3489</v>
      </c>
      <c r="X286" s="50">
        <v>52.139099999999999</v>
      </c>
      <c r="Y286" s="50">
        <v>-106.7899</v>
      </c>
      <c r="Z286" s="49">
        <v>501</v>
      </c>
      <c r="AA286" s="156"/>
      <c r="AB286" s="156"/>
    </row>
    <row r="287" spans="1:28" s="47" customFormat="1" ht="21.75" customHeight="1" x14ac:dyDescent="0.2">
      <c r="A287" s="47" t="s">
        <v>6145</v>
      </c>
      <c r="B287" s="47" t="s">
        <v>6146</v>
      </c>
      <c r="C287" s="47" t="s">
        <v>6166</v>
      </c>
      <c r="D287" s="47" t="s">
        <v>6150</v>
      </c>
      <c r="E287" s="47" t="s">
        <v>398</v>
      </c>
      <c r="F287" s="47" t="s">
        <v>6049</v>
      </c>
      <c r="G287" s="47" t="s">
        <v>6196</v>
      </c>
      <c r="H287" s="48" t="s">
        <v>6161</v>
      </c>
      <c r="I287" s="47">
        <v>0.56000000000000005</v>
      </c>
      <c r="J287" s="51" t="s">
        <v>4404</v>
      </c>
      <c r="K287" s="51" t="s">
        <v>5713</v>
      </c>
      <c r="L287" s="49" t="s">
        <v>6147</v>
      </c>
      <c r="M287" s="49"/>
      <c r="N287" s="49" t="s">
        <v>6148</v>
      </c>
      <c r="O287" s="113" t="s">
        <v>6154</v>
      </c>
      <c r="P287" s="51"/>
      <c r="R287" s="47" t="s">
        <v>3489</v>
      </c>
      <c r="X287" s="50">
        <v>52.076999999999998</v>
      </c>
      <c r="Y287" s="50">
        <v>-106.2829</v>
      </c>
      <c r="Z287" s="49">
        <v>538</v>
      </c>
      <c r="AA287" s="156"/>
      <c r="AB287" s="156"/>
    </row>
    <row r="288" spans="1:28" s="47" customFormat="1" ht="21.75" customHeight="1" x14ac:dyDescent="0.2">
      <c r="A288" s="47" t="s">
        <v>6145</v>
      </c>
      <c r="B288" s="47" t="s">
        <v>6146</v>
      </c>
      <c r="C288" s="47" t="s">
        <v>6166</v>
      </c>
      <c r="D288" s="47" t="s">
        <v>6150</v>
      </c>
      <c r="E288" s="47" t="s">
        <v>398</v>
      </c>
      <c r="F288" s="47" t="s">
        <v>6049</v>
      </c>
      <c r="G288" s="47" t="s">
        <v>6196</v>
      </c>
      <c r="H288" s="48" t="s">
        <v>6161</v>
      </c>
      <c r="I288" s="47">
        <v>0.41</v>
      </c>
      <c r="J288" s="51" t="s">
        <v>4404</v>
      </c>
      <c r="K288" s="51" t="s">
        <v>5713</v>
      </c>
      <c r="L288" s="49" t="s">
        <v>6147</v>
      </c>
      <c r="M288" s="49"/>
      <c r="N288" s="49" t="s">
        <v>6148</v>
      </c>
      <c r="O288" s="113" t="s">
        <v>6155</v>
      </c>
      <c r="P288" s="51"/>
      <c r="R288" s="47" t="s">
        <v>3489</v>
      </c>
      <c r="X288" s="50">
        <v>51.818800000000003</v>
      </c>
      <c r="Y288" s="50">
        <v>-106.2573</v>
      </c>
      <c r="Z288" s="49">
        <v>543</v>
      </c>
      <c r="AA288" s="157"/>
      <c r="AB288" s="157"/>
    </row>
    <row r="289" spans="1:28" s="47" customFormat="1" ht="21.75" customHeight="1" x14ac:dyDescent="0.2">
      <c r="A289" s="47" t="s">
        <v>6145</v>
      </c>
      <c r="B289" s="47" t="s">
        <v>6146</v>
      </c>
      <c r="C289" s="47" t="s">
        <v>6166</v>
      </c>
      <c r="D289" s="47" t="s">
        <v>6149</v>
      </c>
      <c r="E289" s="47" t="s">
        <v>398</v>
      </c>
      <c r="F289" s="47" t="s">
        <v>6049</v>
      </c>
      <c r="G289" s="47" t="s">
        <v>6199</v>
      </c>
      <c r="H289" s="48" t="s">
        <v>6162</v>
      </c>
      <c r="I289" s="47">
        <v>0.61</v>
      </c>
      <c r="J289" s="51" t="s">
        <v>4404</v>
      </c>
      <c r="K289" s="51" t="s">
        <v>5713</v>
      </c>
      <c r="L289" s="49" t="s">
        <v>6147</v>
      </c>
      <c r="M289" s="49"/>
      <c r="N289" s="49" t="s">
        <v>6148</v>
      </c>
      <c r="O289" s="113" t="s">
        <v>6153</v>
      </c>
      <c r="P289" s="51"/>
      <c r="R289" s="47" t="s">
        <v>3489</v>
      </c>
      <c r="X289" s="50">
        <v>49.565399999999997</v>
      </c>
      <c r="Y289" s="50">
        <v>-109.49509999999999</v>
      </c>
      <c r="Z289" s="49">
        <v>1130</v>
      </c>
      <c r="AA289" s="155" t="s">
        <v>6200</v>
      </c>
    </row>
    <row r="290" spans="1:28" s="47" customFormat="1" ht="21.75" customHeight="1" x14ac:dyDescent="0.2">
      <c r="A290" s="47" t="s">
        <v>6145</v>
      </c>
      <c r="B290" s="47" t="s">
        <v>6146</v>
      </c>
      <c r="C290" s="47" t="s">
        <v>6166</v>
      </c>
      <c r="D290" s="47" t="s">
        <v>6149</v>
      </c>
      <c r="E290" s="47" t="s">
        <v>398</v>
      </c>
      <c r="F290" s="47" t="s">
        <v>6049</v>
      </c>
      <c r="G290" s="47" t="s">
        <v>6199</v>
      </c>
      <c r="H290" s="48" t="s">
        <v>6162</v>
      </c>
      <c r="I290" s="47">
        <v>0.78</v>
      </c>
      <c r="J290" s="51" t="s">
        <v>4404</v>
      </c>
      <c r="K290" s="51" t="s">
        <v>5713</v>
      </c>
      <c r="L290" s="49" t="s">
        <v>6147</v>
      </c>
      <c r="M290" s="49"/>
      <c r="N290" s="49" t="s">
        <v>6148</v>
      </c>
      <c r="O290" s="113" t="s">
        <v>2648</v>
      </c>
      <c r="P290" s="51"/>
      <c r="R290" s="47" t="s">
        <v>3489</v>
      </c>
      <c r="X290" s="50">
        <v>50.386400000000002</v>
      </c>
      <c r="Y290" s="50">
        <v>-107.6228</v>
      </c>
      <c r="Z290" s="49">
        <v>752</v>
      </c>
      <c r="AA290" s="156"/>
    </row>
    <row r="291" spans="1:28" s="47" customFormat="1" ht="21.75" customHeight="1" x14ac:dyDescent="0.2">
      <c r="A291" s="47" t="s">
        <v>6145</v>
      </c>
      <c r="B291" s="47" t="s">
        <v>6146</v>
      </c>
      <c r="C291" s="47" t="s">
        <v>6166</v>
      </c>
      <c r="D291" s="47" t="s">
        <v>6150</v>
      </c>
      <c r="E291" s="47" t="s">
        <v>398</v>
      </c>
      <c r="F291" s="47" t="s">
        <v>6049</v>
      </c>
      <c r="G291" s="47" t="s">
        <v>6199</v>
      </c>
      <c r="H291" s="48" t="s">
        <v>6162</v>
      </c>
      <c r="I291" s="47">
        <v>0.91</v>
      </c>
      <c r="J291" s="51" t="s">
        <v>4404</v>
      </c>
      <c r="K291" s="51" t="s">
        <v>5713</v>
      </c>
      <c r="L291" s="49" t="s">
        <v>6147</v>
      </c>
      <c r="M291" s="49"/>
      <c r="N291" s="49" t="s">
        <v>6148</v>
      </c>
      <c r="O291" s="113" t="s">
        <v>6152</v>
      </c>
      <c r="P291" s="51"/>
      <c r="R291" s="47" t="s">
        <v>3489</v>
      </c>
      <c r="X291" s="50">
        <v>52.222299999999997</v>
      </c>
      <c r="Y291" s="50">
        <v>-107.78279999999999</v>
      </c>
      <c r="Z291" s="49">
        <v>693</v>
      </c>
      <c r="AA291" s="156"/>
    </row>
    <row r="292" spans="1:28" s="47" customFormat="1" ht="21.75" customHeight="1" x14ac:dyDescent="0.2">
      <c r="A292" s="47" t="s">
        <v>6145</v>
      </c>
      <c r="B292" s="47" t="s">
        <v>6146</v>
      </c>
      <c r="C292" s="47" t="s">
        <v>6166</v>
      </c>
      <c r="D292" s="47" t="s">
        <v>6150</v>
      </c>
      <c r="E292" s="47" t="s">
        <v>398</v>
      </c>
      <c r="F292" s="47" t="s">
        <v>6049</v>
      </c>
      <c r="G292" s="47" t="s">
        <v>6199</v>
      </c>
      <c r="H292" s="48" t="s">
        <v>6162</v>
      </c>
      <c r="I292" s="47">
        <v>0.48</v>
      </c>
      <c r="J292" s="51" t="s">
        <v>4404</v>
      </c>
      <c r="K292" s="51" t="s">
        <v>5713</v>
      </c>
      <c r="L292" s="49" t="s">
        <v>6147</v>
      </c>
      <c r="M292" s="49"/>
      <c r="N292" s="49" t="s">
        <v>6148</v>
      </c>
      <c r="O292" s="113" t="s">
        <v>6153</v>
      </c>
      <c r="P292" s="51"/>
      <c r="R292" s="47" t="s">
        <v>3489</v>
      </c>
      <c r="X292" s="50">
        <v>51.746299999999998</v>
      </c>
      <c r="Y292" s="50">
        <v>-106.72750000000001</v>
      </c>
      <c r="Z292" s="49">
        <v>516</v>
      </c>
      <c r="AA292" s="156"/>
    </row>
    <row r="293" spans="1:28" s="47" customFormat="1" ht="21.75" customHeight="1" x14ac:dyDescent="0.2">
      <c r="A293" s="47" t="s">
        <v>6145</v>
      </c>
      <c r="B293" s="47" t="s">
        <v>6146</v>
      </c>
      <c r="C293" s="47" t="s">
        <v>6166</v>
      </c>
      <c r="D293" s="47" t="s">
        <v>6150</v>
      </c>
      <c r="E293" s="47" t="s">
        <v>398</v>
      </c>
      <c r="F293" s="47" t="s">
        <v>6049</v>
      </c>
      <c r="G293" s="47" t="s">
        <v>6199</v>
      </c>
      <c r="H293" s="48" t="s">
        <v>6162</v>
      </c>
      <c r="I293" s="47">
        <v>0.86</v>
      </c>
      <c r="J293" s="51" t="s">
        <v>4404</v>
      </c>
      <c r="K293" s="51" t="s">
        <v>5713</v>
      </c>
      <c r="L293" s="49" t="s">
        <v>6147</v>
      </c>
      <c r="M293" s="49"/>
      <c r="N293" s="49" t="s">
        <v>6148</v>
      </c>
      <c r="O293" s="113" t="s">
        <v>2648</v>
      </c>
      <c r="P293" s="51"/>
      <c r="R293" s="47" t="s">
        <v>3489</v>
      </c>
      <c r="X293" s="50">
        <v>52.139099999999999</v>
      </c>
      <c r="Y293" s="50">
        <v>-106.7899</v>
      </c>
      <c r="Z293" s="49">
        <v>501</v>
      </c>
      <c r="AA293" s="156"/>
    </row>
    <row r="294" spans="1:28" s="47" customFormat="1" ht="21.75" customHeight="1" x14ac:dyDescent="0.2">
      <c r="A294" s="47" t="s">
        <v>6145</v>
      </c>
      <c r="B294" s="47" t="s">
        <v>6146</v>
      </c>
      <c r="C294" s="47" t="s">
        <v>6166</v>
      </c>
      <c r="D294" s="47" t="s">
        <v>6150</v>
      </c>
      <c r="E294" s="47" t="s">
        <v>398</v>
      </c>
      <c r="F294" s="47" t="s">
        <v>6049</v>
      </c>
      <c r="G294" s="47" t="s">
        <v>6199</v>
      </c>
      <c r="H294" s="48" t="s">
        <v>6162</v>
      </c>
      <c r="I294" s="47">
        <v>0.68</v>
      </c>
      <c r="J294" s="51" t="s">
        <v>4404</v>
      </c>
      <c r="K294" s="51" t="s">
        <v>5713</v>
      </c>
      <c r="L294" s="49" t="s">
        <v>6147</v>
      </c>
      <c r="M294" s="49"/>
      <c r="N294" s="49" t="s">
        <v>6148</v>
      </c>
      <c r="O294" s="113" t="s">
        <v>6154</v>
      </c>
      <c r="P294" s="51"/>
      <c r="R294" s="47" t="s">
        <v>3489</v>
      </c>
      <c r="X294" s="50">
        <v>52.076999999999998</v>
      </c>
      <c r="Y294" s="50">
        <v>-106.2829</v>
      </c>
      <c r="Z294" s="49">
        <v>538</v>
      </c>
      <c r="AA294" s="156"/>
    </row>
    <row r="295" spans="1:28" s="47" customFormat="1" ht="21.75" customHeight="1" x14ac:dyDescent="0.2">
      <c r="A295" s="47" t="s">
        <v>6145</v>
      </c>
      <c r="B295" s="47" t="s">
        <v>6146</v>
      </c>
      <c r="C295" s="47" t="s">
        <v>6166</v>
      </c>
      <c r="D295" s="47" t="s">
        <v>6150</v>
      </c>
      <c r="E295" s="47" t="s">
        <v>398</v>
      </c>
      <c r="F295" s="47" t="s">
        <v>6049</v>
      </c>
      <c r="G295" s="47" t="s">
        <v>6199</v>
      </c>
      <c r="H295" s="48" t="s">
        <v>6162</v>
      </c>
      <c r="I295" s="47">
        <v>0.51</v>
      </c>
      <c r="J295" s="51" t="s">
        <v>4404</v>
      </c>
      <c r="K295" s="51" t="s">
        <v>5713</v>
      </c>
      <c r="L295" s="49" t="s">
        <v>6147</v>
      </c>
      <c r="M295" s="49"/>
      <c r="N295" s="49" t="s">
        <v>6148</v>
      </c>
      <c r="O295" s="113" t="s">
        <v>6155</v>
      </c>
      <c r="P295" s="51"/>
      <c r="R295" s="47" t="s">
        <v>3489</v>
      </c>
      <c r="X295" s="50">
        <v>51.818800000000003</v>
      </c>
      <c r="Y295" s="50">
        <v>-106.2573</v>
      </c>
      <c r="Z295" s="49">
        <v>543</v>
      </c>
      <c r="AA295" s="156"/>
    </row>
    <row r="296" spans="1:28" s="47" customFormat="1" ht="21.75" customHeight="1" x14ac:dyDescent="0.2">
      <c r="A296" s="47" t="s">
        <v>6145</v>
      </c>
      <c r="B296" s="47" t="s">
        <v>6146</v>
      </c>
      <c r="C296" s="47" t="s">
        <v>6166</v>
      </c>
      <c r="D296" s="47" t="s">
        <v>6151</v>
      </c>
      <c r="E296" s="47" t="s">
        <v>398</v>
      </c>
      <c r="F296" s="47" t="s">
        <v>6049</v>
      </c>
      <c r="G296" s="47" t="s">
        <v>6199</v>
      </c>
      <c r="H296" s="48" t="s">
        <v>6162</v>
      </c>
      <c r="I296" s="47">
        <v>0.81</v>
      </c>
      <c r="J296" s="51" t="s">
        <v>4404</v>
      </c>
      <c r="K296" s="51" t="s">
        <v>5713</v>
      </c>
      <c r="L296" s="49" t="s">
        <v>6147</v>
      </c>
      <c r="M296" s="49"/>
      <c r="N296" s="49" t="s">
        <v>6148</v>
      </c>
      <c r="O296" s="113" t="s">
        <v>6152</v>
      </c>
      <c r="P296" s="51"/>
      <c r="R296" s="47" t="s">
        <v>3489</v>
      </c>
      <c r="X296" s="50">
        <v>52.693899999999999</v>
      </c>
      <c r="Y296" s="50">
        <v>-107.8172</v>
      </c>
      <c r="Z296" s="49">
        <v>554</v>
      </c>
      <c r="AA296" s="156"/>
    </row>
    <row r="297" spans="1:28" s="47" customFormat="1" ht="21.75" customHeight="1" x14ac:dyDescent="0.2">
      <c r="A297" s="47" t="s">
        <v>6145</v>
      </c>
      <c r="B297" s="47" t="s">
        <v>6146</v>
      </c>
      <c r="C297" s="47" t="s">
        <v>6166</v>
      </c>
      <c r="D297" s="47" t="s">
        <v>6151</v>
      </c>
      <c r="E297" s="47" t="s">
        <v>398</v>
      </c>
      <c r="F297" s="47" t="s">
        <v>6049</v>
      </c>
      <c r="G297" s="47" t="s">
        <v>6199</v>
      </c>
      <c r="H297" s="48" t="s">
        <v>6162</v>
      </c>
      <c r="I297" s="47">
        <v>1.22</v>
      </c>
      <c r="J297" s="51" t="s">
        <v>4404</v>
      </c>
      <c r="K297" s="51" t="s">
        <v>5713</v>
      </c>
      <c r="L297" s="49" t="s">
        <v>6147</v>
      </c>
      <c r="M297" s="49"/>
      <c r="N297" s="49" t="s">
        <v>6148</v>
      </c>
      <c r="O297" s="113" t="s">
        <v>6152</v>
      </c>
      <c r="P297" s="51"/>
      <c r="R297" s="47" t="s">
        <v>6157</v>
      </c>
      <c r="X297" s="50">
        <v>52.521299999999997</v>
      </c>
      <c r="Y297" s="50">
        <v>-106.9281</v>
      </c>
      <c r="Z297" s="49">
        <v>519</v>
      </c>
      <c r="AA297" s="157"/>
    </row>
    <row r="298" spans="1:28" s="47" customFormat="1" ht="21.75" customHeight="1" x14ac:dyDescent="0.2">
      <c r="A298" s="47" t="s">
        <v>6145</v>
      </c>
      <c r="B298" s="47" t="s">
        <v>6146</v>
      </c>
      <c r="C298" s="47" t="s">
        <v>6166</v>
      </c>
      <c r="D298" s="47" t="s">
        <v>6149</v>
      </c>
      <c r="E298" s="47" t="s">
        <v>398</v>
      </c>
      <c r="F298" s="47" t="s">
        <v>806</v>
      </c>
      <c r="G298" s="47" t="s">
        <v>6201</v>
      </c>
      <c r="H298" s="48" t="s">
        <v>6163</v>
      </c>
      <c r="I298" s="47">
        <v>0.93</v>
      </c>
      <c r="J298" s="51" t="s">
        <v>4404</v>
      </c>
      <c r="K298" s="51" t="s">
        <v>5713</v>
      </c>
      <c r="L298" s="49" t="s">
        <v>6147</v>
      </c>
      <c r="M298" s="49"/>
      <c r="N298" s="49" t="s">
        <v>6148</v>
      </c>
      <c r="O298" s="113" t="s">
        <v>6152</v>
      </c>
      <c r="P298" s="51"/>
      <c r="R298" s="47" t="s">
        <v>3489</v>
      </c>
      <c r="X298" s="50">
        <v>49.029000000000003</v>
      </c>
      <c r="Y298" s="50">
        <v>-109.83969999999999</v>
      </c>
      <c r="Z298" s="49">
        <v>864</v>
      </c>
      <c r="AA298" s="155" t="s">
        <v>6202</v>
      </c>
    </row>
    <row r="299" spans="1:28" s="47" customFormat="1" ht="21.75" customHeight="1" x14ac:dyDescent="0.2">
      <c r="A299" s="47" t="s">
        <v>6145</v>
      </c>
      <c r="B299" s="47" t="s">
        <v>6146</v>
      </c>
      <c r="C299" s="47" t="s">
        <v>6166</v>
      </c>
      <c r="D299" s="47" t="s">
        <v>6149</v>
      </c>
      <c r="E299" s="47" t="s">
        <v>398</v>
      </c>
      <c r="F299" s="47" t="s">
        <v>806</v>
      </c>
      <c r="G299" s="47" t="s">
        <v>6201</v>
      </c>
      <c r="H299" s="48" t="s">
        <v>6163</v>
      </c>
      <c r="I299" s="47">
        <v>1.3</v>
      </c>
      <c r="J299" s="51" t="s">
        <v>4404</v>
      </c>
      <c r="K299" s="51" t="s">
        <v>5713</v>
      </c>
      <c r="L299" s="49" t="s">
        <v>6147</v>
      </c>
      <c r="M299" s="49"/>
      <c r="N299" s="49" t="s">
        <v>6148</v>
      </c>
      <c r="O299" s="113" t="s">
        <v>6153</v>
      </c>
      <c r="P299" s="51"/>
      <c r="R299" s="47" t="s">
        <v>3489</v>
      </c>
      <c r="X299" s="50">
        <v>49.565399999999997</v>
      </c>
      <c r="Y299" s="50">
        <v>-109.49509999999999</v>
      </c>
      <c r="Z299" s="49">
        <v>1130</v>
      </c>
      <c r="AA299" s="156"/>
    </row>
    <row r="300" spans="1:28" s="47" customFormat="1" ht="21.75" customHeight="1" x14ac:dyDescent="0.2">
      <c r="A300" s="47" t="s">
        <v>6145</v>
      </c>
      <c r="B300" s="47" t="s">
        <v>6146</v>
      </c>
      <c r="C300" s="47" t="s">
        <v>6166</v>
      </c>
      <c r="D300" s="47" t="s">
        <v>6150</v>
      </c>
      <c r="E300" s="47" t="s">
        <v>398</v>
      </c>
      <c r="F300" s="47" t="s">
        <v>806</v>
      </c>
      <c r="G300" s="47" t="s">
        <v>6201</v>
      </c>
      <c r="H300" s="48" t="s">
        <v>6163</v>
      </c>
      <c r="I300" s="47">
        <v>0.51</v>
      </c>
      <c r="J300" s="51" t="s">
        <v>4404</v>
      </c>
      <c r="K300" s="51" t="s">
        <v>5713</v>
      </c>
      <c r="L300" s="49" t="s">
        <v>6147</v>
      </c>
      <c r="M300" s="49"/>
      <c r="N300" s="49" t="s">
        <v>6148</v>
      </c>
      <c r="O300" s="113" t="s">
        <v>6153</v>
      </c>
      <c r="P300" s="51"/>
      <c r="R300" s="47" t="s">
        <v>3489</v>
      </c>
      <c r="X300" s="50">
        <v>51.746299999999998</v>
      </c>
      <c r="Y300" s="50">
        <v>-106.72750000000001</v>
      </c>
      <c r="Z300" s="49">
        <v>516</v>
      </c>
      <c r="AA300" s="156"/>
    </row>
    <row r="301" spans="1:28" s="47" customFormat="1" ht="21.75" customHeight="1" x14ac:dyDescent="0.2">
      <c r="A301" s="47" t="s">
        <v>6145</v>
      </c>
      <c r="B301" s="47" t="s">
        <v>6146</v>
      </c>
      <c r="C301" s="47" t="s">
        <v>6166</v>
      </c>
      <c r="D301" s="47" t="s">
        <v>6150</v>
      </c>
      <c r="E301" s="47" t="s">
        <v>398</v>
      </c>
      <c r="F301" s="47" t="s">
        <v>806</v>
      </c>
      <c r="G301" s="47" t="s">
        <v>6201</v>
      </c>
      <c r="H301" s="48" t="s">
        <v>6163</v>
      </c>
      <c r="I301" s="47">
        <v>0.66</v>
      </c>
      <c r="J301" s="51" t="s">
        <v>4404</v>
      </c>
      <c r="K301" s="51" t="s">
        <v>5713</v>
      </c>
      <c r="L301" s="49" t="s">
        <v>6147</v>
      </c>
      <c r="M301" s="49"/>
      <c r="N301" s="49" t="s">
        <v>6148</v>
      </c>
      <c r="O301" s="113" t="s">
        <v>2648</v>
      </c>
      <c r="P301" s="51"/>
      <c r="R301" s="47" t="s">
        <v>3489</v>
      </c>
      <c r="X301" s="50">
        <v>52.139099999999999</v>
      </c>
      <c r="Y301" s="50">
        <v>-106.7899</v>
      </c>
      <c r="Z301" s="49">
        <v>501</v>
      </c>
      <c r="AA301" s="156"/>
    </row>
    <row r="302" spans="1:28" s="47" customFormat="1" ht="21.75" customHeight="1" x14ac:dyDescent="0.2">
      <c r="A302" s="47" t="s">
        <v>6145</v>
      </c>
      <c r="B302" s="47" t="s">
        <v>6146</v>
      </c>
      <c r="C302" s="47" t="s">
        <v>6166</v>
      </c>
      <c r="D302" s="47" t="s">
        <v>6150</v>
      </c>
      <c r="E302" s="47" t="s">
        <v>398</v>
      </c>
      <c r="F302" s="47" t="s">
        <v>806</v>
      </c>
      <c r="G302" s="47" t="s">
        <v>6201</v>
      </c>
      <c r="H302" s="48" t="s">
        <v>6163</v>
      </c>
      <c r="I302" s="47">
        <v>0.51</v>
      </c>
      <c r="J302" s="51" t="s">
        <v>4404</v>
      </c>
      <c r="K302" s="51" t="s">
        <v>5713</v>
      </c>
      <c r="L302" s="49" t="s">
        <v>6147</v>
      </c>
      <c r="M302" s="49"/>
      <c r="N302" s="49" t="s">
        <v>6148</v>
      </c>
      <c r="O302" s="113" t="s">
        <v>6154</v>
      </c>
      <c r="P302" s="51"/>
      <c r="R302" s="47" t="s">
        <v>3489</v>
      </c>
      <c r="X302" s="50">
        <v>52.076999999999998</v>
      </c>
      <c r="Y302" s="50">
        <v>-106.2829</v>
      </c>
      <c r="Z302" s="49">
        <v>538</v>
      </c>
      <c r="AA302" s="156"/>
    </row>
    <row r="303" spans="1:28" s="47" customFormat="1" ht="21.75" customHeight="1" x14ac:dyDescent="0.2">
      <c r="A303" s="47" t="s">
        <v>6145</v>
      </c>
      <c r="B303" s="47" t="s">
        <v>6146</v>
      </c>
      <c r="C303" s="47" t="s">
        <v>6166</v>
      </c>
      <c r="D303" s="47" t="s">
        <v>6150</v>
      </c>
      <c r="E303" s="47" t="s">
        <v>398</v>
      </c>
      <c r="F303" s="47" t="s">
        <v>806</v>
      </c>
      <c r="G303" s="47" t="s">
        <v>6201</v>
      </c>
      <c r="H303" s="48" t="s">
        <v>6163</v>
      </c>
      <c r="I303" s="47">
        <v>0.86</v>
      </c>
      <c r="J303" s="51" t="s">
        <v>4404</v>
      </c>
      <c r="K303" s="51" t="s">
        <v>5713</v>
      </c>
      <c r="L303" s="49" t="s">
        <v>6147</v>
      </c>
      <c r="M303" s="49"/>
      <c r="N303" s="49" t="s">
        <v>6148</v>
      </c>
      <c r="O303" s="113" t="s">
        <v>6155</v>
      </c>
      <c r="P303" s="51"/>
      <c r="R303" s="47" t="s">
        <v>3489</v>
      </c>
      <c r="X303" s="50">
        <v>51.818800000000003</v>
      </c>
      <c r="Y303" s="50">
        <v>-106.2573</v>
      </c>
      <c r="Z303" s="49">
        <v>543</v>
      </c>
      <c r="AA303" s="157"/>
    </row>
    <row r="304" spans="1:28" s="47" customFormat="1" ht="21.75" customHeight="1" x14ac:dyDescent="0.2">
      <c r="A304" s="47" t="s">
        <v>6145</v>
      </c>
      <c r="B304" s="47" t="s">
        <v>6146</v>
      </c>
      <c r="C304" s="47" t="s">
        <v>6166</v>
      </c>
      <c r="D304" s="47" t="s">
        <v>6149</v>
      </c>
      <c r="E304" s="47" t="s">
        <v>398</v>
      </c>
      <c r="F304" s="47" t="s">
        <v>806</v>
      </c>
      <c r="G304" s="47" t="s">
        <v>6204</v>
      </c>
      <c r="H304" s="48" t="s">
        <v>6203</v>
      </c>
      <c r="I304" s="47">
        <v>1.6</v>
      </c>
      <c r="J304" s="51" t="s">
        <v>4404</v>
      </c>
      <c r="K304" s="51" t="s">
        <v>5713</v>
      </c>
      <c r="L304" s="49" t="s">
        <v>6147</v>
      </c>
      <c r="M304" s="49"/>
      <c r="N304" s="49" t="s">
        <v>6148</v>
      </c>
      <c r="O304" s="113" t="s">
        <v>6152</v>
      </c>
      <c r="P304" s="51"/>
      <c r="R304" s="47" t="s">
        <v>3489</v>
      </c>
      <c r="X304" s="50">
        <v>49.029000000000003</v>
      </c>
      <c r="Y304" s="50">
        <v>-109.83969999999999</v>
      </c>
      <c r="Z304" s="49">
        <v>864</v>
      </c>
      <c r="AA304" s="52" t="s">
        <v>6206</v>
      </c>
      <c r="AB304" s="47" t="s">
        <v>6205</v>
      </c>
    </row>
    <row r="305" spans="1:28" s="47" customFormat="1" ht="21.75" customHeight="1" x14ac:dyDescent="0.2">
      <c r="A305" s="47" t="s">
        <v>6145</v>
      </c>
      <c r="B305" s="47" t="s">
        <v>6146</v>
      </c>
      <c r="C305" s="47" t="s">
        <v>6166</v>
      </c>
      <c r="D305" s="47" t="s">
        <v>6150</v>
      </c>
      <c r="E305" s="47" t="s">
        <v>398</v>
      </c>
      <c r="F305" s="47" t="s">
        <v>806</v>
      </c>
      <c r="G305" s="47" t="s">
        <v>6208</v>
      </c>
      <c r="H305" s="48" t="s">
        <v>6207</v>
      </c>
      <c r="I305" s="47">
        <v>2.4</v>
      </c>
      <c r="J305" s="51" t="s">
        <v>4404</v>
      </c>
      <c r="K305" s="51" t="s">
        <v>5713</v>
      </c>
      <c r="L305" s="49" t="s">
        <v>6147</v>
      </c>
      <c r="M305" s="49"/>
      <c r="N305" s="49" t="s">
        <v>6148</v>
      </c>
      <c r="O305" s="113" t="s">
        <v>6152</v>
      </c>
      <c r="P305" s="51"/>
      <c r="R305" s="47" t="s">
        <v>2538</v>
      </c>
      <c r="X305" s="50">
        <v>49.759099999999997</v>
      </c>
      <c r="Y305" s="50">
        <v>-109.5</v>
      </c>
      <c r="Z305" s="49">
        <v>971</v>
      </c>
      <c r="AA305" s="52" t="s">
        <v>6209</v>
      </c>
    </row>
    <row r="306" spans="1:28" s="54" customFormat="1" ht="21.75" customHeight="1" x14ac:dyDescent="0.2">
      <c r="A306" s="54" t="s">
        <v>6145</v>
      </c>
      <c r="B306" s="54" t="s">
        <v>6146</v>
      </c>
      <c r="C306" s="54" t="s">
        <v>6166</v>
      </c>
      <c r="E306" s="54" t="s">
        <v>398</v>
      </c>
      <c r="F306" s="54" t="s">
        <v>6049</v>
      </c>
      <c r="G306" s="54" t="s">
        <v>6212</v>
      </c>
      <c r="H306" s="55" t="s">
        <v>6210</v>
      </c>
      <c r="I306" s="54" t="s">
        <v>6211</v>
      </c>
      <c r="J306" s="56" t="s">
        <v>4404</v>
      </c>
      <c r="K306" s="56" t="s">
        <v>5713</v>
      </c>
      <c r="L306" s="57" t="s">
        <v>6147</v>
      </c>
      <c r="M306" s="57"/>
      <c r="N306" s="57" t="s">
        <v>6148</v>
      </c>
      <c r="O306" s="112"/>
      <c r="P306" s="56"/>
      <c r="X306" s="58"/>
      <c r="Y306" s="58"/>
      <c r="Z306" s="57"/>
      <c r="AA306" s="59" t="s">
        <v>6213</v>
      </c>
    </row>
    <row r="307" spans="1:28" s="47" customFormat="1" ht="21.75" customHeight="1" x14ac:dyDescent="0.2">
      <c r="A307" s="47" t="s">
        <v>6145</v>
      </c>
      <c r="B307" s="47" t="s">
        <v>6146</v>
      </c>
      <c r="C307" s="47" t="s">
        <v>6166</v>
      </c>
      <c r="D307" s="47" t="s">
        <v>6150</v>
      </c>
      <c r="E307" s="47" t="s">
        <v>398</v>
      </c>
      <c r="F307" s="47" t="s">
        <v>6049</v>
      </c>
      <c r="G307" s="47" t="s">
        <v>6219</v>
      </c>
      <c r="H307" s="48" t="s">
        <v>6216</v>
      </c>
      <c r="I307" s="47">
        <v>1.32</v>
      </c>
      <c r="J307" s="51" t="s">
        <v>4404</v>
      </c>
      <c r="K307" s="51" t="s">
        <v>5713</v>
      </c>
      <c r="L307" s="49" t="s">
        <v>6147</v>
      </c>
      <c r="M307" s="49"/>
      <c r="N307" s="49" t="s">
        <v>6148</v>
      </c>
      <c r="O307" s="113" t="s">
        <v>2648</v>
      </c>
      <c r="P307" s="51"/>
      <c r="R307" s="47" t="s">
        <v>3489</v>
      </c>
      <c r="X307" s="50">
        <v>52.139099999999999</v>
      </c>
      <c r="Y307" s="50">
        <v>-106.7899</v>
      </c>
      <c r="Z307" s="49">
        <v>501</v>
      </c>
      <c r="AA307" s="52" t="s">
        <v>6231</v>
      </c>
    </row>
    <row r="308" spans="1:28" s="47" customFormat="1" ht="21.75" customHeight="1" x14ac:dyDescent="0.2">
      <c r="A308" s="47" t="s">
        <v>6145</v>
      </c>
      <c r="B308" s="47" t="s">
        <v>6146</v>
      </c>
      <c r="C308" s="47" t="s">
        <v>6166</v>
      </c>
      <c r="D308" s="47" t="s">
        <v>6150</v>
      </c>
      <c r="E308" s="47" t="s">
        <v>398</v>
      </c>
      <c r="F308" s="47" t="s">
        <v>6218</v>
      </c>
      <c r="G308" s="47" t="s">
        <v>6226</v>
      </c>
      <c r="H308" s="48" t="s">
        <v>6225</v>
      </c>
      <c r="I308" s="47">
        <v>1.7</v>
      </c>
      <c r="J308" s="51" t="s">
        <v>4404</v>
      </c>
      <c r="K308" s="51" t="s">
        <v>5713</v>
      </c>
      <c r="L308" s="49" t="s">
        <v>6147</v>
      </c>
      <c r="M308" s="49"/>
      <c r="N308" s="49" t="s">
        <v>6148</v>
      </c>
      <c r="O308" s="113" t="s">
        <v>2648</v>
      </c>
      <c r="P308" s="51"/>
      <c r="R308" s="47" t="s">
        <v>3489</v>
      </c>
      <c r="X308" s="50">
        <v>52.139099999999999</v>
      </c>
      <c r="Y308" s="50">
        <v>-106.7899</v>
      </c>
      <c r="Z308" s="49">
        <v>501</v>
      </c>
      <c r="AA308" s="155" t="s">
        <v>6232</v>
      </c>
    </row>
    <row r="309" spans="1:28" s="47" customFormat="1" ht="21.75" customHeight="1" x14ac:dyDescent="0.2">
      <c r="A309" s="47" t="s">
        <v>6145</v>
      </c>
      <c r="B309" s="47" t="s">
        <v>6146</v>
      </c>
      <c r="C309" s="47" t="s">
        <v>6166</v>
      </c>
      <c r="D309" s="47" t="s">
        <v>6150</v>
      </c>
      <c r="E309" s="47" t="s">
        <v>398</v>
      </c>
      <c r="F309" s="47" t="s">
        <v>6218</v>
      </c>
      <c r="G309" s="47" t="s">
        <v>6226</v>
      </c>
      <c r="H309" s="48" t="s">
        <v>6225</v>
      </c>
      <c r="I309" s="47">
        <v>0.75</v>
      </c>
      <c r="J309" s="51" t="s">
        <v>4404</v>
      </c>
      <c r="K309" s="51" t="s">
        <v>5713</v>
      </c>
      <c r="L309" s="49" t="s">
        <v>6147</v>
      </c>
      <c r="M309" s="49"/>
      <c r="N309" s="49" t="s">
        <v>6148</v>
      </c>
      <c r="O309" s="113" t="s">
        <v>6153</v>
      </c>
      <c r="P309" s="51"/>
      <c r="R309" s="47" t="s">
        <v>3489</v>
      </c>
      <c r="X309" s="50">
        <v>51.746299999999998</v>
      </c>
      <c r="Y309" s="50">
        <v>-106.72750000000001</v>
      </c>
      <c r="Z309" s="49">
        <v>516</v>
      </c>
      <c r="AA309" s="157"/>
    </row>
    <row r="310" spans="1:28" s="47" customFormat="1" ht="21.75" customHeight="1" x14ac:dyDescent="0.2">
      <c r="A310" s="47" t="s">
        <v>6145</v>
      </c>
      <c r="B310" s="47" t="s">
        <v>6146</v>
      </c>
      <c r="C310" s="47" t="s">
        <v>6166</v>
      </c>
      <c r="D310" s="47" t="s">
        <v>6150</v>
      </c>
      <c r="E310" s="47" t="s">
        <v>398</v>
      </c>
      <c r="F310" s="47" t="s">
        <v>6049</v>
      </c>
      <c r="G310" s="47" t="s">
        <v>6228</v>
      </c>
      <c r="H310" s="48" t="s">
        <v>6227</v>
      </c>
      <c r="I310" s="47">
        <v>0.8</v>
      </c>
      <c r="J310" s="51" t="s">
        <v>4404</v>
      </c>
      <c r="K310" s="51" t="s">
        <v>5713</v>
      </c>
      <c r="L310" s="49" t="s">
        <v>6147</v>
      </c>
      <c r="M310" s="49"/>
      <c r="N310" s="49" t="s">
        <v>6148</v>
      </c>
      <c r="O310" s="113" t="s">
        <v>6153</v>
      </c>
      <c r="P310" s="51"/>
      <c r="R310" s="47" t="s">
        <v>3489</v>
      </c>
      <c r="X310" s="50">
        <v>51.746299999999998</v>
      </c>
      <c r="Y310" s="50">
        <v>-106.72750000000001</v>
      </c>
      <c r="Z310" s="49">
        <v>516</v>
      </c>
      <c r="AA310" s="53" t="s">
        <v>6233</v>
      </c>
      <c r="AB310" s="47" t="s">
        <v>6229</v>
      </c>
    </row>
    <row r="311" spans="1:28" s="47" customFormat="1" ht="21.75" customHeight="1" x14ac:dyDescent="0.2">
      <c r="A311" s="47" t="s">
        <v>6145</v>
      </c>
      <c r="B311" s="47" t="s">
        <v>6146</v>
      </c>
      <c r="C311" s="47" t="s">
        <v>6166</v>
      </c>
      <c r="D311" s="47" t="s">
        <v>6150</v>
      </c>
      <c r="E311" s="47" t="s">
        <v>398</v>
      </c>
      <c r="F311" s="47" t="s">
        <v>6218</v>
      </c>
      <c r="G311" s="47" t="s">
        <v>6217</v>
      </c>
      <c r="H311" s="48" t="s">
        <v>1646</v>
      </c>
      <c r="I311" s="47">
        <v>1.22</v>
      </c>
      <c r="J311" s="51" t="s">
        <v>4404</v>
      </c>
      <c r="K311" s="51" t="s">
        <v>5713</v>
      </c>
      <c r="L311" s="49" t="s">
        <v>6147</v>
      </c>
      <c r="M311" s="49"/>
      <c r="N311" s="49" t="s">
        <v>6148</v>
      </c>
      <c r="O311" s="113" t="s">
        <v>2648</v>
      </c>
      <c r="P311" s="51"/>
      <c r="R311" s="47" t="s">
        <v>3489</v>
      </c>
      <c r="X311" s="50">
        <v>52.139099999999999</v>
      </c>
      <c r="Y311" s="50">
        <v>-106.7899</v>
      </c>
      <c r="Z311" s="49">
        <v>501</v>
      </c>
      <c r="AA311" s="52" t="s">
        <v>6234</v>
      </c>
      <c r="AB311" s="47" t="s">
        <v>6215</v>
      </c>
    </row>
    <row r="312" spans="1:28" s="47" customFormat="1" ht="21.75" customHeight="1" x14ac:dyDescent="0.2">
      <c r="A312" s="47" t="s">
        <v>6145</v>
      </c>
      <c r="B312" s="47" t="s">
        <v>6146</v>
      </c>
      <c r="C312" s="47" t="s">
        <v>6166</v>
      </c>
      <c r="D312" s="47" t="s">
        <v>6150</v>
      </c>
      <c r="E312" s="47" t="s">
        <v>398</v>
      </c>
      <c r="F312" s="47" t="s">
        <v>6049</v>
      </c>
      <c r="G312" s="47" t="s">
        <v>6214</v>
      </c>
      <c r="H312" s="48" t="s">
        <v>1418</v>
      </c>
      <c r="I312" s="47">
        <v>1.3</v>
      </c>
      <c r="J312" s="51" t="s">
        <v>4404</v>
      </c>
      <c r="K312" s="51" t="s">
        <v>5713</v>
      </c>
      <c r="L312" s="49" t="s">
        <v>6147</v>
      </c>
      <c r="M312" s="49"/>
      <c r="N312" s="49" t="s">
        <v>6148</v>
      </c>
      <c r="O312" s="113" t="s">
        <v>6154</v>
      </c>
      <c r="P312" s="51"/>
      <c r="R312" s="47" t="s">
        <v>3489</v>
      </c>
      <c r="X312" s="50">
        <v>52.076999999999998</v>
      </c>
      <c r="Y312" s="50">
        <v>-106.2829</v>
      </c>
      <c r="Z312" s="49">
        <v>538</v>
      </c>
      <c r="AA312" s="52" t="s">
        <v>6235</v>
      </c>
      <c r="AB312" s="47" t="s">
        <v>6215</v>
      </c>
    </row>
    <row r="313" spans="1:28" s="47" customFormat="1" ht="21.75" customHeight="1" x14ac:dyDescent="0.2">
      <c r="A313" s="47" t="s">
        <v>6145</v>
      </c>
      <c r="B313" s="47" t="s">
        <v>6146</v>
      </c>
      <c r="C313" s="47" t="s">
        <v>6166</v>
      </c>
      <c r="D313" s="47" t="s">
        <v>6149</v>
      </c>
      <c r="E313" s="47" t="s">
        <v>6223</v>
      </c>
      <c r="F313" s="47" t="s">
        <v>806</v>
      </c>
      <c r="G313" s="47" t="s">
        <v>6224</v>
      </c>
      <c r="H313" s="48" t="s">
        <v>6222</v>
      </c>
      <c r="I313" s="47">
        <v>1.8</v>
      </c>
      <c r="J313" s="51" t="s">
        <v>4404</v>
      </c>
      <c r="K313" s="51" t="s">
        <v>5713</v>
      </c>
      <c r="L313" s="49" t="s">
        <v>6147</v>
      </c>
      <c r="M313" s="49"/>
      <c r="N313" s="49" t="s">
        <v>6148</v>
      </c>
      <c r="O313" s="113" t="s">
        <v>6152</v>
      </c>
      <c r="P313" s="51"/>
      <c r="R313" s="47" t="s">
        <v>3489</v>
      </c>
      <c r="X313" s="50">
        <v>49.029000000000003</v>
      </c>
      <c r="Y313" s="50">
        <v>-109.83969999999999</v>
      </c>
      <c r="Z313" s="49">
        <v>864</v>
      </c>
      <c r="AA313" s="52" t="s">
        <v>6236</v>
      </c>
      <c r="AB313" s="47" t="s">
        <v>6230</v>
      </c>
    </row>
    <row r="314" spans="1:28" s="47" customFormat="1" ht="21.75" customHeight="1" x14ac:dyDescent="0.2">
      <c r="A314" s="47" t="s">
        <v>6145</v>
      </c>
      <c r="B314" s="47" t="s">
        <v>6146</v>
      </c>
      <c r="C314" s="47" t="s">
        <v>6166</v>
      </c>
      <c r="D314" s="47" t="s">
        <v>6150</v>
      </c>
      <c r="E314" s="47" t="s">
        <v>398</v>
      </c>
      <c r="F314" s="47" t="s">
        <v>806</v>
      </c>
      <c r="G314" s="47" t="s">
        <v>6221</v>
      </c>
      <c r="H314" s="48" t="s">
        <v>6220</v>
      </c>
      <c r="I314" s="47">
        <v>3</v>
      </c>
      <c r="J314" s="51" t="s">
        <v>4404</v>
      </c>
      <c r="K314" s="51" t="s">
        <v>5713</v>
      </c>
      <c r="L314" s="49" t="s">
        <v>6147</v>
      </c>
      <c r="M314" s="49"/>
      <c r="N314" s="49" t="s">
        <v>6148</v>
      </c>
      <c r="O314" s="113" t="s">
        <v>6152</v>
      </c>
      <c r="P314" s="51"/>
      <c r="R314" s="47" t="s">
        <v>2538</v>
      </c>
      <c r="X314" s="50">
        <v>49.759099999999997</v>
      </c>
      <c r="Y314" s="50">
        <v>-109.5</v>
      </c>
      <c r="Z314" s="49">
        <v>971</v>
      </c>
      <c r="AA314" s="52" t="s">
        <v>6237</v>
      </c>
      <c r="AB314" s="47" t="s">
        <v>6238</v>
      </c>
    </row>
    <row r="315" spans="1:28" s="54" customFormat="1" ht="21.75" customHeight="1" x14ac:dyDescent="0.2">
      <c r="A315" s="54" t="s">
        <v>6145</v>
      </c>
      <c r="B315" s="54" t="s">
        <v>6146</v>
      </c>
      <c r="C315" s="54" t="s">
        <v>6166</v>
      </c>
      <c r="E315" s="54" t="s">
        <v>398</v>
      </c>
      <c r="F315" s="54" t="s">
        <v>6049</v>
      </c>
      <c r="G315" s="54" t="s">
        <v>6240</v>
      </c>
      <c r="H315" s="55" t="s">
        <v>6239</v>
      </c>
      <c r="I315" s="54">
        <v>3</v>
      </c>
      <c r="J315" s="56" t="s">
        <v>4404</v>
      </c>
      <c r="K315" s="56" t="s">
        <v>5713</v>
      </c>
      <c r="L315" s="57" t="s">
        <v>6147</v>
      </c>
      <c r="M315" s="57"/>
      <c r="N315" s="57" t="s">
        <v>6148</v>
      </c>
      <c r="O315" s="112"/>
      <c r="P315" s="56"/>
      <c r="X315" s="58"/>
      <c r="Y315" s="58"/>
      <c r="Z315" s="57"/>
      <c r="AA315" s="59" t="s">
        <v>6241</v>
      </c>
    </row>
    <row r="316" spans="1:28" s="8" customFormat="1" ht="21.75" customHeight="1" x14ac:dyDescent="0.2">
      <c r="A316" s="8" t="s">
        <v>5880</v>
      </c>
      <c r="B316" s="8" t="s">
        <v>5881</v>
      </c>
      <c r="C316" s="8" t="s">
        <v>284</v>
      </c>
      <c r="D316" s="8" t="s">
        <v>5882</v>
      </c>
      <c r="E316" s="8" t="s">
        <v>33</v>
      </c>
      <c r="F316" s="8" t="s">
        <v>212</v>
      </c>
      <c r="G316" s="8" t="s">
        <v>1013</v>
      </c>
      <c r="H316" s="3" t="s">
        <v>5890</v>
      </c>
      <c r="I316" s="8">
        <v>0.4</v>
      </c>
      <c r="J316" s="4" t="s">
        <v>5888</v>
      </c>
      <c r="K316" s="4" t="s">
        <v>4410</v>
      </c>
      <c r="L316" s="14">
        <v>3810</v>
      </c>
      <c r="M316" s="14" t="s">
        <v>5894</v>
      </c>
      <c r="N316" s="14"/>
      <c r="O316" s="110" t="s">
        <v>5895</v>
      </c>
      <c r="P316" s="4"/>
      <c r="R316" s="8" t="s">
        <v>5886</v>
      </c>
      <c r="W316" s="8" t="s">
        <v>5884</v>
      </c>
      <c r="X316" s="13">
        <v>18.3049</v>
      </c>
      <c r="Y316" s="13">
        <v>-65.838200000000001</v>
      </c>
      <c r="Z316" s="14">
        <v>350</v>
      </c>
      <c r="AA316" s="22" t="s">
        <v>5893</v>
      </c>
      <c r="AB316" s="8" t="s">
        <v>5892</v>
      </c>
    </row>
    <row r="317" spans="1:28" s="8" customFormat="1" ht="21.75" customHeight="1" x14ac:dyDescent="0.2">
      <c r="A317" s="8" t="s">
        <v>5880</v>
      </c>
      <c r="B317" s="8" t="s">
        <v>5881</v>
      </c>
      <c r="C317" s="8" t="s">
        <v>284</v>
      </c>
      <c r="D317" s="8" t="s">
        <v>5883</v>
      </c>
      <c r="E317" s="8" t="s">
        <v>263</v>
      </c>
      <c r="F317" s="8" t="s">
        <v>212</v>
      </c>
      <c r="H317" s="3" t="s">
        <v>5889</v>
      </c>
      <c r="I317" s="8">
        <v>0.5</v>
      </c>
      <c r="J317" s="4" t="s">
        <v>5888</v>
      </c>
      <c r="K317" s="4" t="s">
        <v>4410</v>
      </c>
      <c r="L317" s="14">
        <v>3810</v>
      </c>
      <c r="M317" s="14"/>
      <c r="N317" s="14"/>
      <c r="O317" s="110" t="s">
        <v>5895</v>
      </c>
      <c r="P317" s="4"/>
      <c r="R317" s="8" t="s">
        <v>5887</v>
      </c>
      <c r="W317" s="8" t="s">
        <v>5885</v>
      </c>
      <c r="X317" s="13">
        <v>18.323799999999999</v>
      </c>
      <c r="Y317" s="13">
        <v>-65.8352</v>
      </c>
      <c r="Z317" s="14">
        <v>350</v>
      </c>
      <c r="AA317" s="22" t="s">
        <v>5891</v>
      </c>
      <c r="AB317" s="8" t="s">
        <v>5892</v>
      </c>
    </row>
    <row r="318" spans="1:28" ht="21.75" customHeight="1" x14ac:dyDescent="0.2">
      <c r="A318" s="7" t="s">
        <v>4803</v>
      </c>
      <c r="B318" s="7" t="s">
        <v>4814</v>
      </c>
      <c r="C318" s="7" t="s">
        <v>94</v>
      </c>
      <c r="D318" s="7">
        <v>7</v>
      </c>
      <c r="E318" s="7" t="s">
        <v>33</v>
      </c>
      <c r="F318" s="7" t="s">
        <v>212</v>
      </c>
      <c r="G318" s="7" t="s">
        <v>1291</v>
      </c>
      <c r="H318" s="1" t="s">
        <v>862</v>
      </c>
      <c r="I318" s="7">
        <v>0.6</v>
      </c>
      <c r="J318" s="2" t="s">
        <v>4404</v>
      </c>
      <c r="K318" s="2" t="s">
        <v>4410</v>
      </c>
      <c r="L318" s="6">
        <v>1300</v>
      </c>
      <c r="R318" s="7" t="s">
        <v>4822</v>
      </c>
      <c r="U318" s="7" t="s">
        <v>4805</v>
      </c>
      <c r="V318" s="7" t="s">
        <v>4809</v>
      </c>
      <c r="X318" s="5">
        <v>46.099699999999999</v>
      </c>
      <c r="Y318" s="5">
        <v>4.4276</v>
      </c>
      <c r="Z318" s="6">
        <v>900</v>
      </c>
      <c r="AA318" s="44" t="s">
        <v>4824</v>
      </c>
      <c r="AB318" s="7" t="s">
        <v>4815</v>
      </c>
    </row>
    <row r="319" spans="1:28" ht="21.75" customHeight="1" x14ac:dyDescent="0.2">
      <c r="A319" s="7" t="s">
        <v>4803</v>
      </c>
      <c r="B319" s="7" t="s">
        <v>4814</v>
      </c>
      <c r="C319" s="7" t="s">
        <v>94</v>
      </c>
      <c r="D319" s="7">
        <v>6</v>
      </c>
      <c r="E319" s="7" t="s">
        <v>33</v>
      </c>
      <c r="F319" s="7" t="s">
        <v>212</v>
      </c>
      <c r="G319" s="7" t="s">
        <v>1291</v>
      </c>
      <c r="H319" s="1" t="s">
        <v>862</v>
      </c>
      <c r="I319" s="7">
        <v>0.6</v>
      </c>
      <c r="J319" s="2" t="s">
        <v>4404</v>
      </c>
      <c r="K319" s="2" t="s">
        <v>4410</v>
      </c>
      <c r="L319" s="6">
        <v>1215</v>
      </c>
      <c r="R319" s="7" t="s">
        <v>4821</v>
      </c>
      <c r="U319" s="7" t="s">
        <v>4805</v>
      </c>
      <c r="X319" s="5">
        <v>46.085999999999999</v>
      </c>
      <c r="Y319" s="5">
        <v>4.4131999999999998</v>
      </c>
      <c r="Z319" s="6">
        <v>810</v>
      </c>
      <c r="AA319" s="7" t="s">
        <v>4825</v>
      </c>
      <c r="AB319" s="7" t="s">
        <v>4811</v>
      </c>
    </row>
    <row r="320" spans="1:28" ht="21.75" customHeight="1" x14ac:dyDescent="0.2">
      <c r="A320" s="7" t="s">
        <v>4803</v>
      </c>
      <c r="B320" s="7" t="s">
        <v>4814</v>
      </c>
      <c r="C320" s="7" t="s">
        <v>94</v>
      </c>
      <c r="D320" s="7">
        <v>5</v>
      </c>
      <c r="E320" s="7" t="s">
        <v>33</v>
      </c>
      <c r="F320" s="7" t="s">
        <v>212</v>
      </c>
      <c r="G320" s="7" t="s">
        <v>1291</v>
      </c>
      <c r="H320" s="1" t="s">
        <v>862</v>
      </c>
      <c r="I320" s="7">
        <v>0.8</v>
      </c>
      <c r="J320" s="2" t="s">
        <v>4404</v>
      </c>
      <c r="K320" s="2" t="s">
        <v>4410</v>
      </c>
      <c r="L320" s="6">
        <v>1132</v>
      </c>
      <c r="R320" s="7" t="s">
        <v>4820</v>
      </c>
      <c r="U320" s="7" t="s">
        <v>4808</v>
      </c>
      <c r="X320" s="5">
        <v>46.0745</v>
      </c>
      <c r="Y320" s="5">
        <v>4.4555999999999996</v>
      </c>
      <c r="Z320" s="6">
        <v>720</v>
      </c>
      <c r="AA320" s="134" t="s">
        <v>4826</v>
      </c>
      <c r="AB320" s="7" t="s">
        <v>4813</v>
      </c>
    </row>
    <row r="321" spans="1:28" ht="21.75" customHeight="1" x14ac:dyDescent="0.2">
      <c r="A321" s="7" t="s">
        <v>4803</v>
      </c>
      <c r="B321" s="7" t="s">
        <v>4814</v>
      </c>
      <c r="C321" s="7" t="s">
        <v>94</v>
      </c>
      <c r="D321" s="7">
        <v>4</v>
      </c>
      <c r="E321" s="7" t="s">
        <v>33</v>
      </c>
      <c r="F321" s="7" t="s">
        <v>212</v>
      </c>
      <c r="G321" s="7" t="s">
        <v>1291</v>
      </c>
      <c r="H321" s="1" t="s">
        <v>862</v>
      </c>
      <c r="I321" s="7">
        <v>0.9</v>
      </c>
      <c r="J321" s="2" t="s">
        <v>4404</v>
      </c>
      <c r="K321" s="2" t="s">
        <v>4410</v>
      </c>
      <c r="L321" s="6">
        <v>1049</v>
      </c>
      <c r="R321" s="7" t="s">
        <v>4819</v>
      </c>
      <c r="U321" s="7" t="s">
        <v>4805</v>
      </c>
      <c r="V321" s="7" t="s">
        <v>4807</v>
      </c>
      <c r="X321" s="5">
        <v>46.05</v>
      </c>
      <c r="Y321" s="5">
        <v>4.4107000000000003</v>
      </c>
      <c r="Z321" s="6">
        <v>630</v>
      </c>
      <c r="AA321" s="135"/>
      <c r="AB321" s="7" t="s">
        <v>4811</v>
      </c>
    </row>
    <row r="322" spans="1:28" ht="21.75" customHeight="1" x14ac:dyDescent="0.2">
      <c r="A322" s="7" t="s">
        <v>4803</v>
      </c>
      <c r="B322" s="7" t="s">
        <v>4814</v>
      </c>
      <c r="C322" s="7" t="s">
        <v>94</v>
      </c>
      <c r="D322" s="7">
        <v>3</v>
      </c>
      <c r="E322" s="7" t="s">
        <v>33</v>
      </c>
      <c r="F322" s="7" t="s">
        <v>212</v>
      </c>
      <c r="G322" s="7" t="s">
        <v>1291</v>
      </c>
      <c r="H322" s="1" t="s">
        <v>862</v>
      </c>
      <c r="I322" s="7">
        <v>0.9</v>
      </c>
      <c r="J322" s="2" t="s">
        <v>4404</v>
      </c>
      <c r="K322" s="2" t="s">
        <v>4410</v>
      </c>
      <c r="L322" s="6">
        <v>966</v>
      </c>
      <c r="R322" s="7" t="s">
        <v>4818</v>
      </c>
      <c r="U322" s="7" t="s">
        <v>4805</v>
      </c>
      <c r="X322" s="5">
        <v>46.044699999999999</v>
      </c>
      <c r="Y322" s="5">
        <v>4.5121000000000002</v>
      </c>
      <c r="Z322" s="6">
        <v>540</v>
      </c>
      <c r="AA322" s="44" t="s">
        <v>4827</v>
      </c>
      <c r="AB322" s="7" t="s">
        <v>4812</v>
      </c>
    </row>
    <row r="323" spans="1:28" ht="21.75" customHeight="1" x14ac:dyDescent="0.2">
      <c r="A323" s="7" t="s">
        <v>4803</v>
      </c>
      <c r="B323" s="7" t="s">
        <v>4814</v>
      </c>
      <c r="C323" s="7" t="s">
        <v>94</v>
      </c>
      <c r="D323" s="7">
        <v>1</v>
      </c>
      <c r="E323" s="7" t="s">
        <v>33</v>
      </c>
      <c r="F323" s="7" t="s">
        <v>212</v>
      </c>
      <c r="G323" s="7" t="s">
        <v>1291</v>
      </c>
      <c r="H323" s="1" t="s">
        <v>862</v>
      </c>
      <c r="I323" s="7">
        <v>1.2</v>
      </c>
      <c r="J323" s="2" t="s">
        <v>4404</v>
      </c>
      <c r="K323" s="2" t="s">
        <v>4410</v>
      </c>
      <c r="L323" s="6">
        <v>883</v>
      </c>
      <c r="R323" s="7" t="s">
        <v>4817</v>
      </c>
      <c r="U323" s="7" t="s">
        <v>4805</v>
      </c>
      <c r="V323" s="7" t="s">
        <v>4804</v>
      </c>
      <c r="X323" s="5">
        <v>46.018300000000004</v>
      </c>
      <c r="Y323" s="5">
        <v>4.4909999999999997</v>
      </c>
      <c r="Z323" s="6">
        <v>450</v>
      </c>
      <c r="AA323" s="44" t="s">
        <v>4828</v>
      </c>
      <c r="AB323" s="7" t="s">
        <v>4811</v>
      </c>
    </row>
    <row r="324" spans="1:28" ht="21.75" customHeight="1" x14ac:dyDescent="0.2">
      <c r="A324" s="7" t="s">
        <v>4803</v>
      </c>
      <c r="B324" s="7" t="s">
        <v>4814</v>
      </c>
      <c r="C324" s="7" t="s">
        <v>94</v>
      </c>
      <c r="D324" s="7">
        <v>2</v>
      </c>
      <c r="E324" s="7" t="s">
        <v>33</v>
      </c>
      <c r="F324" s="7" t="s">
        <v>212</v>
      </c>
      <c r="G324" s="7" t="s">
        <v>1291</v>
      </c>
      <c r="H324" s="1" t="s">
        <v>862</v>
      </c>
      <c r="I324" s="7">
        <v>1.3</v>
      </c>
      <c r="J324" s="2" t="s">
        <v>4404</v>
      </c>
      <c r="K324" s="2" t="s">
        <v>4410</v>
      </c>
      <c r="L324" s="6">
        <v>800</v>
      </c>
      <c r="R324" s="7" t="s">
        <v>4816</v>
      </c>
      <c r="U324" s="7" t="s">
        <v>4805</v>
      </c>
      <c r="V324" s="7" t="s">
        <v>4806</v>
      </c>
      <c r="X324" s="5">
        <v>46</v>
      </c>
      <c r="Y324" s="5">
        <v>4.4992000000000001</v>
      </c>
      <c r="Z324" s="6">
        <v>350</v>
      </c>
      <c r="AA324" s="44" t="s">
        <v>4823</v>
      </c>
      <c r="AB324" s="7" t="s">
        <v>4810</v>
      </c>
    </row>
    <row r="325" spans="1:28" s="82" customFormat="1" ht="21.75" customHeight="1" x14ac:dyDescent="0.2">
      <c r="A325" s="82" t="s">
        <v>7763</v>
      </c>
      <c r="B325" s="82" t="s">
        <v>7764</v>
      </c>
      <c r="C325" s="82" t="s">
        <v>46</v>
      </c>
      <c r="D325" s="82" t="s">
        <v>2649</v>
      </c>
      <c r="E325" s="82" t="s">
        <v>33</v>
      </c>
      <c r="F325" s="82" t="s">
        <v>7771</v>
      </c>
      <c r="G325" s="82" t="s">
        <v>7768</v>
      </c>
      <c r="H325" s="83" t="s">
        <v>3094</v>
      </c>
      <c r="I325" s="82">
        <v>3.8</v>
      </c>
      <c r="J325" s="84" t="s">
        <v>7773</v>
      </c>
      <c r="K325" s="84" t="s">
        <v>4480</v>
      </c>
      <c r="L325" s="85" t="s">
        <v>7765</v>
      </c>
      <c r="M325" s="85" t="s">
        <v>7766</v>
      </c>
      <c r="N325" s="85" t="s">
        <v>437</v>
      </c>
      <c r="O325" s="116" t="s">
        <v>2649</v>
      </c>
      <c r="P325" s="84"/>
      <c r="Q325" s="82">
        <v>3.8</v>
      </c>
      <c r="R325" s="82" t="s">
        <v>1605</v>
      </c>
      <c r="X325" s="86">
        <v>44.558300000000003</v>
      </c>
      <c r="Y325" s="86">
        <v>87.785700000000006</v>
      </c>
      <c r="Z325" s="85">
        <v>435</v>
      </c>
      <c r="AA325" s="143" t="s">
        <v>7772</v>
      </c>
      <c r="AB325" s="143" t="s">
        <v>7775</v>
      </c>
    </row>
    <row r="326" spans="1:28" s="82" customFormat="1" ht="21.75" customHeight="1" x14ac:dyDescent="0.2">
      <c r="A326" s="82" t="s">
        <v>7763</v>
      </c>
      <c r="B326" s="82" t="s">
        <v>7764</v>
      </c>
      <c r="C326" s="82" t="s">
        <v>46</v>
      </c>
      <c r="D326" s="82" t="s">
        <v>6341</v>
      </c>
      <c r="E326" s="82" t="s">
        <v>7769</v>
      </c>
      <c r="F326" s="82" t="s">
        <v>7771</v>
      </c>
      <c r="G326" s="82" t="s">
        <v>7770</v>
      </c>
      <c r="H326" s="83" t="s">
        <v>7767</v>
      </c>
      <c r="I326" s="82">
        <v>15</v>
      </c>
      <c r="J326" s="84" t="s">
        <v>7773</v>
      </c>
      <c r="K326" s="84" t="s">
        <v>4480</v>
      </c>
      <c r="L326" s="85" t="s">
        <v>7765</v>
      </c>
      <c r="M326" s="85" t="s">
        <v>7766</v>
      </c>
      <c r="N326" s="85" t="s">
        <v>437</v>
      </c>
      <c r="O326" s="116" t="s">
        <v>7774</v>
      </c>
      <c r="P326" s="84"/>
      <c r="Q326" s="82">
        <v>15</v>
      </c>
      <c r="R326" s="82" t="s">
        <v>1605</v>
      </c>
      <c r="X326" s="86">
        <v>44.538400000000003</v>
      </c>
      <c r="Y326" s="86">
        <v>87.802899999999994</v>
      </c>
      <c r="Z326" s="85">
        <v>446</v>
      </c>
      <c r="AA326" s="144"/>
      <c r="AB326" s="144"/>
    </row>
    <row r="327" spans="1:28" ht="21.75" customHeight="1" x14ac:dyDescent="0.2">
      <c r="A327" s="7" t="s">
        <v>2968</v>
      </c>
      <c r="B327" s="7" t="s">
        <v>2970</v>
      </c>
      <c r="C327" s="7" t="s">
        <v>2972</v>
      </c>
      <c r="D327" s="7" t="s">
        <v>2971</v>
      </c>
      <c r="E327" s="7" t="s">
        <v>33</v>
      </c>
      <c r="F327" s="7" t="s">
        <v>212</v>
      </c>
      <c r="G327" s="7" t="s">
        <v>2973</v>
      </c>
      <c r="H327" s="1" t="s">
        <v>56</v>
      </c>
      <c r="I327" s="7">
        <v>0.9</v>
      </c>
      <c r="J327" s="7" t="s">
        <v>4367</v>
      </c>
      <c r="K327" s="7" t="s">
        <v>5721</v>
      </c>
      <c r="L327" s="6">
        <v>900</v>
      </c>
      <c r="O327" s="45" t="s">
        <v>2974</v>
      </c>
      <c r="P327" s="7" t="s">
        <v>2976</v>
      </c>
      <c r="Q327" s="7">
        <v>0.9</v>
      </c>
      <c r="S327" s="7" t="s">
        <v>2447</v>
      </c>
      <c r="T327" s="7">
        <v>0.9</v>
      </c>
      <c r="W327" s="7" t="s">
        <v>2969</v>
      </c>
      <c r="X327" s="7">
        <v>44.4893</v>
      </c>
      <c r="Y327" s="5">
        <v>-0.941917</v>
      </c>
      <c r="Z327" s="7">
        <v>54</v>
      </c>
      <c r="AA327" s="44" t="s">
        <v>2981</v>
      </c>
      <c r="AB327" s="139" t="s">
        <v>2982</v>
      </c>
    </row>
    <row r="328" spans="1:28" ht="21.75" customHeight="1" x14ac:dyDescent="0.2">
      <c r="A328" s="7" t="s">
        <v>2968</v>
      </c>
      <c r="B328" s="7" t="s">
        <v>2970</v>
      </c>
      <c r="C328" s="7" t="s">
        <v>2972</v>
      </c>
      <c r="D328" s="7" t="s">
        <v>2971</v>
      </c>
      <c r="E328" s="7" t="s">
        <v>33</v>
      </c>
      <c r="F328" s="7" t="s">
        <v>212</v>
      </c>
      <c r="G328" s="7" t="s">
        <v>2973</v>
      </c>
      <c r="H328" s="1" t="s">
        <v>56</v>
      </c>
      <c r="I328" s="7">
        <v>0.92</v>
      </c>
      <c r="J328" s="7" t="s">
        <v>4367</v>
      </c>
      <c r="K328" s="7" t="s">
        <v>5721</v>
      </c>
      <c r="L328" s="6">
        <v>900</v>
      </c>
      <c r="O328" s="45" t="s">
        <v>2978</v>
      </c>
      <c r="P328" s="7" t="s">
        <v>2979</v>
      </c>
      <c r="Q328" s="7">
        <v>0.7</v>
      </c>
      <c r="S328" s="7" t="s">
        <v>2447</v>
      </c>
      <c r="T328" s="7">
        <v>0.9</v>
      </c>
      <c r="W328" s="7" t="s">
        <v>2969</v>
      </c>
      <c r="X328" s="5">
        <v>44.493000000000002</v>
      </c>
      <c r="Y328" s="5">
        <v>-0.94825499999999996</v>
      </c>
      <c r="Z328" s="6">
        <v>48</v>
      </c>
      <c r="AA328" s="44" t="s">
        <v>2980</v>
      </c>
      <c r="AB328" s="139"/>
    </row>
    <row r="329" spans="1:28" ht="21.75" customHeight="1" x14ac:dyDescent="0.2">
      <c r="A329" s="7" t="s">
        <v>2968</v>
      </c>
      <c r="B329" s="7" t="s">
        <v>2970</v>
      </c>
      <c r="C329" s="7" t="s">
        <v>2972</v>
      </c>
      <c r="D329" s="7" t="s">
        <v>2971</v>
      </c>
      <c r="E329" s="7" t="s">
        <v>33</v>
      </c>
      <c r="F329" s="7" t="s">
        <v>212</v>
      </c>
      <c r="G329" s="7" t="s">
        <v>2973</v>
      </c>
      <c r="H329" s="1" t="s">
        <v>56</v>
      </c>
      <c r="I329" s="7">
        <v>0.98</v>
      </c>
      <c r="J329" s="7" t="s">
        <v>4367</v>
      </c>
      <c r="K329" s="7" t="s">
        <v>5721</v>
      </c>
      <c r="L329" s="6">
        <v>900</v>
      </c>
      <c r="O329" s="45" t="s">
        <v>2975</v>
      </c>
      <c r="P329" s="7" t="s">
        <v>2977</v>
      </c>
      <c r="Q329" s="7">
        <v>0.5</v>
      </c>
      <c r="W329" s="7" t="s">
        <v>2969</v>
      </c>
      <c r="X329" s="5">
        <f>44+29/60+43/3600</f>
        <v>44.49527777777778</v>
      </c>
      <c r="Y329" s="5">
        <f>-(57/60+6/3600)</f>
        <v>-0.95166666666666666</v>
      </c>
      <c r="Z329" s="6">
        <v>38</v>
      </c>
      <c r="AA329" s="44"/>
      <c r="AB329" s="139"/>
    </row>
    <row r="330" spans="1:28" s="8" customFormat="1" ht="21.75" customHeight="1" x14ac:dyDescent="0.2">
      <c r="A330" s="8" t="s">
        <v>6975</v>
      </c>
      <c r="B330" s="8" t="s">
        <v>6976</v>
      </c>
      <c r="C330" s="8" t="s">
        <v>6980</v>
      </c>
      <c r="D330" s="8" t="s">
        <v>6977</v>
      </c>
      <c r="E330" s="8" t="s">
        <v>263</v>
      </c>
      <c r="F330" s="8" t="s">
        <v>212</v>
      </c>
      <c r="G330" s="8" t="s">
        <v>6979</v>
      </c>
      <c r="H330" s="3" t="s">
        <v>6978</v>
      </c>
      <c r="I330" s="8">
        <v>1</v>
      </c>
      <c r="J330" s="8" t="s">
        <v>6981</v>
      </c>
      <c r="K330" s="8" t="s">
        <v>4480</v>
      </c>
      <c r="L330" s="14">
        <v>2547</v>
      </c>
      <c r="M330" s="14" t="s">
        <v>6982</v>
      </c>
      <c r="N330" s="14"/>
      <c r="O330" s="110" t="s">
        <v>2648</v>
      </c>
      <c r="R330" s="8" t="s">
        <v>6983</v>
      </c>
      <c r="X330" s="13">
        <v>-2.5939999999999999</v>
      </c>
      <c r="Y330" s="13">
        <v>-60.2121</v>
      </c>
      <c r="Z330" s="14">
        <v>80</v>
      </c>
      <c r="AA330" s="22" t="s">
        <v>6984</v>
      </c>
      <c r="AB330" s="8" t="s">
        <v>6985</v>
      </c>
    </row>
    <row r="331" spans="1:28" ht="21.75" customHeight="1" x14ac:dyDescent="0.2">
      <c r="A331" s="7" t="s">
        <v>2983</v>
      </c>
      <c r="B331" s="7" t="s">
        <v>2995</v>
      </c>
      <c r="C331" s="7" t="s">
        <v>2994</v>
      </c>
      <c r="D331" s="7" t="s">
        <v>2996</v>
      </c>
      <c r="E331" s="7" t="s">
        <v>263</v>
      </c>
      <c r="F331" s="7" t="s">
        <v>212</v>
      </c>
      <c r="G331" s="7" t="s">
        <v>2987</v>
      </c>
      <c r="H331" s="1" t="s">
        <v>2984</v>
      </c>
      <c r="I331" s="7">
        <v>2</v>
      </c>
      <c r="J331" s="7" t="s">
        <v>5720</v>
      </c>
      <c r="K331" s="7" t="s">
        <v>4410</v>
      </c>
      <c r="L331" s="6">
        <v>1160</v>
      </c>
      <c r="M331" s="6" t="s">
        <v>2993</v>
      </c>
      <c r="R331" s="7" t="s">
        <v>2953</v>
      </c>
      <c r="W331" s="7" t="s">
        <v>2997</v>
      </c>
      <c r="X331" s="5">
        <f>25+59/60</f>
        <v>25.983333333333334</v>
      </c>
      <c r="Y331" s="5">
        <f>85+48/60</f>
        <v>85.8</v>
      </c>
      <c r="Z331" s="6">
        <v>53</v>
      </c>
      <c r="AA331" s="134" t="s">
        <v>2998</v>
      </c>
      <c r="AB331" s="7" t="s">
        <v>2999</v>
      </c>
    </row>
    <row r="332" spans="1:28" ht="21.75" customHeight="1" x14ac:dyDescent="0.2">
      <c r="A332" s="7" t="s">
        <v>2983</v>
      </c>
      <c r="B332" s="7" t="s">
        <v>2995</v>
      </c>
      <c r="C332" s="7" t="s">
        <v>2994</v>
      </c>
      <c r="D332" s="7" t="s">
        <v>2996</v>
      </c>
      <c r="E332" s="7" t="s">
        <v>263</v>
      </c>
      <c r="F332" s="7" t="s">
        <v>212</v>
      </c>
      <c r="G332" s="7" t="s">
        <v>2986</v>
      </c>
      <c r="H332" s="1" t="s">
        <v>2985</v>
      </c>
      <c r="I332" s="7">
        <v>1.2</v>
      </c>
      <c r="J332" s="7" t="s">
        <v>5720</v>
      </c>
      <c r="K332" s="7" t="s">
        <v>4410</v>
      </c>
      <c r="L332" s="6">
        <v>1160</v>
      </c>
      <c r="M332" s="6" t="s">
        <v>2993</v>
      </c>
      <c r="R332" s="7" t="s">
        <v>2953</v>
      </c>
      <c r="W332" s="7" t="s">
        <v>2997</v>
      </c>
      <c r="X332" s="5">
        <f>25+59/60</f>
        <v>25.983333333333334</v>
      </c>
      <c r="Y332" s="5">
        <f>85+48/60</f>
        <v>85.8</v>
      </c>
      <c r="Z332" s="6">
        <v>53</v>
      </c>
      <c r="AA332" s="136"/>
      <c r="AB332" s="7" t="s">
        <v>2999</v>
      </c>
    </row>
    <row r="333" spans="1:28" ht="21.75" customHeight="1" x14ac:dyDescent="0.2">
      <c r="A333" s="7" t="s">
        <v>2983</v>
      </c>
      <c r="B333" s="7" t="s">
        <v>2995</v>
      </c>
      <c r="C333" s="7" t="s">
        <v>2994</v>
      </c>
      <c r="D333" s="7" t="s">
        <v>2996</v>
      </c>
      <c r="E333" s="7" t="s">
        <v>5956</v>
      </c>
      <c r="F333" s="7" t="s">
        <v>212</v>
      </c>
      <c r="G333" s="7" t="s">
        <v>2989</v>
      </c>
      <c r="H333" s="1" t="s">
        <v>2988</v>
      </c>
      <c r="I333" s="7">
        <v>1</v>
      </c>
      <c r="J333" s="7" t="s">
        <v>5720</v>
      </c>
      <c r="K333" s="7" t="s">
        <v>4410</v>
      </c>
      <c r="L333" s="6">
        <v>1160</v>
      </c>
      <c r="M333" s="6" t="s">
        <v>2993</v>
      </c>
      <c r="R333" s="7" t="s">
        <v>2953</v>
      </c>
      <c r="W333" s="7" t="s">
        <v>2997</v>
      </c>
      <c r="X333" s="5">
        <f>25+59/60</f>
        <v>25.983333333333334</v>
      </c>
      <c r="Y333" s="5">
        <f>85+48/60</f>
        <v>85.8</v>
      </c>
      <c r="Z333" s="6">
        <v>53</v>
      </c>
      <c r="AA333" s="136"/>
      <c r="AB333" s="7" t="s">
        <v>2999</v>
      </c>
    </row>
    <row r="334" spans="1:28" ht="21.75" customHeight="1" x14ac:dyDescent="0.2">
      <c r="A334" s="7" t="s">
        <v>2983</v>
      </c>
      <c r="B334" s="7" t="s">
        <v>2995</v>
      </c>
      <c r="C334" s="7" t="s">
        <v>2994</v>
      </c>
      <c r="D334" s="7" t="s">
        <v>2996</v>
      </c>
      <c r="E334" s="7" t="s">
        <v>280</v>
      </c>
      <c r="F334" s="7" t="s">
        <v>212</v>
      </c>
      <c r="G334" s="7" t="s">
        <v>2990</v>
      </c>
      <c r="H334" s="1" t="s">
        <v>2991</v>
      </c>
      <c r="I334" s="7">
        <v>1.6</v>
      </c>
      <c r="J334" s="7" t="s">
        <v>5720</v>
      </c>
      <c r="K334" s="7" t="s">
        <v>4410</v>
      </c>
      <c r="L334" s="6">
        <v>1160</v>
      </c>
      <c r="M334" s="6" t="s">
        <v>2993</v>
      </c>
      <c r="R334" s="7" t="s">
        <v>2953</v>
      </c>
      <c r="W334" s="7" t="s">
        <v>2997</v>
      </c>
      <c r="X334" s="5">
        <f>25+59/60</f>
        <v>25.983333333333334</v>
      </c>
      <c r="Y334" s="5">
        <f>85+48/60</f>
        <v>85.8</v>
      </c>
      <c r="Z334" s="6">
        <v>53</v>
      </c>
      <c r="AA334" s="136"/>
      <c r="AB334" s="7" t="s">
        <v>2999</v>
      </c>
    </row>
    <row r="335" spans="1:28" ht="21.75" customHeight="1" x14ac:dyDescent="0.2">
      <c r="A335" s="7" t="s">
        <v>2983</v>
      </c>
      <c r="B335" s="7" t="s">
        <v>2995</v>
      </c>
      <c r="C335" s="7" t="s">
        <v>2994</v>
      </c>
      <c r="D335" s="7" t="s">
        <v>2996</v>
      </c>
      <c r="E335" s="7" t="s">
        <v>263</v>
      </c>
      <c r="F335" s="7" t="s">
        <v>212</v>
      </c>
      <c r="H335" s="1" t="s">
        <v>2992</v>
      </c>
      <c r="I335" s="7">
        <v>2.1</v>
      </c>
      <c r="J335" s="7" t="s">
        <v>5720</v>
      </c>
      <c r="K335" s="7" t="s">
        <v>4410</v>
      </c>
      <c r="L335" s="6">
        <v>1160</v>
      </c>
      <c r="M335" s="6" t="s">
        <v>2993</v>
      </c>
      <c r="P335" s="7"/>
      <c r="R335" s="7" t="s">
        <v>2953</v>
      </c>
      <c r="W335" s="7" t="s">
        <v>2997</v>
      </c>
      <c r="X335" s="5">
        <f>25+59/60</f>
        <v>25.983333333333334</v>
      </c>
      <c r="Y335" s="5">
        <f>85+48/60</f>
        <v>85.8</v>
      </c>
      <c r="Z335" s="6">
        <v>53</v>
      </c>
      <c r="AA335" s="135"/>
      <c r="AB335" s="7" t="s">
        <v>2999</v>
      </c>
    </row>
    <row r="336" spans="1:28" s="8" customFormat="1" ht="21.75" customHeight="1" x14ac:dyDescent="0.2">
      <c r="A336" s="8" t="s">
        <v>6010</v>
      </c>
      <c r="B336" s="8" t="s">
        <v>6011</v>
      </c>
      <c r="C336" s="8" t="s">
        <v>6012</v>
      </c>
      <c r="D336" s="8" t="s">
        <v>6020</v>
      </c>
      <c r="E336" s="8" t="s">
        <v>398</v>
      </c>
      <c r="F336" s="8" t="s">
        <v>6049</v>
      </c>
      <c r="G336" s="8" t="s">
        <v>6053</v>
      </c>
      <c r="H336" s="3" t="s">
        <v>6013</v>
      </c>
      <c r="I336" s="8">
        <v>0.3</v>
      </c>
      <c r="J336" s="8" t="s">
        <v>4492</v>
      </c>
      <c r="K336" s="8" t="s">
        <v>5713</v>
      </c>
      <c r="L336" s="14"/>
      <c r="M336" s="14"/>
      <c r="N336" s="14"/>
      <c r="O336" s="110" t="s">
        <v>6075</v>
      </c>
      <c r="R336" s="8" t="s">
        <v>6014</v>
      </c>
      <c r="X336" s="13">
        <v>41.3613</v>
      </c>
      <c r="Y336" s="13">
        <v>-106.2945</v>
      </c>
      <c r="Z336" s="14">
        <v>3283</v>
      </c>
      <c r="AA336" s="19" t="s">
        <v>6094</v>
      </c>
      <c r="AB336" s="8" t="s">
        <v>6101</v>
      </c>
    </row>
    <row r="337" spans="1:28" s="8" customFormat="1" ht="21.75" customHeight="1" x14ac:dyDescent="0.2">
      <c r="A337" s="8" t="s">
        <v>6010</v>
      </c>
      <c r="B337" s="8" t="s">
        <v>6011</v>
      </c>
      <c r="C337" s="8" t="s">
        <v>6012</v>
      </c>
      <c r="D337" s="8" t="s">
        <v>6020</v>
      </c>
      <c r="E337" s="8" t="s">
        <v>398</v>
      </c>
      <c r="F337" s="8" t="s">
        <v>6093</v>
      </c>
      <c r="G337" s="8" t="s">
        <v>6055</v>
      </c>
      <c r="H337" s="3" t="s">
        <v>6054</v>
      </c>
      <c r="I337" s="8">
        <v>0.1</v>
      </c>
      <c r="J337" s="8" t="s">
        <v>4492</v>
      </c>
      <c r="K337" s="8" t="s">
        <v>5713</v>
      </c>
      <c r="L337" s="14"/>
      <c r="M337" s="14"/>
      <c r="N337" s="14"/>
      <c r="O337" s="110" t="s">
        <v>6075</v>
      </c>
      <c r="R337" s="8" t="s">
        <v>6014</v>
      </c>
      <c r="X337" s="13">
        <v>41.3613</v>
      </c>
      <c r="Y337" s="13">
        <v>-106.2945</v>
      </c>
      <c r="Z337" s="14">
        <v>3283</v>
      </c>
      <c r="AA337" s="19" t="s">
        <v>6015</v>
      </c>
      <c r="AB337" s="8" t="s">
        <v>6095</v>
      </c>
    </row>
    <row r="338" spans="1:28" s="8" customFormat="1" ht="21.75" customHeight="1" x14ac:dyDescent="0.2">
      <c r="A338" s="8" t="s">
        <v>6010</v>
      </c>
      <c r="B338" s="8" t="s">
        <v>6011</v>
      </c>
      <c r="C338" s="8" t="s">
        <v>6012</v>
      </c>
      <c r="D338" s="8" t="s">
        <v>6020</v>
      </c>
      <c r="E338" s="8" t="s">
        <v>398</v>
      </c>
      <c r="F338" s="8" t="s">
        <v>6096</v>
      </c>
      <c r="G338" s="8" t="s">
        <v>6056</v>
      </c>
      <c r="H338" s="3" t="s">
        <v>6016</v>
      </c>
      <c r="I338" s="8">
        <v>0.2</v>
      </c>
      <c r="J338" s="8" t="s">
        <v>4492</v>
      </c>
      <c r="K338" s="8" t="s">
        <v>5713</v>
      </c>
      <c r="L338" s="14"/>
      <c r="M338" s="14"/>
      <c r="N338" s="14"/>
      <c r="O338" s="110" t="s">
        <v>6020</v>
      </c>
      <c r="R338" s="8" t="s">
        <v>6014</v>
      </c>
      <c r="X338" s="13">
        <v>41.360500000000002</v>
      </c>
      <c r="Y338" s="13">
        <v>-106.2914</v>
      </c>
      <c r="Z338" s="14">
        <v>3304</v>
      </c>
      <c r="AA338" s="19" t="s">
        <v>6100</v>
      </c>
      <c r="AB338" s="8" t="s">
        <v>6097</v>
      </c>
    </row>
    <row r="339" spans="1:28" s="8" customFormat="1" ht="21.75" customHeight="1" x14ac:dyDescent="0.2">
      <c r="A339" s="8" t="s">
        <v>6010</v>
      </c>
      <c r="B339" s="8" t="s">
        <v>6011</v>
      </c>
      <c r="C339" s="8" t="s">
        <v>6012</v>
      </c>
      <c r="D339" s="8" t="s">
        <v>6020</v>
      </c>
      <c r="E339" s="8" t="s">
        <v>398</v>
      </c>
      <c r="F339" s="8" t="s">
        <v>6049</v>
      </c>
      <c r="G339" s="8" t="s">
        <v>6098</v>
      </c>
      <c r="H339" s="3" t="s">
        <v>6018</v>
      </c>
      <c r="I339" s="8">
        <v>0.15</v>
      </c>
      <c r="J339" s="8" t="s">
        <v>4492</v>
      </c>
      <c r="K339" s="8" t="s">
        <v>5713</v>
      </c>
      <c r="L339" s="14"/>
      <c r="M339" s="14"/>
      <c r="N339" s="14"/>
      <c r="O339" s="110" t="s">
        <v>6104</v>
      </c>
      <c r="R339" s="8" t="s">
        <v>6014</v>
      </c>
      <c r="X339" s="13">
        <v>41.370699999999999</v>
      </c>
      <c r="Y339" s="13">
        <v>-106.2756</v>
      </c>
      <c r="Z339" s="14">
        <v>3373</v>
      </c>
      <c r="AA339" s="19" t="s">
        <v>6019</v>
      </c>
      <c r="AB339" s="8" t="s">
        <v>6099</v>
      </c>
    </row>
    <row r="340" spans="1:28" s="8" customFormat="1" ht="21.75" customHeight="1" x14ac:dyDescent="0.2">
      <c r="A340" s="8" t="s">
        <v>6010</v>
      </c>
      <c r="B340" s="8" t="s">
        <v>6011</v>
      </c>
      <c r="C340" s="8" t="s">
        <v>6012</v>
      </c>
      <c r="D340" s="8" t="s">
        <v>6020</v>
      </c>
      <c r="E340" s="8" t="s">
        <v>398</v>
      </c>
      <c r="F340" s="8" t="s">
        <v>6049</v>
      </c>
      <c r="H340" s="3" t="s">
        <v>6017</v>
      </c>
      <c r="I340" s="8">
        <v>0.4</v>
      </c>
      <c r="J340" s="8" t="s">
        <v>4492</v>
      </c>
      <c r="K340" s="8" t="s">
        <v>5713</v>
      </c>
      <c r="L340" s="14"/>
      <c r="M340" s="14"/>
      <c r="N340" s="14"/>
      <c r="O340" s="110" t="s">
        <v>6104</v>
      </c>
      <c r="R340" s="8" t="s">
        <v>6014</v>
      </c>
      <c r="X340" s="13">
        <v>41.341799999999999</v>
      </c>
      <c r="Y340" s="13">
        <v>-106.32559999999999</v>
      </c>
      <c r="Z340" s="14">
        <v>3247</v>
      </c>
      <c r="AA340" s="19" t="s">
        <v>6102</v>
      </c>
    </row>
    <row r="341" spans="1:28" s="8" customFormat="1" ht="21.75" customHeight="1" x14ac:dyDescent="0.2">
      <c r="A341" s="8" t="s">
        <v>6010</v>
      </c>
      <c r="B341" s="8" t="s">
        <v>6011</v>
      </c>
      <c r="C341" s="8" t="s">
        <v>6012</v>
      </c>
      <c r="D341" s="8" t="s">
        <v>6020</v>
      </c>
      <c r="E341" s="8" t="s">
        <v>398</v>
      </c>
      <c r="F341" s="8" t="s">
        <v>4394</v>
      </c>
      <c r="G341" s="8" t="s">
        <v>6103</v>
      </c>
      <c r="H341" s="3" t="s">
        <v>6021</v>
      </c>
      <c r="I341" s="8">
        <v>0.31</v>
      </c>
      <c r="J341" s="8" t="s">
        <v>4492</v>
      </c>
      <c r="K341" s="8" t="s">
        <v>5713</v>
      </c>
      <c r="L341" s="14"/>
      <c r="M341" s="14"/>
      <c r="N341" s="14"/>
      <c r="O341" s="110" t="s">
        <v>6104</v>
      </c>
      <c r="R341" s="8" t="s">
        <v>6014</v>
      </c>
      <c r="X341" s="13">
        <v>41.341799999999999</v>
      </c>
      <c r="Y341" s="13">
        <v>-106.32559999999999</v>
      </c>
      <c r="Z341" s="14">
        <v>3247</v>
      </c>
      <c r="AA341" s="19" t="s">
        <v>6022</v>
      </c>
    </row>
    <row r="342" spans="1:28" s="8" customFormat="1" ht="21.75" customHeight="1" x14ac:dyDescent="0.2">
      <c r="A342" s="8" t="s">
        <v>6010</v>
      </c>
      <c r="B342" s="8" t="s">
        <v>6011</v>
      </c>
      <c r="C342" s="8" t="s">
        <v>6012</v>
      </c>
      <c r="D342" s="8" t="s">
        <v>6020</v>
      </c>
      <c r="E342" s="8" t="s">
        <v>398</v>
      </c>
      <c r="F342" s="8" t="s">
        <v>4394</v>
      </c>
      <c r="G342" s="8" t="s">
        <v>6106</v>
      </c>
      <c r="H342" s="3" t="s">
        <v>6023</v>
      </c>
      <c r="I342" s="8">
        <v>0.26</v>
      </c>
      <c r="J342" s="8" t="s">
        <v>4492</v>
      </c>
      <c r="K342" s="8" t="s">
        <v>5713</v>
      </c>
      <c r="L342" s="14"/>
      <c r="M342" s="14"/>
      <c r="N342" s="14"/>
      <c r="O342" s="110" t="s">
        <v>6104</v>
      </c>
      <c r="R342" s="8" t="s">
        <v>6014</v>
      </c>
      <c r="X342" s="13">
        <v>41.341799999999999</v>
      </c>
      <c r="Y342" s="13">
        <v>-106.32559999999999</v>
      </c>
      <c r="Z342" s="14">
        <v>3247</v>
      </c>
      <c r="AA342" s="19" t="s">
        <v>6024</v>
      </c>
      <c r="AB342" s="8" t="s">
        <v>6105</v>
      </c>
    </row>
    <row r="343" spans="1:28" s="8" customFormat="1" ht="21.75" customHeight="1" x14ac:dyDescent="0.2">
      <c r="A343" s="8" t="s">
        <v>6010</v>
      </c>
      <c r="B343" s="8" t="s">
        <v>6011</v>
      </c>
      <c r="C343" s="8" t="s">
        <v>6012</v>
      </c>
      <c r="D343" s="8" t="s">
        <v>6020</v>
      </c>
      <c r="E343" s="8" t="s">
        <v>398</v>
      </c>
      <c r="F343" s="8" t="s">
        <v>4394</v>
      </c>
      <c r="G343" s="8" t="s">
        <v>6057</v>
      </c>
      <c r="H343" s="3" t="s">
        <v>6025</v>
      </c>
      <c r="I343" s="8">
        <v>0.1</v>
      </c>
      <c r="J343" s="8" t="s">
        <v>4492</v>
      </c>
      <c r="K343" s="8" t="s">
        <v>5713</v>
      </c>
      <c r="L343" s="14"/>
      <c r="M343" s="14"/>
      <c r="N343" s="14"/>
      <c r="O343" s="110" t="s">
        <v>6104</v>
      </c>
      <c r="R343" s="8" t="s">
        <v>6014</v>
      </c>
      <c r="X343" s="13">
        <v>41.341799999999999</v>
      </c>
      <c r="Y343" s="13">
        <v>-106.32559999999999</v>
      </c>
      <c r="Z343" s="14">
        <v>3247</v>
      </c>
      <c r="AA343" s="19" t="s">
        <v>6026</v>
      </c>
      <c r="AB343" s="8" t="s">
        <v>6107</v>
      </c>
    </row>
    <row r="344" spans="1:28" s="8" customFormat="1" ht="21.75" customHeight="1" x14ac:dyDescent="0.2">
      <c r="A344" s="8" t="s">
        <v>6010</v>
      </c>
      <c r="B344" s="8" t="s">
        <v>6011</v>
      </c>
      <c r="C344" s="8" t="s">
        <v>6012</v>
      </c>
      <c r="D344" s="8" t="s">
        <v>6020</v>
      </c>
      <c r="E344" s="8" t="s">
        <v>398</v>
      </c>
      <c r="F344" s="8" t="s">
        <v>6049</v>
      </c>
      <c r="G344" s="8" t="s">
        <v>6108</v>
      </c>
      <c r="H344" s="3" t="s">
        <v>6058</v>
      </c>
      <c r="I344" s="8">
        <v>0.1</v>
      </c>
      <c r="J344" s="8" t="s">
        <v>4492</v>
      </c>
      <c r="K344" s="8" t="s">
        <v>5713</v>
      </c>
      <c r="L344" s="14"/>
      <c r="M344" s="14"/>
      <c r="N344" s="14"/>
      <c r="O344" s="110" t="s">
        <v>6075</v>
      </c>
      <c r="R344" s="8" t="s">
        <v>6014</v>
      </c>
      <c r="X344" s="13">
        <v>41.3538</v>
      </c>
      <c r="Y344" s="13">
        <v>-106.31440000000001</v>
      </c>
      <c r="Z344" s="14">
        <v>3337</v>
      </c>
      <c r="AA344" s="19" t="s">
        <v>6027</v>
      </c>
      <c r="AB344" s="8" t="s">
        <v>6109</v>
      </c>
    </row>
    <row r="345" spans="1:28" s="8" customFormat="1" ht="21.75" customHeight="1" x14ac:dyDescent="0.2">
      <c r="A345" s="8" t="s">
        <v>6010</v>
      </c>
      <c r="B345" s="8" t="s">
        <v>6011</v>
      </c>
      <c r="C345" s="8" t="s">
        <v>6012</v>
      </c>
      <c r="D345" s="8" t="s">
        <v>6020</v>
      </c>
      <c r="E345" s="8" t="s">
        <v>398</v>
      </c>
      <c r="F345" s="8" t="s">
        <v>6049</v>
      </c>
      <c r="G345" s="8" t="s">
        <v>6074</v>
      </c>
      <c r="H345" s="3" t="s">
        <v>6059</v>
      </c>
      <c r="I345" s="8">
        <v>0.48</v>
      </c>
      <c r="J345" s="8" t="s">
        <v>4492</v>
      </c>
      <c r="K345" s="8" t="s">
        <v>5713</v>
      </c>
      <c r="L345" s="14"/>
      <c r="M345" s="14"/>
      <c r="N345" s="14"/>
      <c r="O345" s="110" t="s">
        <v>6075</v>
      </c>
      <c r="R345" s="8" t="s">
        <v>6014</v>
      </c>
      <c r="X345" s="13">
        <v>41.3538</v>
      </c>
      <c r="Y345" s="13">
        <v>-106.31440000000001</v>
      </c>
      <c r="Z345" s="14">
        <v>3337</v>
      </c>
      <c r="AA345" s="19" t="s">
        <v>6110</v>
      </c>
    </row>
    <row r="346" spans="1:28" s="8" customFormat="1" ht="21.75" customHeight="1" x14ac:dyDescent="0.2">
      <c r="A346" s="8" t="s">
        <v>6010</v>
      </c>
      <c r="B346" s="8" t="s">
        <v>6011</v>
      </c>
      <c r="C346" s="8" t="s">
        <v>6012</v>
      </c>
      <c r="D346" s="8" t="s">
        <v>6020</v>
      </c>
      <c r="E346" s="8" t="s">
        <v>398</v>
      </c>
      <c r="F346" s="8" t="s">
        <v>6049</v>
      </c>
      <c r="H346" s="3" t="s">
        <v>6060</v>
      </c>
      <c r="I346" s="8">
        <v>0.35</v>
      </c>
      <c r="J346" s="8" t="s">
        <v>4492</v>
      </c>
      <c r="K346" s="8" t="s">
        <v>5713</v>
      </c>
      <c r="L346" s="14"/>
      <c r="M346" s="14"/>
      <c r="N346" s="14"/>
      <c r="O346" s="110" t="s">
        <v>6075</v>
      </c>
      <c r="R346" s="8" t="s">
        <v>6014</v>
      </c>
      <c r="X346" s="13">
        <v>41.3538</v>
      </c>
      <c r="Y346" s="13">
        <v>-106.31440000000001</v>
      </c>
      <c r="Z346" s="14">
        <v>3337</v>
      </c>
      <c r="AA346" s="19" t="s">
        <v>6111</v>
      </c>
    </row>
    <row r="347" spans="1:28" s="8" customFormat="1" ht="21.75" customHeight="1" x14ac:dyDescent="0.2">
      <c r="A347" s="8" t="s">
        <v>6010</v>
      </c>
      <c r="B347" s="8" t="s">
        <v>6011</v>
      </c>
      <c r="C347" s="8" t="s">
        <v>6012</v>
      </c>
      <c r="D347" s="8" t="s">
        <v>6020</v>
      </c>
      <c r="E347" s="8" t="s">
        <v>398</v>
      </c>
      <c r="F347" s="8" t="s">
        <v>6049</v>
      </c>
      <c r="H347" s="3" t="s">
        <v>6061</v>
      </c>
      <c r="I347" s="8">
        <v>0.37</v>
      </c>
      <c r="J347" s="8" t="s">
        <v>4492</v>
      </c>
      <c r="K347" s="8" t="s">
        <v>5713</v>
      </c>
      <c r="L347" s="14"/>
      <c r="M347" s="14"/>
      <c r="N347" s="14"/>
      <c r="O347" s="110" t="s">
        <v>6104</v>
      </c>
      <c r="R347" s="8" t="s">
        <v>6014</v>
      </c>
      <c r="X347" s="13">
        <v>41.341799999999999</v>
      </c>
      <c r="Y347" s="13">
        <v>-106.32559999999999</v>
      </c>
      <c r="Z347" s="14">
        <v>3247</v>
      </c>
      <c r="AA347" s="19" t="s">
        <v>6112</v>
      </c>
      <c r="AB347" s="8" t="s">
        <v>6113</v>
      </c>
    </row>
    <row r="348" spans="1:28" s="8" customFormat="1" ht="21.75" customHeight="1" x14ac:dyDescent="0.2">
      <c r="A348" s="8" t="s">
        <v>6010</v>
      </c>
      <c r="B348" s="8" t="s">
        <v>6011</v>
      </c>
      <c r="C348" s="8" t="s">
        <v>6012</v>
      </c>
      <c r="D348" s="8" t="s">
        <v>6020</v>
      </c>
      <c r="E348" s="8" t="s">
        <v>398</v>
      </c>
      <c r="F348" s="8" t="s">
        <v>6077</v>
      </c>
      <c r="G348" s="8" t="s">
        <v>6076</v>
      </c>
      <c r="H348" s="3" t="s">
        <v>6062</v>
      </c>
      <c r="I348" s="8">
        <v>0.24</v>
      </c>
      <c r="J348" s="8" t="s">
        <v>4492</v>
      </c>
      <c r="K348" s="8" t="s">
        <v>5713</v>
      </c>
      <c r="L348" s="14"/>
      <c r="M348" s="14"/>
      <c r="N348" s="14"/>
      <c r="O348" s="110" t="s">
        <v>6104</v>
      </c>
      <c r="R348" s="8" t="s">
        <v>6014</v>
      </c>
      <c r="X348" s="13">
        <v>41.341799999999999</v>
      </c>
      <c r="Y348" s="13">
        <v>-106.32559999999999</v>
      </c>
      <c r="Z348" s="14">
        <v>3247</v>
      </c>
      <c r="AA348" s="19" t="s">
        <v>6114</v>
      </c>
      <c r="AB348" s="8" t="s">
        <v>6115</v>
      </c>
    </row>
    <row r="349" spans="1:28" s="8" customFormat="1" ht="21.75" customHeight="1" x14ac:dyDescent="0.2">
      <c r="A349" s="8" t="s">
        <v>6010</v>
      </c>
      <c r="B349" s="8" t="s">
        <v>6011</v>
      </c>
      <c r="C349" s="8" t="s">
        <v>6012</v>
      </c>
      <c r="D349" s="8" t="s">
        <v>6020</v>
      </c>
      <c r="E349" s="8" t="s">
        <v>398</v>
      </c>
      <c r="F349" s="8" t="s">
        <v>6077</v>
      </c>
      <c r="G349" s="8" t="s">
        <v>6078</v>
      </c>
      <c r="H349" s="3" t="s">
        <v>6063</v>
      </c>
      <c r="I349" s="8">
        <v>0.38</v>
      </c>
      <c r="J349" s="8" t="s">
        <v>4492</v>
      </c>
      <c r="K349" s="8" t="s">
        <v>5713</v>
      </c>
      <c r="L349" s="14"/>
      <c r="M349" s="14"/>
      <c r="N349" s="14"/>
      <c r="O349" s="110" t="s">
        <v>6104</v>
      </c>
      <c r="R349" s="8" t="s">
        <v>6014</v>
      </c>
      <c r="X349" s="13">
        <v>41.341799999999999</v>
      </c>
      <c r="Y349" s="13">
        <v>-106.32559999999999</v>
      </c>
      <c r="Z349" s="14">
        <v>3247</v>
      </c>
      <c r="AA349" s="19" t="s">
        <v>6116</v>
      </c>
      <c r="AB349" s="8" t="s">
        <v>6115</v>
      </c>
    </row>
    <row r="350" spans="1:28" s="8" customFormat="1" ht="21.75" customHeight="1" x14ac:dyDescent="0.2">
      <c r="A350" s="8" t="s">
        <v>6010</v>
      </c>
      <c r="B350" s="8" t="s">
        <v>6011</v>
      </c>
      <c r="C350" s="8" t="s">
        <v>6012</v>
      </c>
      <c r="D350" s="8" t="s">
        <v>6020</v>
      </c>
      <c r="E350" s="8" t="s">
        <v>275</v>
      </c>
      <c r="F350" s="8" t="s">
        <v>6049</v>
      </c>
      <c r="G350" s="8" t="s">
        <v>6079</v>
      </c>
      <c r="H350" s="3" t="s">
        <v>6064</v>
      </c>
      <c r="I350" s="8">
        <v>0.1</v>
      </c>
      <c r="J350" s="8" t="s">
        <v>4492</v>
      </c>
      <c r="K350" s="8" t="s">
        <v>5713</v>
      </c>
      <c r="L350" s="14"/>
      <c r="M350" s="14"/>
      <c r="N350" s="14"/>
      <c r="O350" s="110" t="s">
        <v>6104</v>
      </c>
      <c r="R350" s="8" t="s">
        <v>6014</v>
      </c>
      <c r="X350" s="13">
        <v>41.341799999999999</v>
      </c>
      <c r="Y350" s="13">
        <v>-106.32559999999999</v>
      </c>
      <c r="Z350" s="14">
        <v>3247</v>
      </c>
      <c r="AA350" s="19" t="s">
        <v>6117</v>
      </c>
    </row>
    <row r="351" spans="1:28" s="8" customFormat="1" ht="21.75" customHeight="1" x14ac:dyDescent="0.2">
      <c r="A351" s="8" t="s">
        <v>6010</v>
      </c>
      <c r="B351" s="8" t="s">
        <v>6011</v>
      </c>
      <c r="C351" s="8" t="s">
        <v>6012</v>
      </c>
      <c r="D351" s="8" t="s">
        <v>6020</v>
      </c>
      <c r="E351" s="8" t="s">
        <v>398</v>
      </c>
      <c r="F351" s="8" t="s">
        <v>6081</v>
      </c>
      <c r="G351" s="8" t="s">
        <v>6080</v>
      </c>
      <c r="H351" s="3" t="s">
        <v>6065</v>
      </c>
      <c r="I351" s="8">
        <v>0.35</v>
      </c>
      <c r="J351" s="8" t="s">
        <v>4492</v>
      </c>
      <c r="K351" s="8" t="s">
        <v>5713</v>
      </c>
      <c r="L351" s="14"/>
      <c r="M351" s="14"/>
      <c r="N351" s="14"/>
      <c r="O351" s="110" t="s">
        <v>6089</v>
      </c>
      <c r="R351" s="8" t="s">
        <v>6014</v>
      </c>
      <c r="X351" s="13">
        <v>41.353000000000002</v>
      </c>
      <c r="Y351" s="13">
        <v>-106.2942</v>
      </c>
      <c r="Z351" s="14">
        <v>3293</v>
      </c>
      <c r="AA351" s="19" t="s">
        <v>6118</v>
      </c>
    </row>
    <row r="352" spans="1:28" s="8" customFormat="1" ht="21.75" customHeight="1" x14ac:dyDescent="0.2">
      <c r="A352" s="8" t="s">
        <v>6010</v>
      </c>
      <c r="B352" s="8" t="s">
        <v>6011</v>
      </c>
      <c r="C352" s="8" t="s">
        <v>6012</v>
      </c>
      <c r="D352" s="8" t="s">
        <v>6020</v>
      </c>
      <c r="E352" s="8" t="s">
        <v>398</v>
      </c>
      <c r="F352" s="8" t="s">
        <v>6049</v>
      </c>
      <c r="G352" s="8" t="s">
        <v>6082</v>
      </c>
      <c r="H352" s="3" t="s">
        <v>6066</v>
      </c>
      <c r="I352" s="8">
        <v>0.55000000000000004</v>
      </c>
      <c r="J352" s="8" t="s">
        <v>4492</v>
      </c>
      <c r="K352" s="8" t="s">
        <v>5713</v>
      </c>
      <c r="L352" s="14"/>
      <c r="M352" s="14"/>
      <c r="N352" s="14"/>
      <c r="O352" s="110" t="s">
        <v>6083</v>
      </c>
      <c r="R352" s="8" t="s">
        <v>6014</v>
      </c>
      <c r="X352" s="13">
        <v>41.341799999999999</v>
      </c>
      <c r="Y352" s="13">
        <v>-106.32559999999999</v>
      </c>
      <c r="Z352" s="14">
        <v>3247</v>
      </c>
      <c r="AA352" s="19" t="s">
        <v>6119</v>
      </c>
    </row>
    <row r="353" spans="1:28" s="8" customFormat="1" ht="21.75" customHeight="1" x14ac:dyDescent="0.2">
      <c r="A353" s="8" t="s">
        <v>6010</v>
      </c>
      <c r="B353" s="8" t="s">
        <v>6011</v>
      </c>
      <c r="C353" s="8" t="s">
        <v>6012</v>
      </c>
      <c r="D353" s="8" t="s">
        <v>6020</v>
      </c>
      <c r="E353" s="8" t="s">
        <v>398</v>
      </c>
      <c r="F353" s="8" t="s">
        <v>6049</v>
      </c>
      <c r="G353" s="8" t="s">
        <v>6084</v>
      </c>
      <c r="H353" s="3" t="s">
        <v>6067</v>
      </c>
      <c r="I353" s="8">
        <v>0.24</v>
      </c>
      <c r="J353" s="8" t="s">
        <v>4492</v>
      </c>
      <c r="K353" s="8" t="s">
        <v>5713</v>
      </c>
      <c r="L353" s="14"/>
      <c r="M353" s="14"/>
      <c r="N353" s="14"/>
      <c r="O353" s="110" t="s">
        <v>6083</v>
      </c>
      <c r="R353" s="8" t="s">
        <v>6014</v>
      </c>
      <c r="X353" s="13">
        <v>41.341799999999999</v>
      </c>
      <c r="Y353" s="13">
        <v>-106.32559999999999</v>
      </c>
      <c r="Z353" s="14">
        <v>3247</v>
      </c>
      <c r="AA353" s="19" t="s">
        <v>6120</v>
      </c>
    </row>
    <row r="354" spans="1:28" s="8" customFormat="1" ht="21.75" customHeight="1" x14ac:dyDescent="0.2">
      <c r="A354" s="8" t="s">
        <v>6010</v>
      </c>
      <c r="B354" s="8" t="s">
        <v>6011</v>
      </c>
      <c r="C354" s="8" t="s">
        <v>6012</v>
      </c>
      <c r="D354" s="8" t="s">
        <v>6020</v>
      </c>
      <c r="E354" s="8" t="s">
        <v>398</v>
      </c>
      <c r="F354" s="8" t="s">
        <v>6090</v>
      </c>
      <c r="G354" s="8" t="s">
        <v>6085</v>
      </c>
      <c r="H354" s="3" t="s">
        <v>6068</v>
      </c>
      <c r="I354" s="8">
        <v>0.09</v>
      </c>
      <c r="J354" s="8" t="s">
        <v>4492</v>
      </c>
      <c r="K354" s="8" t="s">
        <v>5713</v>
      </c>
      <c r="L354" s="14"/>
      <c r="M354" s="14"/>
      <c r="N354" s="14"/>
      <c r="O354" s="110" t="s">
        <v>6083</v>
      </c>
      <c r="R354" s="8" t="s">
        <v>6014</v>
      </c>
      <c r="X354" s="13">
        <v>41.341799999999999</v>
      </c>
      <c r="Y354" s="13">
        <v>-106.32559999999999</v>
      </c>
      <c r="Z354" s="14">
        <v>3247</v>
      </c>
      <c r="AA354" s="8" t="s">
        <v>6122</v>
      </c>
    </row>
    <row r="355" spans="1:28" s="8" customFormat="1" ht="21.75" customHeight="1" x14ac:dyDescent="0.2">
      <c r="A355" s="8" t="s">
        <v>6010</v>
      </c>
      <c r="B355" s="8" t="s">
        <v>6011</v>
      </c>
      <c r="C355" s="8" t="s">
        <v>6012</v>
      </c>
      <c r="D355" s="8" t="s">
        <v>6020</v>
      </c>
      <c r="E355" s="8" t="s">
        <v>398</v>
      </c>
      <c r="F355" s="8" t="s">
        <v>6049</v>
      </c>
      <c r="G355" s="8" t="s">
        <v>6086</v>
      </c>
      <c r="H355" s="3" t="s">
        <v>6069</v>
      </c>
      <c r="I355" s="8">
        <v>0.28000000000000003</v>
      </c>
      <c r="J355" s="8" t="s">
        <v>4492</v>
      </c>
      <c r="K355" s="8" t="s">
        <v>5713</v>
      </c>
      <c r="L355" s="14"/>
      <c r="M355" s="14"/>
      <c r="N355" s="14"/>
      <c r="O355" s="110" t="s">
        <v>6083</v>
      </c>
      <c r="R355" s="8" t="s">
        <v>6014</v>
      </c>
      <c r="X355" s="13">
        <v>41.341799999999999</v>
      </c>
      <c r="Y355" s="13">
        <v>-106.32559999999999</v>
      </c>
      <c r="Z355" s="14">
        <v>3247</v>
      </c>
      <c r="AA355" s="19" t="s">
        <v>6121</v>
      </c>
    </row>
    <row r="356" spans="1:28" s="8" customFormat="1" ht="21.75" customHeight="1" x14ac:dyDescent="0.2">
      <c r="A356" s="8" t="s">
        <v>6010</v>
      </c>
      <c r="B356" s="8" t="s">
        <v>6011</v>
      </c>
      <c r="C356" s="8" t="s">
        <v>6012</v>
      </c>
      <c r="D356" s="8" t="s">
        <v>6020</v>
      </c>
      <c r="E356" s="8" t="s">
        <v>398</v>
      </c>
      <c r="F356" s="8" t="s">
        <v>6049</v>
      </c>
      <c r="G356" s="8" t="s">
        <v>6087</v>
      </c>
      <c r="H356" s="3" t="s">
        <v>6070</v>
      </c>
      <c r="I356" s="8">
        <v>0.2</v>
      </c>
      <c r="J356" s="8" t="s">
        <v>4492</v>
      </c>
      <c r="K356" s="8" t="s">
        <v>5713</v>
      </c>
      <c r="L356" s="14"/>
      <c r="M356" s="14"/>
      <c r="N356" s="14"/>
      <c r="O356" s="110" t="s">
        <v>6075</v>
      </c>
      <c r="R356" s="8" t="s">
        <v>6014</v>
      </c>
      <c r="X356" s="13">
        <v>41.3538</v>
      </c>
      <c r="Y356" s="13">
        <v>-106.31440000000001</v>
      </c>
      <c r="Z356" s="14">
        <v>3337</v>
      </c>
      <c r="AA356" s="19" t="s">
        <v>6123</v>
      </c>
    </row>
    <row r="357" spans="1:28" s="8" customFormat="1" ht="21.75" customHeight="1" x14ac:dyDescent="0.2">
      <c r="A357" s="8" t="s">
        <v>6010</v>
      </c>
      <c r="B357" s="8" t="s">
        <v>6011</v>
      </c>
      <c r="C357" s="8" t="s">
        <v>6012</v>
      </c>
      <c r="D357" s="8" t="s">
        <v>6020</v>
      </c>
      <c r="E357" s="8" t="s">
        <v>398</v>
      </c>
      <c r="F357" s="8" t="s">
        <v>6090</v>
      </c>
      <c r="G357" s="8" t="s">
        <v>6088</v>
      </c>
      <c r="H357" s="3" t="s">
        <v>6071</v>
      </c>
      <c r="I357" s="8">
        <v>0.1</v>
      </c>
      <c r="J357" s="8" t="s">
        <v>4492</v>
      </c>
      <c r="K357" s="8" t="s">
        <v>5713</v>
      </c>
      <c r="L357" s="14"/>
      <c r="M357" s="14"/>
      <c r="N357" s="14"/>
      <c r="O357" s="110" t="s">
        <v>6089</v>
      </c>
      <c r="R357" s="8" t="s">
        <v>6014</v>
      </c>
      <c r="X357" s="13">
        <v>41.353000000000002</v>
      </c>
      <c r="Y357" s="13">
        <v>-106.2942</v>
      </c>
      <c r="Z357" s="14">
        <v>3293</v>
      </c>
      <c r="AA357" s="19" t="s">
        <v>6124</v>
      </c>
    </row>
    <row r="358" spans="1:28" s="8" customFormat="1" ht="21.75" customHeight="1" x14ac:dyDescent="0.2">
      <c r="A358" s="8" t="s">
        <v>6010</v>
      </c>
      <c r="B358" s="8" t="s">
        <v>6011</v>
      </c>
      <c r="C358" s="8" t="s">
        <v>6012</v>
      </c>
      <c r="D358" s="8" t="s">
        <v>6020</v>
      </c>
      <c r="E358" s="8" t="s">
        <v>398</v>
      </c>
      <c r="F358" s="8" t="s">
        <v>6049</v>
      </c>
      <c r="G358" s="8" t="s">
        <v>6091</v>
      </c>
      <c r="H358" s="3" t="s">
        <v>6072</v>
      </c>
      <c r="I358" s="8">
        <v>0.16</v>
      </c>
      <c r="J358" s="8" t="s">
        <v>4492</v>
      </c>
      <c r="K358" s="8" t="s">
        <v>5713</v>
      </c>
      <c r="L358" s="14"/>
      <c r="M358" s="14"/>
      <c r="N358" s="14"/>
      <c r="O358" s="110" t="s">
        <v>6083</v>
      </c>
      <c r="R358" s="8" t="s">
        <v>6014</v>
      </c>
      <c r="X358" s="13">
        <v>41.341799999999999</v>
      </c>
      <c r="Y358" s="13">
        <v>-106.32559999999999</v>
      </c>
      <c r="Z358" s="14">
        <v>3247</v>
      </c>
      <c r="AA358" s="19" t="s">
        <v>6125</v>
      </c>
    </row>
    <row r="359" spans="1:28" s="8" customFormat="1" ht="21.75" customHeight="1" x14ac:dyDescent="0.2">
      <c r="A359" s="8" t="s">
        <v>6010</v>
      </c>
      <c r="B359" s="8" t="s">
        <v>6011</v>
      </c>
      <c r="C359" s="8" t="s">
        <v>6012</v>
      </c>
      <c r="D359" s="8" t="s">
        <v>6020</v>
      </c>
      <c r="E359" s="8" t="s">
        <v>398</v>
      </c>
      <c r="F359" s="8" t="s">
        <v>6049</v>
      </c>
      <c r="G359" s="8" t="s">
        <v>6092</v>
      </c>
      <c r="H359" s="3" t="s">
        <v>6073</v>
      </c>
      <c r="I359" s="8">
        <v>0.25</v>
      </c>
      <c r="J359" s="8" t="s">
        <v>4492</v>
      </c>
      <c r="K359" s="8" t="s">
        <v>5713</v>
      </c>
      <c r="L359" s="14"/>
      <c r="M359" s="14"/>
      <c r="N359" s="14"/>
      <c r="O359" s="110" t="s">
        <v>6083</v>
      </c>
      <c r="R359" s="8" t="s">
        <v>6014</v>
      </c>
      <c r="X359" s="13">
        <v>41.341799999999999</v>
      </c>
      <c r="Y359" s="13">
        <v>-106.32559999999999</v>
      </c>
      <c r="Z359" s="14">
        <v>3247</v>
      </c>
      <c r="AA359" s="19" t="s">
        <v>6126</v>
      </c>
      <c r="AB359" s="8" t="s">
        <v>6127</v>
      </c>
    </row>
    <row r="360" spans="1:28" ht="21.75" customHeight="1" x14ac:dyDescent="0.2">
      <c r="A360" s="7" t="s">
        <v>7327</v>
      </c>
      <c r="B360" s="7" t="s">
        <v>7331</v>
      </c>
      <c r="C360" s="7" t="s">
        <v>4160</v>
      </c>
      <c r="D360" s="7" t="s">
        <v>7330</v>
      </c>
      <c r="E360" s="7" t="s">
        <v>263</v>
      </c>
      <c r="F360" s="7" t="s">
        <v>212</v>
      </c>
      <c r="G360" s="7" t="s">
        <v>7329</v>
      </c>
      <c r="H360" s="1" t="s">
        <v>7328</v>
      </c>
      <c r="I360" s="7">
        <v>13</v>
      </c>
      <c r="J360" s="7" t="s">
        <v>7337</v>
      </c>
      <c r="K360" s="7" t="s">
        <v>4480</v>
      </c>
      <c r="L360" s="6">
        <v>665</v>
      </c>
      <c r="M360" s="6" t="s">
        <v>4587</v>
      </c>
      <c r="N360" s="6">
        <v>1760</v>
      </c>
      <c r="P360" s="7" t="s">
        <v>7335</v>
      </c>
      <c r="Q360" s="7">
        <v>14</v>
      </c>
      <c r="R360" s="7" t="s">
        <v>7334</v>
      </c>
      <c r="U360" s="7" t="s">
        <v>7333</v>
      </c>
      <c r="V360" s="7">
        <v>0.3</v>
      </c>
      <c r="W360" s="7" t="s">
        <v>7332</v>
      </c>
      <c r="X360" s="5">
        <v>38.526499999999999</v>
      </c>
      <c r="Y360" s="5">
        <v>-8.0183999999999997</v>
      </c>
      <c r="Z360" s="6">
        <v>243</v>
      </c>
      <c r="AA360" s="73" t="s">
        <v>7336</v>
      </c>
      <c r="AB360" s="7" t="s">
        <v>7338</v>
      </c>
    </row>
    <row r="361" spans="1:28" ht="21.75" customHeight="1" x14ac:dyDescent="0.2">
      <c r="A361" s="7" t="s">
        <v>7318</v>
      </c>
      <c r="B361" s="7" t="s">
        <v>7319</v>
      </c>
      <c r="C361" s="7" t="s">
        <v>4160</v>
      </c>
      <c r="D361" s="7" t="s">
        <v>7321</v>
      </c>
      <c r="E361" s="7" t="s">
        <v>263</v>
      </c>
      <c r="F361" s="7" t="s">
        <v>212</v>
      </c>
      <c r="G361" s="7" t="s">
        <v>7320</v>
      </c>
      <c r="H361" s="1" t="s">
        <v>7217</v>
      </c>
      <c r="I361" s="7">
        <v>6.5</v>
      </c>
      <c r="J361" s="7" t="s">
        <v>4367</v>
      </c>
      <c r="K361" s="7" t="s">
        <v>4386</v>
      </c>
      <c r="L361" s="6">
        <v>708</v>
      </c>
      <c r="M361" s="6" t="s">
        <v>7322</v>
      </c>
      <c r="N361" s="6">
        <v>1347</v>
      </c>
      <c r="P361" s="7" t="s">
        <v>7325</v>
      </c>
      <c r="Q361" s="7">
        <v>4.5</v>
      </c>
      <c r="R361" s="7" t="s">
        <v>7323</v>
      </c>
      <c r="X361" s="5">
        <v>38.8337</v>
      </c>
      <c r="Y361" s="5">
        <v>-8.8188999999999993</v>
      </c>
      <c r="Z361" s="6">
        <v>19</v>
      </c>
      <c r="AA361" s="73" t="s">
        <v>7324</v>
      </c>
      <c r="AB361" s="7" t="s">
        <v>7326</v>
      </c>
    </row>
    <row r="362" spans="1:28" s="8" customFormat="1" ht="21.75" customHeight="1" x14ac:dyDescent="0.2">
      <c r="A362" s="8" t="s">
        <v>2555</v>
      </c>
      <c r="B362" s="8" t="s">
        <v>2556</v>
      </c>
      <c r="C362" s="8" t="s">
        <v>2563</v>
      </c>
      <c r="D362" s="8" t="s">
        <v>2557</v>
      </c>
      <c r="E362" s="8" t="s">
        <v>263</v>
      </c>
      <c r="F362" s="8" t="s">
        <v>212</v>
      </c>
      <c r="H362" s="3"/>
      <c r="I362" s="4">
        <v>18</v>
      </c>
      <c r="J362" s="4" t="s">
        <v>4328</v>
      </c>
      <c r="K362" s="4" t="s">
        <v>4410</v>
      </c>
      <c r="L362" s="14">
        <v>2000</v>
      </c>
      <c r="M362" s="14" t="s">
        <v>2558</v>
      </c>
      <c r="N362" s="14"/>
      <c r="O362" s="110" t="s">
        <v>2560</v>
      </c>
      <c r="P362" s="4"/>
      <c r="R362" s="8" t="s">
        <v>2559</v>
      </c>
      <c r="X362" s="13">
        <v>-2.8978000000000002</v>
      </c>
      <c r="Y362" s="13">
        <v>-54.952800000000003</v>
      </c>
      <c r="Z362" s="14">
        <v>198</v>
      </c>
      <c r="AA362" s="19" t="s">
        <v>2562</v>
      </c>
      <c r="AB362" s="8" t="s">
        <v>2561</v>
      </c>
    </row>
    <row r="363" spans="1:28" ht="21.75" customHeight="1" x14ac:dyDescent="0.2">
      <c r="A363" s="7" t="s">
        <v>6952</v>
      </c>
      <c r="B363" s="7" t="s">
        <v>6961</v>
      </c>
      <c r="C363" s="7" t="s">
        <v>6962</v>
      </c>
      <c r="D363" s="7" t="s">
        <v>6953</v>
      </c>
      <c r="E363" s="7" t="s">
        <v>33</v>
      </c>
      <c r="F363" s="7" t="s">
        <v>212</v>
      </c>
      <c r="G363" s="7" t="s">
        <v>4074</v>
      </c>
      <c r="H363" s="1" t="s">
        <v>4071</v>
      </c>
      <c r="I363" s="2">
        <v>0.9</v>
      </c>
      <c r="J363" s="2" t="s">
        <v>6960</v>
      </c>
      <c r="K363" s="2" t="s">
        <v>4410</v>
      </c>
      <c r="L363" s="6">
        <v>1200</v>
      </c>
      <c r="O363" s="45" t="s">
        <v>2978</v>
      </c>
      <c r="R363" s="7" t="s">
        <v>6965</v>
      </c>
      <c r="W363" s="7" t="s">
        <v>94</v>
      </c>
      <c r="X363" s="5">
        <v>-41.401800000000001</v>
      </c>
      <c r="Y363" s="5">
        <v>146.4315</v>
      </c>
      <c r="Z363" s="6">
        <v>200</v>
      </c>
      <c r="AA363" s="134" t="s">
        <v>6969</v>
      </c>
      <c r="AB363" s="7" t="s">
        <v>6974</v>
      </c>
    </row>
    <row r="364" spans="1:28" ht="21.75" customHeight="1" x14ac:dyDescent="0.2">
      <c r="A364" s="7" t="s">
        <v>6952</v>
      </c>
      <c r="B364" s="7" t="s">
        <v>6961</v>
      </c>
      <c r="C364" s="7" t="s">
        <v>6962</v>
      </c>
      <c r="D364" s="7" t="s">
        <v>6954</v>
      </c>
      <c r="E364" s="7" t="s">
        <v>33</v>
      </c>
      <c r="F364" s="7" t="s">
        <v>212</v>
      </c>
      <c r="G364" s="7" t="s">
        <v>4074</v>
      </c>
      <c r="H364" s="1" t="s">
        <v>4071</v>
      </c>
      <c r="I364" s="2">
        <v>0.9</v>
      </c>
      <c r="J364" s="2" t="s">
        <v>6960</v>
      </c>
      <c r="K364" s="2" t="s">
        <v>4410</v>
      </c>
      <c r="L364" s="6">
        <v>1200</v>
      </c>
      <c r="O364" s="45" t="s">
        <v>6957</v>
      </c>
      <c r="Q364" s="7">
        <v>0.8</v>
      </c>
      <c r="R364" s="7" t="s">
        <v>6967</v>
      </c>
      <c r="W364" s="7" t="s">
        <v>94</v>
      </c>
      <c r="X364" s="5">
        <v>-42.143300000000004</v>
      </c>
      <c r="Y364" s="5">
        <v>145.31309999999999</v>
      </c>
      <c r="Z364" s="6">
        <v>14</v>
      </c>
      <c r="AA364" s="136"/>
      <c r="AB364" s="7" t="s">
        <v>6970</v>
      </c>
    </row>
    <row r="365" spans="1:28" ht="21.75" customHeight="1" x14ac:dyDescent="0.2">
      <c r="A365" s="7" t="s">
        <v>6952</v>
      </c>
      <c r="B365" s="7" t="s">
        <v>6961</v>
      </c>
      <c r="C365" s="7" t="s">
        <v>6962</v>
      </c>
      <c r="D365" s="7" t="s">
        <v>6955</v>
      </c>
      <c r="E365" s="7" t="s">
        <v>33</v>
      </c>
      <c r="F365" s="7" t="s">
        <v>212</v>
      </c>
      <c r="G365" s="7" t="s">
        <v>4074</v>
      </c>
      <c r="H365" s="1" t="s">
        <v>4071</v>
      </c>
      <c r="I365" s="2">
        <v>0.9</v>
      </c>
      <c r="J365" s="2" t="s">
        <v>6960</v>
      </c>
      <c r="K365" s="2" t="s">
        <v>4410</v>
      </c>
      <c r="L365" s="6">
        <v>1200</v>
      </c>
      <c r="O365" s="45" t="s">
        <v>6958</v>
      </c>
      <c r="R365" s="7" t="s">
        <v>6966</v>
      </c>
      <c r="W365" s="7" t="s">
        <v>94</v>
      </c>
      <c r="X365" s="5">
        <v>-41.391500000000001</v>
      </c>
      <c r="Y365" s="5">
        <v>146.52099999999999</v>
      </c>
      <c r="Z365" s="6">
        <v>300</v>
      </c>
      <c r="AA365" s="136"/>
      <c r="AB365" s="7" t="s">
        <v>6971</v>
      </c>
    </row>
    <row r="366" spans="1:28" ht="21.75" customHeight="1" x14ac:dyDescent="0.2">
      <c r="A366" s="7" t="s">
        <v>6952</v>
      </c>
      <c r="B366" s="7" t="s">
        <v>6961</v>
      </c>
      <c r="C366" s="7" t="s">
        <v>6962</v>
      </c>
      <c r="D366" s="7" t="s">
        <v>6963</v>
      </c>
      <c r="E366" s="7" t="s">
        <v>33</v>
      </c>
      <c r="F366" s="7" t="s">
        <v>212</v>
      </c>
      <c r="G366" s="7" t="s">
        <v>4074</v>
      </c>
      <c r="H366" s="1" t="s">
        <v>4071</v>
      </c>
      <c r="I366" s="2">
        <v>0.9</v>
      </c>
      <c r="J366" s="2" t="s">
        <v>6960</v>
      </c>
      <c r="K366" s="2" t="s">
        <v>4410</v>
      </c>
      <c r="L366" s="6">
        <v>1200</v>
      </c>
      <c r="O366" s="45" t="s">
        <v>6959</v>
      </c>
      <c r="R366" s="7" t="s">
        <v>6968</v>
      </c>
      <c r="W366" s="7" t="s">
        <v>94</v>
      </c>
      <c r="X366" s="5">
        <v>-41.374400000000001</v>
      </c>
      <c r="Y366" s="5">
        <v>146.51490000000001</v>
      </c>
      <c r="Z366" s="6">
        <v>271</v>
      </c>
      <c r="AA366" s="136"/>
      <c r="AB366" s="7" t="s">
        <v>6972</v>
      </c>
    </row>
    <row r="367" spans="1:28" ht="21.75" customHeight="1" x14ac:dyDescent="0.2">
      <c r="A367" s="7" t="s">
        <v>6952</v>
      </c>
      <c r="B367" s="7" t="s">
        <v>6961</v>
      </c>
      <c r="C367" s="7" t="s">
        <v>6962</v>
      </c>
      <c r="D367" s="7" t="s">
        <v>6956</v>
      </c>
      <c r="E367" s="7" t="s">
        <v>33</v>
      </c>
      <c r="F367" s="7" t="s">
        <v>212</v>
      </c>
      <c r="G367" s="7" t="s">
        <v>4074</v>
      </c>
      <c r="H367" s="1" t="s">
        <v>4071</v>
      </c>
      <c r="I367" s="2">
        <v>0.9</v>
      </c>
      <c r="J367" s="2" t="s">
        <v>6960</v>
      </c>
      <c r="K367" s="2" t="s">
        <v>4410</v>
      </c>
      <c r="L367" s="6">
        <v>1200</v>
      </c>
      <c r="O367" s="45" t="s">
        <v>2978</v>
      </c>
      <c r="R367" s="7" t="s">
        <v>6964</v>
      </c>
      <c r="W367" s="7" t="s">
        <v>94</v>
      </c>
      <c r="X367" s="5">
        <v>-41.261099999999999</v>
      </c>
      <c r="Y367" s="5">
        <v>147.52029999999999</v>
      </c>
      <c r="Z367" s="6">
        <v>443</v>
      </c>
      <c r="AA367" s="135"/>
      <c r="AB367" s="7" t="s">
        <v>6973</v>
      </c>
    </row>
    <row r="368" spans="1:28" s="8" customFormat="1" ht="21.75" customHeight="1" x14ac:dyDescent="0.2">
      <c r="A368" s="8" t="s">
        <v>406</v>
      </c>
      <c r="B368" s="8" t="s">
        <v>407</v>
      </c>
      <c r="C368" s="8" t="s">
        <v>408</v>
      </c>
      <c r="E368" s="8" t="s">
        <v>280</v>
      </c>
      <c r="F368" s="8" t="s">
        <v>212</v>
      </c>
      <c r="G368" s="8" t="s">
        <v>409</v>
      </c>
      <c r="H368" s="3" t="s">
        <v>410</v>
      </c>
      <c r="I368" s="8">
        <v>1.5</v>
      </c>
      <c r="J368" s="8" t="s">
        <v>5747</v>
      </c>
      <c r="K368" s="8" t="s">
        <v>4410</v>
      </c>
      <c r="L368" s="14"/>
      <c r="M368" s="14"/>
      <c r="N368" s="14"/>
      <c r="O368" s="110" t="s">
        <v>411</v>
      </c>
      <c r="P368" s="4" t="s">
        <v>415</v>
      </c>
      <c r="R368" s="8" t="s">
        <v>412</v>
      </c>
      <c r="S368" s="8" t="s">
        <v>413</v>
      </c>
      <c r="T368" s="8" t="s">
        <v>416</v>
      </c>
      <c r="X368" s="25">
        <v>42.442799999999998</v>
      </c>
      <c r="Y368" s="25">
        <v>-76.493499999999997</v>
      </c>
      <c r="Z368" s="21">
        <v>127</v>
      </c>
      <c r="AA368" s="8" t="s">
        <v>414</v>
      </c>
      <c r="AB368" s="8" t="s">
        <v>417</v>
      </c>
    </row>
    <row r="369" spans="1:28" ht="21.75" customHeight="1" x14ac:dyDescent="0.2">
      <c r="A369" s="7" t="s">
        <v>5554</v>
      </c>
      <c r="B369" s="7" t="s">
        <v>420</v>
      </c>
      <c r="C369" s="7" t="s">
        <v>255</v>
      </c>
      <c r="D369" s="7" t="s">
        <v>425</v>
      </c>
      <c r="E369" s="7" t="s">
        <v>263</v>
      </c>
      <c r="F369" s="7" t="s">
        <v>212</v>
      </c>
      <c r="G369" s="7" t="s">
        <v>421</v>
      </c>
      <c r="H369" s="1" t="s">
        <v>422</v>
      </c>
      <c r="I369" s="7" t="s">
        <v>427</v>
      </c>
      <c r="J369" s="7" t="s">
        <v>5749</v>
      </c>
      <c r="K369" s="7" t="s">
        <v>5748</v>
      </c>
      <c r="P369" s="2" t="s">
        <v>427</v>
      </c>
      <c r="R369" s="7" t="s">
        <v>419</v>
      </c>
      <c r="X369" s="5">
        <v>-31.55</v>
      </c>
      <c r="Y369" s="5">
        <v>115.68333333333334</v>
      </c>
      <c r="Z369" s="6">
        <v>24</v>
      </c>
      <c r="AA369" s="134" t="s">
        <v>430</v>
      </c>
      <c r="AB369" s="7" t="s">
        <v>418</v>
      </c>
    </row>
    <row r="370" spans="1:28" ht="21.75" customHeight="1" x14ac:dyDescent="0.2">
      <c r="A370" s="7" t="s">
        <v>5554</v>
      </c>
      <c r="B370" s="7" t="s">
        <v>420</v>
      </c>
      <c r="C370" s="7" t="s">
        <v>255</v>
      </c>
      <c r="D370" s="7" t="s">
        <v>426</v>
      </c>
      <c r="E370" s="7" t="s">
        <v>263</v>
      </c>
      <c r="F370" s="7" t="s">
        <v>212</v>
      </c>
      <c r="G370" s="7" t="s">
        <v>423</v>
      </c>
      <c r="H370" s="1" t="s">
        <v>424</v>
      </c>
      <c r="I370" s="7">
        <v>5</v>
      </c>
      <c r="J370" s="7" t="s">
        <v>5749</v>
      </c>
      <c r="K370" s="7" t="s">
        <v>5748</v>
      </c>
      <c r="M370" s="30" t="s">
        <v>438</v>
      </c>
      <c r="Q370" s="7">
        <v>4.5</v>
      </c>
      <c r="R370" s="7" t="s">
        <v>428</v>
      </c>
      <c r="X370" s="5">
        <v>-34.792700000000004</v>
      </c>
      <c r="Y370" s="5">
        <v>116.0706</v>
      </c>
      <c r="Z370" s="6">
        <v>59</v>
      </c>
      <c r="AA370" s="135"/>
      <c r="AB370" s="7" t="s">
        <v>429</v>
      </c>
    </row>
    <row r="371" spans="1:28" s="8" customFormat="1" ht="21.75" customHeight="1" x14ac:dyDescent="0.2">
      <c r="A371" s="8" t="s">
        <v>917</v>
      </c>
      <c r="B371" s="8" t="s">
        <v>918</v>
      </c>
      <c r="C371" s="8" t="s">
        <v>90</v>
      </c>
      <c r="D371" s="8" t="s">
        <v>925</v>
      </c>
      <c r="E371" s="8" t="s">
        <v>33</v>
      </c>
      <c r="F371" s="8" t="s">
        <v>212</v>
      </c>
      <c r="G371" s="8" t="s">
        <v>919</v>
      </c>
      <c r="H371" s="3" t="s">
        <v>920</v>
      </c>
      <c r="I371" s="4">
        <f>2.6*0.3048</f>
        <v>0.79248000000000007</v>
      </c>
      <c r="J371" s="4" t="s">
        <v>4367</v>
      </c>
      <c r="K371" s="4" t="s">
        <v>5713</v>
      </c>
      <c r="L371" s="14"/>
      <c r="M371" s="14"/>
      <c r="N371" s="14"/>
      <c r="O371" s="110" t="s">
        <v>921</v>
      </c>
      <c r="P371" s="4"/>
      <c r="R371" s="8" t="s">
        <v>923</v>
      </c>
      <c r="W371" s="8" t="s">
        <v>94</v>
      </c>
      <c r="X371" s="13">
        <v>46.338200000000001</v>
      </c>
      <c r="Y371" s="13">
        <v>-84.226200000000006</v>
      </c>
      <c r="Z371" s="14">
        <v>179</v>
      </c>
      <c r="AA371" s="132" t="s">
        <v>927</v>
      </c>
      <c r="AB371" s="8" t="s">
        <v>930</v>
      </c>
    </row>
    <row r="372" spans="1:28" s="8" customFormat="1" ht="21.75" customHeight="1" x14ac:dyDescent="0.2">
      <c r="A372" s="8" t="s">
        <v>917</v>
      </c>
      <c r="B372" s="8" t="s">
        <v>918</v>
      </c>
      <c r="C372" s="8" t="s">
        <v>90</v>
      </c>
      <c r="D372" s="8" t="s">
        <v>925</v>
      </c>
      <c r="E372" s="8" t="s">
        <v>33</v>
      </c>
      <c r="F372" s="8" t="s">
        <v>212</v>
      </c>
      <c r="G372" s="8" t="s">
        <v>919</v>
      </c>
      <c r="H372" s="3" t="s">
        <v>920</v>
      </c>
      <c r="I372" s="4">
        <f>3.3*0.3048</f>
        <v>1.0058400000000001</v>
      </c>
      <c r="J372" s="4" t="s">
        <v>4367</v>
      </c>
      <c r="K372" s="4" t="s">
        <v>5713</v>
      </c>
      <c r="L372" s="14"/>
      <c r="M372" s="14"/>
      <c r="N372" s="14"/>
      <c r="O372" s="110" t="s">
        <v>921</v>
      </c>
      <c r="P372" s="4"/>
      <c r="R372" s="8" t="s">
        <v>923</v>
      </c>
      <c r="W372" s="8" t="s">
        <v>94</v>
      </c>
      <c r="X372" s="13">
        <v>46.338200000000001</v>
      </c>
      <c r="Y372" s="13">
        <v>-84.226200000000006</v>
      </c>
      <c r="Z372" s="14">
        <v>179</v>
      </c>
      <c r="AA372" s="133"/>
      <c r="AB372" s="8" t="s">
        <v>931</v>
      </c>
    </row>
    <row r="373" spans="1:28" s="8" customFormat="1" ht="21.75" customHeight="1" x14ac:dyDescent="0.2">
      <c r="A373" s="8" t="s">
        <v>917</v>
      </c>
      <c r="B373" s="8" t="s">
        <v>918</v>
      </c>
      <c r="C373" s="8" t="s">
        <v>90</v>
      </c>
      <c r="D373" s="8" t="s">
        <v>925</v>
      </c>
      <c r="E373" s="8" t="s">
        <v>33</v>
      </c>
      <c r="F373" s="8" t="s">
        <v>212</v>
      </c>
      <c r="G373" s="8" t="s">
        <v>919</v>
      </c>
      <c r="H373" s="3" t="s">
        <v>920</v>
      </c>
      <c r="I373" s="4">
        <f>1.6*0.3048</f>
        <v>0.48768000000000006</v>
      </c>
      <c r="J373" s="4" t="s">
        <v>4367</v>
      </c>
      <c r="K373" s="4" t="s">
        <v>5713</v>
      </c>
      <c r="L373" s="14"/>
      <c r="M373" s="14"/>
      <c r="N373" s="14"/>
      <c r="O373" s="110" t="s">
        <v>921</v>
      </c>
      <c r="P373" s="4"/>
      <c r="R373" s="8" t="s">
        <v>923</v>
      </c>
      <c r="W373" s="8" t="s">
        <v>94</v>
      </c>
      <c r="X373" s="13">
        <v>46.338200000000001</v>
      </c>
      <c r="Y373" s="13">
        <v>-84.226200000000006</v>
      </c>
      <c r="Z373" s="14">
        <v>179</v>
      </c>
      <c r="AA373" s="8" t="s">
        <v>926</v>
      </c>
      <c r="AB373" s="8" t="s">
        <v>932</v>
      </c>
    </row>
    <row r="374" spans="1:28" s="8" customFormat="1" ht="21.75" customHeight="1" x14ac:dyDescent="0.2">
      <c r="A374" s="8" t="s">
        <v>917</v>
      </c>
      <c r="B374" s="8" t="s">
        <v>918</v>
      </c>
      <c r="C374" s="8" t="s">
        <v>90</v>
      </c>
      <c r="D374" s="8" t="s">
        <v>935</v>
      </c>
      <c r="E374" s="8" t="s">
        <v>33</v>
      </c>
      <c r="F374" s="8" t="s">
        <v>212</v>
      </c>
      <c r="G374" s="8" t="s">
        <v>919</v>
      </c>
      <c r="H374" s="3" t="s">
        <v>920</v>
      </c>
      <c r="I374" s="4">
        <f>6.2*0.3048</f>
        <v>1.8897600000000001</v>
      </c>
      <c r="J374" s="4" t="s">
        <v>4367</v>
      </c>
      <c r="K374" s="4" t="s">
        <v>5713</v>
      </c>
      <c r="L374" s="14"/>
      <c r="M374" s="14"/>
      <c r="N374" s="14"/>
      <c r="O374" s="110" t="s">
        <v>922</v>
      </c>
      <c r="P374" s="4"/>
      <c r="R374" s="8" t="s">
        <v>924</v>
      </c>
      <c r="X374" s="13">
        <v>46.306699999999999</v>
      </c>
      <c r="Y374" s="13">
        <v>-84.246200000000002</v>
      </c>
      <c r="Z374" s="14">
        <v>196</v>
      </c>
      <c r="AA374" s="132" t="s">
        <v>929</v>
      </c>
      <c r="AB374" s="8" t="s">
        <v>933</v>
      </c>
    </row>
    <row r="375" spans="1:28" s="8" customFormat="1" ht="21.75" customHeight="1" x14ac:dyDescent="0.2">
      <c r="A375" s="8" t="s">
        <v>917</v>
      </c>
      <c r="B375" s="8" t="s">
        <v>918</v>
      </c>
      <c r="C375" s="8" t="s">
        <v>90</v>
      </c>
      <c r="D375" s="8" t="s">
        <v>935</v>
      </c>
      <c r="E375" s="8" t="s">
        <v>33</v>
      </c>
      <c r="F375" s="8" t="s">
        <v>212</v>
      </c>
      <c r="G375" s="8" t="s">
        <v>919</v>
      </c>
      <c r="H375" s="3" t="s">
        <v>920</v>
      </c>
      <c r="I375" s="4">
        <f>5*0.3048</f>
        <v>1.524</v>
      </c>
      <c r="J375" s="4" t="s">
        <v>4367</v>
      </c>
      <c r="K375" s="4" t="s">
        <v>5713</v>
      </c>
      <c r="L375" s="14"/>
      <c r="M375" s="14"/>
      <c r="N375" s="14"/>
      <c r="O375" s="110" t="s">
        <v>922</v>
      </c>
      <c r="P375" s="4"/>
      <c r="R375" s="8" t="s">
        <v>924</v>
      </c>
      <c r="X375" s="13">
        <v>46.306699999999999</v>
      </c>
      <c r="Y375" s="13">
        <v>-84.246200000000002</v>
      </c>
      <c r="Z375" s="14">
        <v>196</v>
      </c>
      <c r="AA375" s="133"/>
      <c r="AB375" s="8" t="s">
        <v>934</v>
      </c>
    </row>
    <row r="376" spans="1:28" ht="21.75" customHeight="1" x14ac:dyDescent="0.2">
      <c r="A376" s="7" t="s">
        <v>2617</v>
      </c>
      <c r="B376" s="7" t="s">
        <v>2620</v>
      </c>
      <c r="C376" s="7" t="s">
        <v>2621</v>
      </c>
      <c r="D376" s="7" t="s">
        <v>2624</v>
      </c>
      <c r="E376" s="7" t="s">
        <v>263</v>
      </c>
      <c r="F376" s="7" t="s">
        <v>212</v>
      </c>
      <c r="G376" s="7" t="s">
        <v>2619</v>
      </c>
      <c r="H376" s="1" t="s">
        <v>2618</v>
      </c>
      <c r="I376" s="2">
        <v>14</v>
      </c>
      <c r="J376" s="2" t="s">
        <v>5752</v>
      </c>
      <c r="K376" s="2" t="s">
        <v>5753</v>
      </c>
      <c r="L376" s="6">
        <v>1000</v>
      </c>
      <c r="M376" s="6" t="s">
        <v>2632</v>
      </c>
      <c r="O376" s="45" t="s">
        <v>2622</v>
      </c>
      <c r="R376" s="7" t="s">
        <v>2627</v>
      </c>
      <c r="U376" s="7" t="s">
        <v>878</v>
      </c>
      <c r="V376" s="7">
        <v>14</v>
      </c>
      <c r="X376" s="5">
        <v>-32.338299999999997</v>
      </c>
      <c r="Y376" s="5">
        <v>116.0904</v>
      </c>
      <c r="Z376" s="6">
        <v>273</v>
      </c>
      <c r="AA376" s="73" t="s">
        <v>2626</v>
      </c>
      <c r="AB376" s="7" t="s">
        <v>2630</v>
      </c>
    </row>
    <row r="377" spans="1:28" ht="21.75" customHeight="1" x14ac:dyDescent="0.2">
      <c r="A377" s="7" t="s">
        <v>2617</v>
      </c>
      <c r="B377" s="7" t="s">
        <v>2620</v>
      </c>
      <c r="C377" s="7" t="s">
        <v>2621</v>
      </c>
      <c r="D377" s="7" t="s">
        <v>2625</v>
      </c>
      <c r="E377" s="7" t="s">
        <v>263</v>
      </c>
      <c r="F377" s="7" t="s">
        <v>212</v>
      </c>
      <c r="G377" s="7" t="s">
        <v>2619</v>
      </c>
      <c r="H377" s="1" t="s">
        <v>2618</v>
      </c>
      <c r="I377" s="7">
        <v>40</v>
      </c>
      <c r="J377" s="2" t="s">
        <v>5752</v>
      </c>
      <c r="K377" s="2" t="s">
        <v>5753</v>
      </c>
      <c r="L377" s="6">
        <v>1000</v>
      </c>
      <c r="M377" s="6" t="s">
        <v>2632</v>
      </c>
      <c r="O377" s="45" t="s">
        <v>2623</v>
      </c>
      <c r="Q377" s="7">
        <v>15</v>
      </c>
      <c r="R377" s="7" t="s">
        <v>2628</v>
      </c>
      <c r="U377" s="7" t="s">
        <v>878</v>
      </c>
      <c r="V377" s="7">
        <v>40</v>
      </c>
      <c r="X377" s="5">
        <v>-32.342599999999997</v>
      </c>
      <c r="Y377" s="5">
        <v>116.0882</v>
      </c>
      <c r="Z377" s="6">
        <v>243</v>
      </c>
      <c r="AA377" s="7" t="s">
        <v>2629</v>
      </c>
      <c r="AB377" s="7" t="s">
        <v>2631</v>
      </c>
    </row>
    <row r="378" spans="1:28" s="8" customFormat="1" ht="21.75" customHeight="1" x14ac:dyDescent="0.2">
      <c r="A378" s="8" t="s">
        <v>2521</v>
      </c>
      <c r="B378" s="8" t="s">
        <v>2522</v>
      </c>
      <c r="C378" s="8" t="s">
        <v>2523</v>
      </c>
      <c r="E378" s="8" t="s">
        <v>398</v>
      </c>
      <c r="F378" s="8" t="s">
        <v>2528</v>
      </c>
      <c r="G378" s="8" t="s">
        <v>2527</v>
      </c>
      <c r="H378" s="3" t="s">
        <v>2524</v>
      </c>
      <c r="I378" s="8">
        <v>2.2000000000000002</v>
      </c>
      <c r="J378" s="8" t="s">
        <v>4367</v>
      </c>
      <c r="K378" s="8" t="s">
        <v>5713</v>
      </c>
      <c r="L378" s="8">
        <v>47</v>
      </c>
      <c r="M378" s="14" t="s">
        <v>2530</v>
      </c>
      <c r="N378" s="14"/>
      <c r="O378" s="110" t="s">
        <v>2535</v>
      </c>
      <c r="P378" s="4"/>
      <c r="R378" s="8" t="s">
        <v>2538</v>
      </c>
      <c r="X378" s="13">
        <f>33+29/60+28/3600</f>
        <v>33.49111111111111</v>
      </c>
      <c r="Y378" s="13">
        <f>8+47/60+49/3600</f>
        <v>8.7969444444444438</v>
      </c>
      <c r="Z378" s="14">
        <v>27</v>
      </c>
      <c r="AA378" s="19" t="s">
        <v>2531</v>
      </c>
      <c r="AB378" s="8" t="s">
        <v>2533</v>
      </c>
    </row>
    <row r="379" spans="1:28" s="8" customFormat="1" ht="21.75" customHeight="1" x14ac:dyDescent="0.2">
      <c r="A379" s="8" t="s">
        <v>2521</v>
      </c>
      <c r="B379" s="8" t="s">
        <v>2522</v>
      </c>
      <c r="C379" s="8" t="s">
        <v>2523</v>
      </c>
      <c r="E379" s="8" t="s">
        <v>2540</v>
      </c>
      <c r="F379" s="8" t="s">
        <v>2528</v>
      </c>
      <c r="H379" s="3" t="s">
        <v>2525</v>
      </c>
      <c r="I379" s="8">
        <v>1.9</v>
      </c>
      <c r="J379" s="8" t="s">
        <v>4367</v>
      </c>
      <c r="K379" s="8" t="s">
        <v>5713</v>
      </c>
      <c r="L379" s="8">
        <v>47</v>
      </c>
      <c r="M379" s="14" t="s">
        <v>2530</v>
      </c>
      <c r="N379" s="14"/>
      <c r="O379" s="110" t="s">
        <v>2535</v>
      </c>
      <c r="P379" s="4"/>
      <c r="R379" s="8" t="s">
        <v>2538</v>
      </c>
      <c r="X379" s="13">
        <f>33+22/60+49/3600</f>
        <v>33.380277777777778</v>
      </c>
      <c r="Y379" s="13">
        <f>8+43/60+43/1900</f>
        <v>8.7392982456140356</v>
      </c>
      <c r="Z379" s="14">
        <v>44</v>
      </c>
      <c r="AA379" s="19" t="s">
        <v>2541</v>
      </c>
    </row>
    <row r="380" spans="1:28" s="8" customFormat="1" ht="21.75" customHeight="1" x14ac:dyDescent="0.2">
      <c r="A380" s="8" t="s">
        <v>2521</v>
      </c>
      <c r="B380" s="8" t="s">
        <v>2522</v>
      </c>
      <c r="C380" s="8" t="s">
        <v>2523</v>
      </c>
      <c r="E380" s="8" t="s">
        <v>398</v>
      </c>
      <c r="F380" s="8" t="s">
        <v>2528</v>
      </c>
      <c r="H380" s="3" t="s">
        <v>2526</v>
      </c>
      <c r="I380" s="8">
        <v>1.2</v>
      </c>
      <c r="J380" s="8" t="s">
        <v>4367</v>
      </c>
      <c r="K380" s="8" t="s">
        <v>5713</v>
      </c>
      <c r="L380" s="8">
        <v>47</v>
      </c>
      <c r="M380" s="14" t="s">
        <v>2530</v>
      </c>
      <c r="N380" s="14"/>
      <c r="O380" s="110" t="s">
        <v>2536</v>
      </c>
      <c r="P380" s="4"/>
      <c r="R380" s="8" t="s">
        <v>2539</v>
      </c>
      <c r="X380" s="13">
        <f>33+17/60+5/3600</f>
        <v>33.284722222222221</v>
      </c>
      <c r="Y380" s="13">
        <f>9+41/60+29/3600</f>
        <v>9.6913888888888895</v>
      </c>
      <c r="Z380" s="14">
        <v>203</v>
      </c>
      <c r="AA380" s="19" t="s">
        <v>2532</v>
      </c>
    </row>
    <row r="381" spans="1:28" s="8" customFormat="1" ht="21.75" customHeight="1" x14ac:dyDescent="0.2">
      <c r="A381" s="8" t="s">
        <v>2521</v>
      </c>
      <c r="B381" s="8" t="s">
        <v>2522</v>
      </c>
      <c r="C381" s="8" t="s">
        <v>2523</v>
      </c>
      <c r="E381" s="8" t="s">
        <v>398</v>
      </c>
      <c r="F381" s="8" t="s">
        <v>2528</v>
      </c>
      <c r="H381" s="3" t="s">
        <v>336</v>
      </c>
      <c r="I381" s="8">
        <v>1.6</v>
      </c>
      <c r="J381" s="8" t="s">
        <v>4367</v>
      </c>
      <c r="K381" s="8" t="s">
        <v>5713</v>
      </c>
      <c r="L381" s="8">
        <v>47</v>
      </c>
      <c r="M381" s="14" t="s">
        <v>2530</v>
      </c>
      <c r="N381" s="14"/>
      <c r="O381" s="110" t="s">
        <v>2537</v>
      </c>
      <c r="P381" s="4"/>
      <c r="R381" s="8" t="s">
        <v>2538</v>
      </c>
      <c r="X381" s="13">
        <f>33+17/60+5/3600</f>
        <v>33.284722222222221</v>
      </c>
      <c r="Y381" s="13">
        <f>9+42/60+41/3600</f>
        <v>9.7113888888888873</v>
      </c>
      <c r="Z381" s="14">
        <v>197</v>
      </c>
      <c r="AA381" s="19" t="s">
        <v>2534</v>
      </c>
    </row>
    <row r="382" spans="1:28" ht="21.75" customHeight="1" x14ac:dyDescent="0.2">
      <c r="A382" s="7" t="s">
        <v>5623</v>
      </c>
      <c r="B382" s="7" t="s">
        <v>5648</v>
      </c>
      <c r="C382" s="7" t="s">
        <v>46</v>
      </c>
      <c r="E382" s="7" t="s">
        <v>398</v>
      </c>
      <c r="F382" s="7" t="s">
        <v>174</v>
      </c>
      <c r="G382" s="7" t="s">
        <v>5649</v>
      </c>
      <c r="H382" s="1" t="s">
        <v>5624</v>
      </c>
      <c r="I382" s="2">
        <v>1.85</v>
      </c>
      <c r="J382" s="7" t="s">
        <v>4367</v>
      </c>
      <c r="K382" s="7" t="s">
        <v>5713</v>
      </c>
      <c r="L382" s="7"/>
      <c r="O382" s="45" t="s">
        <v>5634</v>
      </c>
      <c r="R382" s="7" t="s">
        <v>2538</v>
      </c>
      <c r="X382" s="5">
        <v>35.424799999999998</v>
      </c>
      <c r="Y382" s="5">
        <v>-106.65309999999999</v>
      </c>
      <c r="Z382" s="6">
        <v>1652</v>
      </c>
      <c r="AA382" s="73" t="s">
        <v>5625</v>
      </c>
      <c r="AB382" s="7" t="s">
        <v>5663</v>
      </c>
    </row>
    <row r="383" spans="1:28" ht="21.75" customHeight="1" x14ac:dyDescent="0.2">
      <c r="A383" s="7" t="s">
        <v>5623</v>
      </c>
      <c r="B383" s="7" t="s">
        <v>5648</v>
      </c>
      <c r="C383" s="7" t="s">
        <v>46</v>
      </c>
      <c r="E383" s="7" t="s">
        <v>275</v>
      </c>
      <c r="F383" s="7" t="s">
        <v>217</v>
      </c>
      <c r="G383" s="7" t="s">
        <v>5650</v>
      </c>
      <c r="H383" s="1" t="s">
        <v>5626</v>
      </c>
      <c r="I383" s="7">
        <v>0.67</v>
      </c>
      <c r="J383" s="7" t="s">
        <v>4367</v>
      </c>
      <c r="K383" s="7" t="s">
        <v>5713</v>
      </c>
      <c r="L383" s="7"/>
      <c r="O383" s="45" t="s">
        <v>5627</v>
      </c>
      <c r="R383" s="7" t="s">
        <v>5629</v>
      </c>
      <c r="X383" s="5">
        <v>35.441499999999998</v>
      </c>
      <c r="Y383" s="5">
        <v>-106.6512</v>
      </c>
      <c r="Z383" s="6">
        <v>1622</v>
      </c>
      <c r="AA383" s="73" t="s">
        <v>5628</v>
      </c>
      <c r="AB383" s="7" t="s">
        <v>5665</v>
      </c>
    </row>
    <row r="384" spans="1:28" ht="21.75" customHeight="1" x14ac:dyDescent="0.2">
      <c r="A384" s="7" t="s">
        <v>5623</v>
      </c>
      <c r="B384" s="7" t="s">
        <v>5648</v>
      </c>
      <c r="C384" s="7" t="s">
        <v>46</v>
      </c>
      <c r="E384" s="7" t="s">
        <v>398</v>
      </c>
      <c r="F384" s="7" t="s">
        <v>217</v>
      </c>
      <c r="G384" s="7" t="s">
        <v>5652</v>
      </c>
      <c r="H384" s="1" t="s">
        <v>5651</v>
      </c>
      <c r="I384" s="7">
        <v>1.1399999999999999</v>
      </c>
      <c r="J384" s="7" t="s">
        <v>4367</v>
      </c>
      <c r="K384" s="7" t="s">
        <v>5713</v>
      </c>
      <c r="L384" s="7"/>
      <c r="O384" s="45" t="s">
        <v>5630</v>
      </c>
      <c r="R384" s="7" t="s">
        <v>5635</v>
      </c>
      <c r="S384" s="7" t="s">
        <v>309</v>
      </c>
      <c r="X384" s="5">
        <v>35.381799999999998</v>
      </c>
      <c r="Y384" s="5">
        <v>-106.6305</v>
      </c>
      <c r="Z384" s="6">
        <v>1685</v>
      </c>
      <c r="AA384" s="73" t="s">
        <v>5631</v>
      </c>
      <c r="AB384" s="7" t="s">
        <v>5666</v>
      </c>
    </row>
    <row r="385" spans="1:28" ht="21.75" customHeight="1" x14ac:dyDescent="0.2">
      <c r="A385" s="7" t="s">
        <v>5623</v>
      </c>
      <c r="B385" s="7" t="s">
        <v>5648</v>
      </c>
      <c r="C385" s="7" t="s">
        <v>46</v>
      </c>
      <c r="E385" s="7" t="s">
        <v>275</v>
      </c>
      <c r="F385" s="7" t="s">
        <v>217</v>
      </c>
      <c r="G385" s="7" t="s">
        <v>5653</v>
      </c>
      <c r="H385" s="1" t="s">
        <v>5632</v>
      </c>
      <c r="I385" s="7">
        <v>0.32</v>
      </c>
      <c r="J385" s="7" t="s">
        <v>4367</v>
      </c>
      <c r="K385" s="7" t="s">
        <v>5713</v>
      </c>
      <c r="L385" s="7"/>
      <c r="O385" s="45" t="s">
        <v>5633</v>
      </c>
      <c r="R385" s="7" t="s">
        <v>2538</v>
      </c>
      <c r="X385" s="5">
        <v>35.383699999999997</v>
      </c>
      <c r="Y385" s="5">
        <v>-106.59310000000001</v>
      </c>
      <c r="Z385" s="6">
        <v>1641</v>
      </c>
      <c r="AA385" s="73" t="s">
        <v>5636</v>
      </c>
    </row>
    <row r="386" spans="1:28" ht="21.75" customHeight="1" x14ac:dyDescent="0.2">
      <c r="A386" s="7" t="s">
        <v>5623</v>
      </c>
      <c r="B386" s="7" t="s">
        <v>5648</v>
      </c>
      <c r="C386" s="7" t="s">
        <v>46</v>
      </c>
      <c r="E386" s="7" t="s">
        <v>398</v>
      </c>
      <c r="F386" s="7" t="s">
        <v>214</v>
      </c>
      <c r="G386" s="7" t="s">
        <v>5656</v>
      </c>
      <c r="H386" s="1" t="s">
        <v>5655</v>
      </c>
      <c r="I386" s="7" t="s">
        <v>5654</v>
      </c>
      <c r="J386" s="7" t="s">
        <v>4367</v>
      </c>
      <c r="K386" s="7" t="s">
        <v>5713</v>
      </c>
      <c r="L386" s="7"/>
      <c r="O386" s="45" t="s">
        <v>5637</v>
      </c>
      <c r="R386" s="7" t="s">
        <v>5639</v>
      </c>
      <c r="X386" s="5">
        <v>35.380800000000001</v>
      </c>
      <c r="Y386" s="5">
        <v>-106.5814</v>
      </c>
      <c r="Z386" s="6">
        <v>1618</v>
      </c>
      <c r="AA386" s="73" t="s">
        <v>5638</v>
      </c>
      <c r="AB386" s="7" t="s">
        <v>5664</v>
      </c>
    </row>
    <row r="387" spans="1:28" ht="21.75" customHeight="1" x14ac:dyDescent="0.2">
      <c r="A387" s="7" t="s">
        <v>5623</v>
      </c>
      <c r="B387" s="7" t="s">
        <v>5648</v>
      </c>
      <c r="C387" s="7" t="s">
        <v>46</v>
      </c>
      <c r="E387" s="7" t="s">
        <v>275</v>
      </c>
      <c r="F387" s="7" t="s">
        <v>217</v>
      </c>
      <c r="G387" s="7" t="s">
        <v>5658</v>
      </c>
      <c r="H387" s="1" t="s">
        <v>5657</v>
      </c>
      <c r="I387" s="7">
        <v>1.54</v>
      </c>
      <c r="J387" s="7" t="s">
        <v>4367</v>
      </c>
      <c r="K387" s="7" t="s">
        <v>5713</v>
      </c>
      <c r="L387" s="7"/>
      <c r="O387" s="45" t="s">
        <v>5641</v>
      </c>
      <c r="R387" s="7" t="s">
        <v>2538</v>
      </c>
      <c r="X387" s="5">
        <v>35.379800000000003</v>
      </c>
      <c r="Y387" s="5">
        <v>-106.596</v>
      </c>
      <c r="Z387" s="6">
        <v>1670</v>
      </c>
      <c r="AA387" s="73" t="s">
        <v>5640</v>
      </c>
    </row>
    <row r="388" spans="1:28" ht="21.75" customHeight="1" x14ac:dyDescent="0.2">
      <c r="A388" s="7" t="s">
        <v>5623</v>
      </c>
      <c r="B388" s="7" t="s">
        <v>5648</v>
      </c>
      <c r="C388" s="7" t="s">
        <v>46</v>
      </c>
      <c r="E388" s="7" t="s">
        <v>398</v>
      </c>
      <c r="F388" s="7" t="s">
        <v>214</v>
      </c>
      <c r="G388" s="7" t="s">
        <v>5660</v>
      </c>
      <c r="H388" s="1" t="s">
        <v>5659</v>
      </c>
      <c r="I388" s="7">
        <v>0.8</v>
      </c>
      <c r="J388" s="7" t="s">
        <v>4367</v>
      </c>
      <c r="K388" s="7" t="s">
        <v>5713</v>
      </c>
      <c r="L388" s="7"/>
      <c r="O388" s="45" t="s">
        <v>5627</v>
      </c>
      <c r="R388" s="7" t="s">
        <v>5643</v>
      </c>
      <c r="X388" s="5">
        <v>35.391300000000001</v>
      </c>
      <c r="Y388" s="5">
        <v>-106.59229999999999</v>
      </c>
      <c r="Z388" s="6">
        <v>1624</v>
      </c>
      <c r="AA388" s="73" t="s">
        <v>5642</v>
      </c>
    </row>
    <row r="389" spans="1:28" ht="21.75" customHeight="1" x14ac:dyDescent="0.2">
      <c r="A389" s="7" t="s">
        <v>5623</v>
      </c>
      <c r="B389" s="7" t="s">
        <v>5648</v>
      </c>
      <c r="C389" s="7" t="s">
        <v>46</v>
      </c>
      <c r="E389" s="7" t="s">
        <v>398</v>
      </c>
      <c r="F389" s="7" t="s">
        <v>214</v>
      </c>
      <c r="G389" s="7" t="s">
        <v>5661</v>
      </c>
      <c r="H389" s="1" t="s">
        <v>5644</v>
      </c>
      <c r="I389" s="7">
        <v>1.52</v>
      </c>
      <c r="J389" s="7" t="s">
        <v>4367</v>
      </c>
      <c r="K389" s="7" t="s">
        <v>5713</v>
      </c>
      <c r="L389" s="7"/>
      <c r="O389" s="45" t="s">
        <v>5641</v>
      </c>
      <c r="R389" s="7" t="s">
        <v>2538</v>
      </c>
      <c r="X389" s="5">
        <v>35.398499999999999</v>
      </c>
      <c r="Y389" s="5">
        <v>-106.6469</v>
      </c>
      <c r="Z389" s="6">
        <v>1655</v>
      </c>
      <c r="AA389" s="73" t="s">
        <v>5645</v>
      </c>
    </row>
    <row r="390" spans="1:28" ht="21.75" customHeight="1" x14ac:dyDescent="0.2">
      <c r="A390" s="7" t="s">
        <v>5623</v>
      </c>
      <c r="B390" s="7" t="s">
        <v>5648</v>
      </c>
      <c r="C390" s="7" t="s">
        <v>46</v>
      </c>
      <c r="E390" s="7" t="s">
        <v>398</v>
      </c>
      <c r="F390" s="7" t="s">
        <v>1590</v>
      </c>
      <c r="G390" s="7" t="s">
        <v>5662</v>
      </c>
      <c r="H390" s="1" t="s">
        <v>5646</v>
      </c>
      <c r="I390" s="2">
        <f>3*0.3048</f>
        <v>0.9144000000000001</v>
      </c>
      <c r="J390" s="7" t="s">
        <v>4367</v>
      </c>
      <c r="K390" s="7" t="s">
        <v>5713</v>
      </c>
      <c r="L390" s="7"/>
      <c r="O390" s="45" t="s">
        <v>5627</v>
      </c>
      <c r="R390" s="7" t="s">
        <v>2538</v>
      </c>
      <c r="X390" s="5">
        <v>35.443199999999997</v>
      </c>
      <c r="Y390" s="5">
        <v>-106.65949999999999</v>
      </c>
      <c r="Z390" s="6">
        <v>1630</v>
      </c>
      <c r="AA390" s="73" t="s">
        <v>5647</v>
      </c>
    </row>
    <row r="391" spans="1:28" s="8" customFormat="1" ht="21.75" customHeight="1" x14ac:dyDescent="0.2">
      <c r="A391" s="8" t="s">
        <v>431</v>
      </c>
      <c r="B391" s="8" t="s">
        <v>432</v>
      </c>
      <c r="C391" s="8" t="s">
        <v>46</v>
      </c>
      <c r="E391" s="8" t="s">
        <v>433</v>
      </c>
      <c r="F391" s="8" t="s">
        <v>212</v>
      </c>
      <c r="G391" s="8" t="s">
        <v>434</v>
      </c>
      <c r="H391" s="3" t="s">
        <v>435</v>
      </c>
      <c r="I391" s="8">
        <v>25</v>
      </c>
      <c r="J391" s="8" t="s">
        <v>5754</v>
      </c>
      <c r="K391" s="8" t="s">
        <v>4480</v>
      </c>
      <c r="L391" s="14">
        <v>280</v>
      </c>
      <c r="M391" s="14"/>
      <c r="N391" s="14" t="s">
        <v>437</v>
      </c>
      <c r="O391" s="110"/>
      <c r="P391" s="4"/>
      <c r="Q391" s="8">
        <v>31</v>
      </c>
      <c r="R391" s="8" t="s">
        <v>436</v>
      </c>
      <c r="X391" s="25">
        <v>16.333300000000001</v>
      </c>
      <c r="Y391" s="25">
        <f>-(15+0.416666666666667)</f>
        <v>-15.416666666666668</v>
      </c>
      <c r="Z391" s="21">
        <v>26</v>
      </c>
      <c r="AA391" s="8" t="s">
        <v>439</v>
      </c>
      <c r="AB391" s="8" t="s">
        <v>440</v>
      </c>
    </row>
    <row r="392" spans="1:28" ht="21.75" customHeight="1" x14ac:dyDescent="0.2">
      <c r="A392" s="7" t="s">
        <v>4332</v>
      </c>
      <c r="B392" s="7" t="s">
        <v>4333</v>
      </c>
      <c r="C392" s="7" t="s">
        <v>46</v>
      </c>
      <c r="E392" s="7" t="s">
        <v>280</v>
      </c>
      <c r="F392" s="7" t="s">
        <v>214</v>
      </c>
      <c r="G392" s="7" t="s">
        <v>4335</v>
      </c>
      <c r="H392" s="1" t="s">
        <v>4334</v>
      </c>
      <c r="I392" s="7">
        <v>4</v>
      </c>
      <c r="J392" s="7" t="s">
        <v>4339</v>
      </c>
      <c r="K392" s="7" t="s">
        <v>4340</v>
      </c>
      <c r="L392" s="6">
        <v>160</v>
      </c>
      <c r="M392" s="6" t="s">
        <v>4342</v>
      </c>
      <c r="O392" s="45" t="s">
        <v>4346</v>
      </c>
      <c r="P392" s="2" t="s">
        <v>4343</v>
      </c>
      <c r="Q392" s="7">
        <v>4.2</v>
      </c>
      <c r="R392" s="7" t="s">
        <v>4344</v>
      </c>
      <c r="X392" s="24">
        <v>38.081699999999998</v>
      </c>
      <c r="Y392" s="24">
        <v>-118.9632</v>
      </c>
      <c r="Z392" s="20">
        <v>1958</v>
      </c>
      <c r="AA392" s="7" t="s">
        <v>4338</v>
      </c>
      <c r="AB392" s="134" t="s">
        <v>4345</v>
      </c>
    </row>
    <row r="393" spans="1:28" ht="21.75" customHeight="1" x14ac:dyDescent="0.2">
      <c r="A393" s="7" t="s">
        <v>4332</v>
      </c>
      <c r="B393" s="7" t="s">
        <v>4333</v>
      </c>
      <c r="C393" s="7" t="s">
        <v>46</v>
      </c>
      <c r="E393" s="7" t="s">
        <v>280</v>
      </c>
      <c r="F393" s="7" t="s">
        <v>214</v>
      </c>
      <c r="G393" s="7" t="s">
        <v>4337</v>
      </c>
      <c r="H393" s="1" t="s">
        <v>4336</v>
      </c>
      <c r="I393" s="7">
        <v>4</v>
      </c>
      <c r="J393" s="7" t="s">
        <v>4339</v>
      </c>
      <c r="K393" s="7" t="s">
        <v>4340</v>
      </c>
      <c r="L393" s="6">
        <v>160</v>
      </c>
      <c r="M393" s="6" t="s">
        <v>4342</v>
      </c>
      <c r="O393" s="45" t="s">
        <v>4346</v>
      </c>
      <c r="P393" s="2" t="s">
        <v>4343</v>
      </c>
      <c r="Q393" s="7">
        <v>4.2</v>
      </c>
      <c r="R393" s="7" t="s">
        <v>4344</v>
      </c>
      <c r="X393" s="24">
        <v>38.081699999999998</v>
      </c>
      <c r="Y393" s="24">
        <v>-118.9632</v>
      </c>
      <c r="Z393" s="20">
        <v>1958</v>
      </c>
      <c r="AA393" s="7" t="s">
        <v>4341</v>
      </c>
      <c r="AB393" s="135"/>
    </row>
    <row r="394" spans="1:28" s="8" customFormat="1" ht="21.75" customHeight="1" x14ac:dyDescent="0.2">
      <c r="A394" s="8" t="s">
        <v>2542</v>
      </c>
      <c r="B394" s="8" t="s">
        <v>2543</v>
      </c>
      <c r="C394" s="8" t="s">
        <v>2544</v>
      </c>
      <c r="E394" s="8" t="s">
        <v>398</v>
      </c>
      <c r="F394" s="8" t="s">
        <v>1557</v>
      </c>
      <c r="G394" s="8" t="s">
        <v>2554</v>
      </c>
      <c r="H394" s="3" t="s">
        <v>2546</v>
      </c>
      <c r="I394" s="8">
        <v>0.1</v>
      </c>
      <c r="J394" s="8" t="s">
        <v>5755</v>
      </c>
      <c r="K394" s="8" t="s">
        <v>4480</v>
      </c>
      <c r="L394" s="14">
        <v>415</v>
      </c>
      <c r="M394" s="14" t="s">
        <v>2545</v>
      </c>
      <c r="N394" s="14"/>
      <c r="O394" s="110"/>
      <c r="P394" s="4"/>
      <c r="X394" s="25">
        <v>30.717500000000001</v>
      </c>
      <c r="Y394" s="25">
        <v>91.040700000000001</v>
      </c>
      <c r="Z394" s="21">
        <v>4872</v>
      </c>
      <c r="AA394" s="8" t="s">
        <v>2550</v>
      </c>
      <c r="AB394" s="8" t="s">
        <v>2553</v>
      </c>
    </row>
    <row r="395" spans="1:28" s="8" customFormat="1" ht="21.75" customHeight="1" x14ac:dyDescent="0.2">
      <c r="A395" s="8" t="s">
        <v>2542</v>
      </c>
      <c r="B395" s="8" t="s">
        <v>2543</v>
      </c>
      <c r="C395" s="8" t="s">
        <v>2544</v>
      </c>
      <c r="E395" s="8" t="s">
        <v>398</v>
      </c>
      <c r="F395" s="8" t="s">
        <v>217</v>
      </c>
      <c r="H395" s="3" t="s">
        <v>2547</v>
      </c>
      <c r="I395" s="8">
        <v>0.1</v>
      </c>
      <c r="J395" s="8" t="s">
        <v>5755</v>
      </c>
      <c r="K395" s="8" t="s">
        <v>4480</v>
      </c>
      <c r="L395" s="14">
        <v>415</v>
      </c>
      <c r="M395" s="14" t="s">
        <v>2545</v>
      </c>
      <c r="N395" s="14"/>
      <c r="O395" s="110"/>
      <c r="P395" s="4"/>
      <c r="X395" s="25">
        <v>30.717500000000001</v>
      </c>
      <c r="Y395" s="25">
        <v>91.040700000000001</v>
      </c>
      <c r="Z395" s="21">
        <v>4872</v>
      </c>
      <c r="AA395" s="8" t="s">
        <v>2552</v>
      </c>
    </row>
    <row r="396" spans="1:28" s="8" customFormat="1" ht="21.75" customHeight="1" x14ac:dyDescent="0.2">
      <c r="A396" s="8" t="s">
        <v>2542</v>
      </c>
      <c r="B396" s="8" t="s">
        <v>2543</v>
      </c>
      <c r="C396" s="8" t="s">
        <v>2544</v>
      </c>
      <c r="E396" s="8" t="s">
        <v>398</v>
      </c>
      <c r="F396" s="8" t="s">
        <v>217</v>
      </c>
      <c r="H396" s="3" t="s">
        <v>2548</v>
      </c>
      <c r="I396" s="8">
        <v>0.3</v>
      </c>
      <c r="J396" s="8" t="s">
        <v>5755</v>
      </c>
      <c r="K396" s="8" t="s">
        <v>4480</v>
      </c>
      <c r="L396" s="14">
        <v>415</v>
      </c>
      <c r="M396" s="14" t="s">
        <v>2545</v>
      </c>
      <c r="N396" s="14"/>
      <c r="O396" s="110"/>
      <c r="P396" s="4"/>
      <c r="X396" s="25">
        <v>30.717500000000001</v>
      </c>
      <c r="Y396" s="25">
        <v>91.040700000000001</v>
      </c>
      <c r="Z396" s="21">
        <v>4872</v>
      </c>
      <c r="AA396" s="8" t="s">
        <v>2551</v>
      </c>
    </row>
    <row r="397" spans="1:28" s="8" customFormat="1" ht="21.75" customHeight="1" x14ac:dyDescent="0.2">
      <c r="A397" s="8" t="s">
        <v>2542</v>
      </c>
      <c r="B397" s="8" t="s">
        <v>2543</v>
      </c>
      <c r="C397" s="8" t="s">
        <v>2544</v>
      </c>
      <c r="E397" s="8" t="s">
        <v>735</v>
      </c>
      <c r="F397" s="8" t="s">
        <v>214</v>
      </c>
      <c r="H397" s="3" t="s">
        <v>2549</v>
      </c>
      <c r="I397" s="8">
        <v>0.3</v>
      </c>
      <c r="J397" s="8" t="s">
        <v>5755</v>
      </c>
      <c r="K397" s="8" t="s">
        <v>4480</v>
      </c>
      <c r="L397" s="14">
        <v>415</v>
      </c>
      <c r="M397" s="14" t="s">
        <v>2545</v>
      </c>
      <c r="N397" s="14"/>
      <c r="O397" s="110"/>
      <c r="P397" s="4"/>
      <c r="X397" s="25">
        <v>30.717500000000001</v>
      </c>
      <c r="Y397" s="25">
        <v>91.040700000000001</v>
      </c>
      <c r="Z397" s="21">
        <v>4872</v>
      </c>
      <c r="AA397" s="8" t="s">
        <v>4352</v>
      </c>
    </row>
    <row r="398" spans="1:28" ht="21.75" customHeight="1" x14ac:dyDescent="0.2">
      <c r="A398" s="7" t="s">
        <v>6385</v>
      </c>
      <c r="B398" s="7" t="s">
        <v>6394</v>
      </c>
      <c r="C398" s="7" t="s">
        <v>6393</v>
      </c>
      <c r="D398" s="7" t="s">
        <v>6391</v>
      </c>
      <c r="E398" s="7" t="s">
        <v>280</v>
      </c>
      <c r="F398" s="7" t="s">
        <v>6390</v>
      </c>
      <c r="G398" s="7" t="s">
        <v>6388</v>
      </c>
      <c r="H398" s="1" t="s">
        <v>6387</v>
      </c>
      <c r="I398" s="7">
        <v>0.1</v>
      </c>
      <c r="J398" s="7" t="s">
        <v>4367</v>
      </c>
      <c r="K398" s="7" t="s">
        <v>4386</v>
      </c>
      <c r="L398" s="6">
        <v>360</v>
      </c>
      <c r="M398" s="6" t="s">
        <v>6398</v>
      </c>
      <c r="O398" s="45" t="s">
        <v>6392</v>
      </c>
      <c r="R398" s="7" t="s">
        <v>6397</v>
      </c>
      <c r="X398" s="24">
        <v>63.505099999999999</v>
      </c>
      <c r="Y398" s="24">
        <v>-149.97880000000001</v>
      </c>
      <c r="Z398" s="20">
        <v>980</v>
      </c>
      <c r="AA398" s="134" t="s">
        <v>6395</v>
      </c>
      <c r="AB398" s="44" t="s">
        <v>6396</v>
      </c>
    </row>
    <row r="399" spans="1:28" ht="21.75" customHeight="1" x14ac:dyDescent="0.2">
      <c r="A399" s="7" t="s">
        <v>6385</v>
      </c>
      <c r="B399" s="7" t="s">
        <v>6394</v>
      </c>
      <c r="C399" s="7" t="s">
        <v>6393</v>
      </c>
      <c r="D399" s="7" t="s">
        <v>6386</v>
      </c>
      <c r="E399" s="7" t="s">
        <v>280</v>
      </c>
      <c r="F399" s="7" t="s">
        <v>6390</v>
      </c>
      <c r="G399" s="7" t="s">
        <v>6388</v>
      </c>
      <c r="H399" s="1" t="s">
        <v>6387</v>
      </c>
      <c r="I399" s="7">
        <v>0.1</v>
      </c>
      <c r="J399" s="7" t="s">
        <v>4367</v>
      </c>
      <c r="K399" s="7" t="s">
        <v>4386</v>
      </c>
      <c r="L399" s="6">
        <v>360</v>
      </c>
      <c r="M399" s="6" t="s">
        <v>6398</v>
      </c>
      <c r="O399" s="45" t="s">
        <v>6392</v>
      </c>
      <c r="R399" s="7" t="s">
        <v>6397</v>
      </c>
      <c r="X399" s="24">
        <v>63.687100000000001</v>
      </c>
      <c r="Y399" s="24">
        <v>-149.5889</v>
      </c>
      <c r="Z399" s="20">
        <v>750</v>
      </c>
      <c r="AA399" s="135"/>
      <c r="AB399" s="44" t="s">
        <v>6389</v>
      </c>
    </row>
    <row r="400" spans="1:28" s="8" customFormat="1" ht="21.75" customHeight="1" x14ac:dyDescent="0.2">
      <c r="A400" s="8" t="s">
        <v>4347</v>
      </c>
      <c r="B400" s="8" t="s">
        <v>4353</v>
      </c>
      <c r="C400" s="8" t="s">
        <v>4451</v>
      </c>
      <c r="D400" s="8" t="s">
        <v>4349</v>
      </c>
      <c r="E400" s="8" t="s">
        <v>33</v>
      </c>
      <c r="F400" s="8" t="s">
        <v>212</v>
      </c>
      <c r="G400" s="8" t="s">
        <v>4348</v>
      </c>
      <c r="H400" s="3" t="s">
        <v>3994</v>
      </c>
      <c r="I400" s="8">
        <v>1</v>
      </c>
      <c r="J400" s="8" t="s">
        <v>4359</v>
      </c>
      <c r="K400" s="8" t="s">
        <v>4340</v>
      </c>
      <c r="L400" s="14">
        <v>1315</v>
      </c>
      <c r="M400" s="14" t="s">
        <v>2865</v>
      </c>
      <c r="N400" s="14"/>
      <c r="O400" s="110" t="s">
        <v>4354</v>
      </c>
      <c r="P400" s="4"/>
      <c r="R400" s="8" t="s">
        <v>4357</v>
      </c>
      <c r="U400" s="8" t="s">
        <v>4358</v>
      </c>
      <c r="V400" s="8">
        <v>3.5</v>
      </c>
      <c r="X400" s="25">
        <v>51.685000000000002</v>
      </c>
      <c r="Y400" s="25">
        <v>10.420500000000001</v>
      </c>
      <c r="Z400" s="21">
        <v>514</v>
      </c>
      <c r="AA400" s="132" t="s">
        <v>4360</v>
      </c>
      <c r="AB400" s="132" t="s">
        <v>4361</v>
      </c>
    </row>
    <row r="401" spans="1:29" s="8" customFormat="1" ht="21.75" customHeight="1" x14ac:dyDescent="0.2">
      <c r="A401" s="8" t="s">
        <v>4347</v>
      </c>
      <c r="B401" s="8" t="s">
        <v>4353</v>
      </c>
      <c r="C401" s="8" t="s">
        <v>4451</v>
      </c>
      <c r="D401" s="8" t="s">
        <v>4350</v>
      </c>
      <c r="E401" s="8" t="s">
        <v>33</v>
      </c>
      <c r="F401" s="8" t="s">
        <v>212</v>
      </c>
      <c r="G401" s="8" t="s">
        <v>4348</v>
      </c>
      <c r="H401" s="3" t="s">
        <v>3994</v>
      </c>
      <c r="I401" s="8">
        <v>0.8</v>
      </c>
      <c r="J401" s="8" t="s">
        <v>4359</v>
      </c>
      <c r="K401" s="8" t="s">
        <v>4340</v>
      </c>
      <c r="L401" s="14">
        <v>1315</v>
      </c>
      <c r="M401" s="14" t="s">
        <v>2865</v>
      </c>
      <c r="N401" s="14"/>
      <c r="O401" s="110" t="s">
        <v>4355</v>
      </c>
      <c r="P401" s="4"/>
      <c r="R401" s="8" t="s">
        <v>4357</v>
      </c>
      <c r="U401" s="8" t="s">
        <v>4358</v>
      </c>
      <c r="V401" s="8">
        <v>3.5</v>
      </c>
      <c r="X401" s="25">
        <v>51.681800000000003</v>
      </c>
      <c r="Y401" s="25">
        <v>10.417299999999999</v>
      </c>
      <c r="Z401" s="21">
        <v>514</v>
      </c>
      <c r="AA401" s="137"/>
      <c r="AB401" s="137"/>
    </row>
    <row r="402" spans="1:29" s="8" customFormat="1" ht="21.75" customHeight="1" x14ac:dyDescent="0.2">
      <c r="A402" s="8" t="s">
        <v>4347</v>
      </c>
      <c r="B402" s="8" t="s">
        <v>4353</v>
      </c>
      <c r="C402" s="8" t="s">
        <v>4451</v>
      </c>
      <c r="D402" s="8" t="s">
        <v>4351</v>
      </c>
      <c r="E402" s="8" t="s">
        <v>33</v>
      </c>
      <c r="F402" s="8" t="s">
        <v>212</v>
      </c>
      <c r="G402" s="8" t="s">
        <v>4348</v>
      </c>
      <c r="H402" s="3" t="s">
        <v>3994</v>
      </c>
      <c r="I402" s="8">
        <v>0.8</v>
      </c>
      <c r="J402" s="8" t="s">
        <v>4359</v>
      </c>
      <c r="K402" s="8" t="s">
        <v>4340</v>
      </c>
      <c r="L402" s="14">
        <v>1315</v>
      </c>
      <c r="M402" s="14" t="s">
        <v>2865</v>
      </c>
      <c r="N402" s="14"/>
      <c r="O402" s="110" t="s">
        <v>4356</v>
      </c>
      <c r="P402" s="4"/>
      <c r="R402" s="8" t="s">
        <v>4357</v>
      </c>
      <c r="U402" s="8" t="s">
        <v>4358</v>
      </c>
      <c r="V402" s="8">
        <v>3.5</v>
      </c>
      <c r="X402" s="25">
        <v>51.683100000000003</v>
      </c>
      <c r="Y402" s="25">
        <v>10.4199</v>
      </c>
      <c r="Z402" s="21">
        <v>585</v>
      </c>
      <c r="AA402" s="133"/>
      <c r="AB402" s="133"/>
    </row>
    <row r="403" spans="1:29" ht="21.75" customHeight="1" x14ac:dyDescent="0.2">
      <c r="A403" s="7" t="s">
        <v>441</v>
      </c>
      <c r="B403" s="7" t="s">
        <v>442</v>
      </c>
      <c r="C403" s="7" t="s">
        <v>4452</v>
      </c>
      <c r="D403" s="7" t="s">
        <v>53</v>
      </c>
      <c r="E403" s="7" t="s">
        <v>398</v>
      </c>
      <c r="F403" s="7" t="s">
        <v>62</v>
      </c>
      <c r="G403" s="7" t="s">
        <v>446</v>
      </c>
      <c r="H403" s="1" t="s">
        <v>443</v>
      </c>
      <c r="I403" s="7">
        <v>0.2</v>
      </c>
      <c r="J403" s="7" t="s">
        <v>4328</v>
      </c>
      <c r="K403" s="7" t="s">
        <v>4410</v>
      </c>
      <c r="O403" s="45" t="s">
        <v>450</v>
      </c>
      <c r="P403" s="2" t="s">
        <v>447</v>
      </c>
      <c r="R403" s="7" t="s">
        <v>449</v>
      </c>
      <c r="X403" s="5">
        <v>51.1004</v>
      </c>
      <c r="Y403" s="5">
        <v>3.6701999999999999</v>
      </c>
      <c r="Z403" s="6">
        <v>4</v>
      </c>
      <c r="AA403" s="7" t="s">
        <v>451</v>
      </c>
    </row>
    <row r="404" spans="1:29" ht="21.75" customHeight="1" x14ac:dyDescent="0.2">
      <c r="A404" s="7" t="s">
        <v>441</v>
      </c>
      <c r="B404" s="7" t="s">
        <v>442</v>
      </c>
      <c r="C404" s="7" t="s">
        <v>4452</v>
      </c>
      <c r="D404" s="7" t="s">
        <v>54</v>
      </c>
      <c r="E404" s="7" t="s">
        <v>398</v>
      </c>
      <c r="F404" s="7" t="s">
        <v>62</v>
      </c>
      <c r="G404" s="7" t="s">
        <v>445</v>
      </c>
      <c r="H404" s="1" t="s">
        <v>444</v>
      </c>
      <c r="I404" s="7">
        <v>1</v>
      </c>
      <c r="J404" s="7" t="s">
        <v>4328</v>
      </c>
      <c r="K404" s="7" t="s">
        <v>4410</v>
      </c>
      <c r="O404" s="45" t="s">
        <v>450</v>
      </c>
      <c r="P404" s="2" t="s">
        <v>448</v>
      </c>
      <c r="R404" s="7" t="s">
        <v>449</v>
      </c>
      <c r="X404" s="5">
        <v>51.100900000000003</v>
      </c>
      <c r="Y404" s="5">
        <v>3.6671</v>
      </c>
      <c r="Z404" s="6">
        <v>6</v>
      </c>
    </row>
    <row r="405" spans="1:29" s="8" customFormat="1" ht="21.75" customHeight="1" x14ac:dyDescent="0.2">
      <c r="A405" s="8" t="s">
        <v>7142</v>
      </c>
      <c r="B405" s="8" t="s">
        <v>7135</v>
      </c>
      <c r="C405" s="8" t="s">
        <v>7136</v>
      </c>
      <c r="E405" s="8" t="s">
        <v>398</v>
      </c>
      <c r="F405" s="8" t="s">
        <v>6616</v>
      </c>
      <c r="H405" s="3" t="s">
        <v>7137</v>
      </c>
      <c r="I405" s="4" t="s">
        <v>7138</v>
      </c>
      <c r="J405" s="4" t="s">
        <v>7139</v>
      </c>
      <c r="K405" s="4" t="s">
        <v>4480</v>
      </c>
      <c r="L405" s="14">
        <v>1964</v>
      </c>
      <c r="M405" s="14" t="s">
        <v>7143</v>
      </c>
      <c r="N405" s="14"/>
      <c r="O405" s="110"/>
      <c r="X405" s="13">
        <f>29+14/60+(29.5+55.8)/2/3600</f>
        <v>29.245180555555557</v>
      </c>
      <c r="Y405" s="13">
        <f>118+7/60+(31.4+6.8)/2/3600</f>
        <v>118.12197222222221</v>
      </c>
      <c r="Z405" s="14">
        <v>409</v>
      </c>
      <c r="AA405" s="8" t="s">
        <v>7140</v>
      </c>
      <c r="AB405" s="8" t="s">
        <v>7141</v>
      </c>
    </row>
    <row r="406" spans="1:29" ht="21.75" customHeight="1" x14ac:dyDescent="0.2">
      <c r="A406" s="7" t="s">
        <v>5667</v>
      </c>
      <c r="B406" s="7" t="s">
        <v>5678</v>
      </c>
      <c r="C406" s="7" t="s">
        <v>1720</v>
      </c>
      <c r="D406" s="7" t="s">
        <v>5682</v>
      </c>
      <c r="E406" s="7" t="s">
        <v>280</v>
      </c>
      <c r="F406" s="7" t="s">
        <v>5680</v>
      </c>
      <c r="G406" s="7" t="s">
        <v>5677</v>
      </c>
      <c r="H406" s="1" t="s">
        <v>5671</v>
      </c>
      <c r="I406" s="7">
        <v>1.42</v>
      </c>
      <c r="J406" s="7" t="s">
        <v>4367</v>
      </c>
      <c r="K406" s="7" t="s">
        <v>4386</v>
      </c>
      <c r="L406" s="6">
        <f>40*25.4</f>
        <v>1016</v>
      </c>
      <c r="M406" s="6" t="s">
        <v>2865</v>
      </c>
      <c r="R406" s="7" t="s">
        <v>5669</v>
      </c>
      <c r="W406" s="7" t="s">
        <v>5668</v>
      </c>
      <c r="X406" s="5">
        <v>39.113700000000001</v>
      </c>
      <c r="Y406" s="5">
        <v>-86.656700000000001</v>
      </c>
      <c r="Z406" s="6">
        <v>269</v>
      </c>
      <c r="AA406" s="44" t="s">
        <v>5681</v>
      </c>
      <c r="AB406" s="44" t="s">
        <v>5679</v>
      </c>
      <c r="AC406" s="7" t="s">
        <v>5670</v>
      </c>
    </row>
    <row r="407" spans="1:29" ht="21.75" customHeight="1" x14ac:dyDescent="0.2">
      <c r="A407" s="7" t="s">
        <v>5667</v>
      </c>
      <c r="B407" s="7" t="s">
        <v>5678</v>
      </c>
      <c r="C407" s="7" t="s">
        <v>1720</v>
      </c>
      <c r="D407" s="7" t="s">
        <v>5683</v>
      </c>
      <c r="E407" s="7" t="s">
        <v>280</v>
      </c>
      <c r="F407" s="7" t="s">
        <v>214</v>
      </c>
      <c r="G407" s="7" t="s">
        <v>5684</v>
      </c>
      <c r="H407" s="1" t="s">
        <v>5672</v>
      </c>
      <c r="I407" s="7">
        <v>0.64</v>
      </c>
      <c r="J407" s="7" t="s">
        <v>4367</v>
      </c>
      <c r="K407" s="7" t="s">
        <v>4386</v>
      </c>
      <c r="L407" s="6">
        <f t="shared" ref="L407:L413" si="0">40*25.4</f>
        <v>1016</v>
      </c>
      <c r="M407" s="6" t="s">
        <v>2865</v>
      </c>
      <c r="O407" s="45" t="s">
        <v>5685</v>
      </c>
      <c r="R407" s="7" t="s">
        <v>5669</v>
      </c>
      <c r="W407" s="7" t="s">
        <v>5668</v>
      </c>
      <c r="X407" s="5">
        <v>39.091700000000003</v>
      </c>
      <c r="Y407" s="5">
        <v>-86.634600000000006</v>
      </c>
      <c r="Z407" s="6">
        <v>252</v>
      </c>
      <c r="AA407" s="44" t="s">
        <v>5688</v>
      </c>
      <c r="AB407" s="44" t="s">
        <v>5712</v>
      </c>
      <c r="AC407" s="7" t="s">
        <v>5670</v>
      </c>
    </row>
    <row r="408" spans="1:29" ht="21.75" customHeight="1" x14ac:dyDescent="0.2">
      <c r="A408" s="7" t="s">
        <v>5667</v>
      </c>
      <c r="B408" s="7" t="s">
        <v>5678</v>
      </c>
      <c r="C408" s="7" t="s">
        <v>1720</v>
      </c>
      <c r="D408" s="7" t="s">
        <v>5686</v>
      </c>
      <c r="E408" s="7" t="s">
        <v>280</v>
      </c>
      <c r="F408" s="7" t="s">
        <v>214</v>
      </c>
      <c r="G408" s="7" t="s">
        <v>5684</v>
      </c>
      <c r="H408" s="1" t="s">
        <v>5672</v>
      </c>
      <c r="I408" s="7">
        <v>1.57</v>
      </c>
      <c r="J408" s="7" t="s">
        <v>4367</v>
      </c>
      <c r="K408" s="7" t="s">
        <v>4386</v>
      </c>
      <c r="L408" s="6">
        <f t="shared" si="0"/>
        <v>1016</v>
      </c>
      <c r="M408" s="6" t="s">
        <v>2865</v>
      </c>
      <c r="O408" s="45" t="s">
        <v>5687</v>
      </c>
      <c r="R408" s="7" t="s">
        <v>5669</v>
      </c>
      <c r="W408" s="7" t="s">
        <v>5668</v>
      </c>
      <c r="X408" s="5">
        <v>39.076500000000003</v>
      </c>
      <c r="Y408" s="5">
        <v>-86.1494</v>
      </c>
      <c r="Z408" s="6">
        <v>220</v>
      </c>
      <c r="AA408" s="44" t="s">
        <v>5689</v>
      </c>
      <c r="AB408" s="44"/>
      <c r="AC408" s="7" t="s">
        <v>5670</v>
      </c>
    </row>
    <row r="409" spans="1:29" ht="21.75" customHeight="1" x14ac:dyDescent="0.2">
      <c r="A409" s="7" t="s">
        <v>5667</v>
      </c>
      <c r="B409" s="7" t="s">
        <v>5678</v>
      </c>
      <c r="C409" s="7" t="s">
        <v>1720</v>
      </c>
      <c r="D409" s="7" t="s">
        <v>5691</v>
      </c>
      <c r="E409" s="7" t="s">
        <v>280</v>
      </c>
      <c r="F409" s="7" t="s">
        <v>5680</v>
      </c>
      <c r="G409" s="7" t="s">
        <v>5690</v>
      </c>
      <c r="H409" s="1" t="s">
        <v>5673</v>
      </c>
      <c r="I409" s="7">
        <v>1.03</v>
      </c>
      <c r="J409" s="7" t="s">
        <v>4367</v>
      </c>
      <c r="K409" s="7" t="s">
        <v>4386</v>
      </c>
      <c r="L409" s="6">
        <f t="shared" si="0"/>
        <v>1016</v>
      </c>
      <c r="M409" s="6" t="s">
        <v>2865</v>
      </c>
      <c r="R409" s="7" t="s">
        <v>5669</v>
      </c>
      <c r="W409" s="7" t="s">
        <v>5668</v>
      </c>
      <c r="X409" s="7">
        <v>39.114600000000003</v>
      </c>
      <c r="Y409" s="7">
        <v>-86.582899999999995</v>
      </c>
      <c r="Z409" s="7">
        <v>221</v>
      </c>
      <c r="AA409" s="44" t="s">
        <v>5693</v>
      </c>
      <c r="AB409" s="44" t="s">
        <v>5692</v>
      </c>
      <c r="AC409" s="7" t="s">
        <v>5670</v>
      </c>
    </row>
    <row r="410" spans="1:29" ht="21.75" customHeight="1" x14ac:dyDescent="0.2">
      <c r="A410" s="7" t="s">
        <v>5667</v>
      </c>
      <c r="B410" s="7" t="s">
        <v>5678</v>
      </c>
      <c r="C410" s="7" t="s">
        <v>1720</v>
      </c>
      <c r="D410" s="7" t="s">
        <v>5695</v>
      </c>
      <c r="E410" s="7" t="s">
        <v>280</v>
      </c>
      <c r="F410" s="7" t="s">
        <v>212</v>
      </c>
      <c r="G410" s="7" t="s">
        <v>5696</v>
      </c>
      <c r="H410" s="1" t="s">
        <v>5674</v>
      </c>
      <c r="I410" s="7">
        <v>1.2</v>
      </c>
      <c r="J410" s="7" t="s">
        <v>4367</v>
      </c>
      <c r="K410" s="7" t="s">
        <v>4386</v>
      </c>
      <c r="L410" s="6">
        <f t="shared" si="0"/>
        <v>1016</v>
      </c>
      <c r="M410" s="6" t="s">
        <v>2865</v>
      </c>
      <c r="O410" s="45" t="s">
        <v>5694</v>
      </c>
      <c r="R410" s="7" t="s">
        <v>5669</v>
      </c>
      <c r="W410" s="7" t="s">
        <v>5668</v>
      </c>
      <c r="X410" s="5">
        <v>39.064599999999999</v>
      </c>
      <c r="Y410" s="5">
        <v>-86.625399999999999</v>
      </c>
      <c r="Z410" s="6">
        <v>288</v>
      </c>
      <c r="AA410" s="44" t="s">
        <v>5698</v>
      </c>
      <c r="AB410" s="44"/>
      <c r="AC410" s="7" t="s">
        <v>5670</v>
      </c>
    </row>
    <row r="411" spans="1:29" ht="21.75" customHeight="1" x14ac:dyDescent="0.2">
      <c r="A411" s="7" t="s">
        <v>5667</v>
      </c>
      <c r="B411" s="7" t="s">
        <v>5678</v>
      </c>
      <c r="C411" s="7" t="s">
        <v>1720</v>
      </c>
      <c r="D411" s="7" t="s">
        <v>5697</v>
      </c>
      <c r="E411" s="7" t="s">
        <v>280</v>
      </c>
      <c r="F411" s="7" t="s">
        <v>1302</v>
      </c>
      <c r="G411" s="7" t="s">
        <v>5699</v>
      </c>
      <c r="H411" s="1" t="s">
        <v>5675</v>
      </c>
      <c r="I411" s="7">
        <v>1.35</v>
      </c>
      <c r="J411" s="7" t="s">
        <v>4367</v>
      </c>
      <c r="K411" s="7" t="s">
        <v>4386</v>
      </c>
      <c r="L411" s="6">
        <f t="shared" si="0"/>
        <v>1016</v>
      </c>
      <c r="M411" s="6" t="s">
        <v>2865</v>
      </c>
      <c r="O411" s="45" t="s">
        <v>5697</v>
      </c>
      <c r="R411" s="7" t="s">
        <v>5669</v>
      </c>
      <c r="W411" s="7" t="s">
        <v>5668</v>
      </c>
      <c r="X411" s="5">
        <v>39.019199999999998</v>
      </c>
      <c r="Y411" s="5">
        <v>-86.600300000000004</v>
      </c>
      <c r="Z411" s="6">
        <v>289</v>
      </c>
      <c r="AA411" s="44" t="s">
        <v>5700</v>
      </c>
      <c r="AB411" s="44"/>
      <c r="AC411" s="7" t="s">
        <v>5670</v>
      </c>
    </row>
    <row r="412" spans="1:29" ht="21.75" customHeight="1" x14ac:dyDescent="0.2">
      <c r="A412" s="7" t="s">
        <v>5667</v>
      </c>
      <c r="B412" s="7" t="s">
        <v>5678</v>
      </c>
      <c r="C412" s="7" t="s">
        <v>1720</v>
      </c>
      <c r="D412" s="7" t="s">
        <v>5704</v>
      </c>
      <c r="E412" s="7" t="s">
        <v>280</v>
      </c>
      <c r="F412" s="7" t="s">
        <v>5705</v>
      </c>
      <c r="G412" s="7" t="s">
        <v>5702</v>
      </c>
      <c r="H412" s="1" t="s">
        <v>5701</v>
      </c>
      <c r="I412" s="7">
        <v>1.18</v>
      </c>
      <c r="J412" s="7" t="s">
        <v>4367</v>
      </c>
      <c r="K412" s="7" t="s">
        <v>4386</v>
      </c>
      <c r="L412" s="6">
        <f t="shared" si="0"/>
        <v>1016</v>
      </c>
      <c r="M412" s="6" t="s">
        <v>2865</v>
      </c>
      <c r="O412" s="45" t="s">
        <v>5703</v>
      </c>
      <c r="R412" s="7" t="s">
        <v>5669</v>
      </c>
      <c r="W412" s="7" t="s">
        <v>5668</v>
      </c>
      <c r="X412" s="5">
        <v>39.148699999999998</v>
      </c>
      <c r="Y412" s="5">
        <v>-86.462800000000001</v>
      </c>
      <c r="Z412" s="6">
        <v>249</v>
      </c>
      <c r="AA412" s="44" t="s">
        <v>5707</v>
      </c>
      <c r="AB412" s="44" t="s">
        <v>5706</v>
      </c>
      <c r="AC412" s="7" t="s">
        <v>5670</v>
      </c>
    </row>
    <row r="413" spans="1:29" ht="21.75" customHeight="1" x14ac:dyDescent="0.2">
      <c r="A413" s="7" t="s">
        <v>5667</v>
      </c>
      <c r="B413" s="7" t="s">
        <v>5678</v>
      </c>
      <c r="C413" s="7" t="s">
        <v>1720</v>
      </c>
      <c r="D413" s="7" t="s">
        <v>5710</v>
      </c>
      <c r="E413" s="7" t="s">
        <v>280</v>
      </c>
      <c r="F413" s="7" t="s">
        <v>5708</v>
      </c>
      <c r="G413" s="7" t="s">
        <v>5709</v>
      </c>
      <c r="H413" s="1" t="s">
        <v>5676</v>
      </c>
      <c r="I413" s="7">
        <v>1.5</v>
      </c>
      <c r="J413" s="7" t="s">
        <v>4367</v>
      </c>
      <c r="K413" s="7" t="s">
        <v>4386</v>
      </c>
      <c r="L413" s="6">
        <f t="shared" si="0"/>
        <v>1016</v>
      </c>
      <c r="M413" s="6" t="s">
        <v>2865</v>
      </c>
      <c r="R413" s="7" t="s">
        <v>5669</v>
      </c>
      <c r="W413" s="7" t="s">
        <v>5668</v>
      </c>
      <c r="X413" s="5">
        <v>39.039700000000003</v>
      </c>
      <c r="Y413" s="5">
        <v>-86.5124</v>
      </c>
      <c r="Z413" s="6">
        <v>223</v>
      </c>
      <c r="AA413" s="44" t="s">
        <v>5711</v>
      </c>
      <c r="AB413" s="44"/>
      <c r="AC413" s="7" t="s">
        <v>5670</v>
      </c>
    </row>
    <row r="414" spans="1:29" s="8" customFormat="1" ht="21.75" customHeight="1" x14ac:dyDescent="0.2">
      <c r="A414" s="8" t="s">
        <v>4426</v>
      </c>
      <c r="B414" s="8" t="s">
        <v>4428</v>
      </c>
      <c r="C414" s="8" t="s">
        <v>1742</v>
      </c>
      <c r="D414" s="8" t="s">
        <v>4429</v>
      </c>
      <c r="E414" s="8" t="s">
        <v>280</v>
      </c>
      <c r="F414" s="8" t="s">
        <v>212</v>
      </c>
      <c r="G414" s="8" t="s">
        <v>4405</v>
      </c>
      <c r="H414" s="3" t="s">
        <v>4405</v>
      </c>
      <c r="I414" s="8">
        <v>34</v>
      </c>
      <c r="J414" s="8" t="s">
        <v>4433</v>
      </c>
      <c r="K414" s="8" t="s">
        <v>5756</v>
      </c>
      <c r="L414" s="14">
        <v>300</v>
      </c>
      <c r="M414" s="14"/>
      <c r="N414" s="14"/>
      <c r="O414" s="110" t="s">
        <v>4439</v>
      </c>
      <c r="P414" s="4"/>
      <c r="Q414" s="8">
        <v>34</v>
      </c>
      <c r="X414" s="13">
        <v>15.6357</v>
      </c>
      <c r="Y414" s="13">
        <v>-16.264600000000002</v>
      </c>
      <c r="Z414" s="14">
        <v>43</v>
      </c>
      <c r="AA414" s="132" t="s">
        <v>4437</v>
      </c>
      <c r="AB414" s="132" t="s">
        <v>4438</v>
      </c>
    </row>
    <row r="415" spans="1:29" s="8" customFormat="1" ht="21.75" customHeight="1" x14ac:dyDescent="0.2">
      <c r="A415" s="8" t="s">
        <v>4426</v>
      </c>
      <c r="B415" s="8" t="s">
        <v>4428</v>
      </c>
      <c r="C415" s="8" t="s">
        <v>1742</v>
      </c>
      <c r="D415" s="8" t="s">
        <v>4430</v>
      </c>
      <c r="E415" s="8" t="s">
        <v>280</v>
      </c>
      <c r="F415" s="8" t="s">
        <v>212</v>
      </c>
      <c r="G415" s="8" t="s">
        <v>4405</v>
      </c>
      <c r="H415" s="3" t="s">
        <v>4405</v>
      </c>
      <c r="I415" s="8">
        <v>16.5</v>
      </c>
      <c r="J415" s="8" t="s">
        <v>4433</v>
      </c>
      <c r="K415" s="8" t="s">
        <v>5756</v>
      </c>
      <c r="L415" s="14">
        <v>500</v>
      </c>
      <c r="M415" s="14"/>
      <c r="N415" s="14"/>
      <c r="O415" s="110" t="s">
        <v>4439</v>
      </c>
      <c r="P415" s="4"/>
      <c r="Q415" s="8">
        <v>16.5</v>
      </c>
      <c r="X415" s="13">
        <v>15.3682</v>
      </c>
      <c r="Y415" s="13">
        <v>-16.518599999999999</v>
      </c>
      <c r="Z415" s="14">
        <v>50</v>
      </c>
      <c r="AA415" s="137"/>
      <c r="AB415" s="133"/>
    </row>
    <row r="416" spans="1:29" s="8" customFormat="1" ht="21.75" customHeight="1" x14ac:dyDescent="0.2">
      <c r="A416" s="8" t="s">
        <v>4426</v>
      </c>
      <c r="B416" s="8" t="s">
        <v>4427</v>
      </c>
      <c r="C416" s="8" t="s">
        <v>4416</v>
      </c>
      <c r="D416" s="8" t="s">
        <v>4431</v>
      </c>
      <c r="E416" s="8" t="s">
        <v>280</v>
      </c>
      <c r="F416" s="8" t="s">
        <v>212</v>
      </c>
      <c r="G416" s="8" t="s">
        <v>4405</v>
      </c>
      <c r="H416" s="3" t="s">
        <v>4405</v>
      </c>
      <c r="I416" s="8">
        <v>4.5</v>
      </c>
      <c r="J416" s="8" t="s">
        <v>4433</v>
      </c>
      <c r="K416" s="8" t="s">
        <v>5756</v>
      </c>
      <c r="L416" s="14">
        <v>1100</v>
      </c>
      <c r="M416" s="14"/>
      <c r="N416" s="14"/>
      <c r="O416" s="110" t="s">
        <v>4434</v>
      </c>
      <c r="P416" s="4"/>
      <c r="Q416" s="8">
        <v>4.5</v>
      </c>
      <c r="X416" s="13">
        <v>12.9557</v>
      </c>
      <c r="Y416" s="13">
        <v>-16.459099999999999</v>
      </c>
      <c r="Z416" s="14">
        <v>12</v>
      </c>
      <c r="AA416" s="137"/>
      <c r="AB416" s="8" t="s">
        <v>4436</v>
      </c>
    </row>
    <row r="417" spans="1:28" s="8" customFormat="1" ht="21.75" customHeight="1" x14ac:dyDescent="0.2">
      <c r="A417" s="8" t="s">
        <v>4426</v>
      </c>
      <c r="B417" s="8" t="s">
        <v>4427</v>
      </c>
      <c r="C417" s="8" t="s">
        <v>284</v>
      </c>
      <c r="D417" s="8" t="s">
        <v>4432</v>
      </c>
      <c r="E417" s="8" t="s">
        <v>280</v>
      </c>
      <c r="F417" s="8" t="s">
        <v>212</v>
      </c>
      <c r="G417" s="8" t="s">
        <v>4405</v>
      </c>
      <c r="H417" s="3" t="s">
        <v>4405</v>
      </c>
      <c r="I417" s="8">
        <v>1.5</v>
      </c>
      <c r="J417" s="8" t="s">
        <v>4433</v>
      </c>
      <c r="K417" s="8" t="s">
        <v>5756</v>
      </c>
      <c r="L417" s="14">
        <v>1500</v>
      </c>
      <c r="M417" s="14"/>
      <c r="N417" s="14"/>
      <c r="O417" s="110" t="s">
        <v>4434</v>
      </c>
      <c r="P417" s="4"/>
      <c r="Q417" s="8">
        <v>1.5</v>
      </c>
      <c r="X417" s="13">
        <v>12.350199999999999</v>
      </c>
      <c r="Y417" s="13">
        <v>-16.7166</v>
      </c>
      <c r="Z417" s="14">
        <v>6</v>
      </c>
      <c r="AA417" s="133"/>
      <c r="AB417" s="8" t="s">
        <v>4435</v>
      </c>
    </row>
    <row r="418" spans="1:28" ht="21.75" customHeight="1" x14ac:dyDescent="0.2">
      <c r="A418" s="7" t="s">
        <v>1056</v>
      </c>
      <c r="B418" s="7" t="s">
        <v>1057</v>
      </c>
      <c r="C418" s="7" t="s">
        <v>94</v>
      </c>
      <c r="D418" s="7" t="s">
        <v>1061</v>
      </c>
      <c r="E418" s="7" t="s">
        <v>263</v>
      </c>
      <c r="F418" s="7" t="s">
        <v>212</v>
      </c>
      <c r="G418" s="7" t="s">
        <v>1058</v>
      </c>
      <c r="H418" s="1" t="s">
        <v>1043</v>
      </c>
      <c r="I418" s="7" t="s">
        <v>1060</v>
      </c>
      <c r="J418" s="7" t="s">
        <v>5755</v>
      </c>
      <c r="K418" s="7" t="s">
        <v>4480</v>
      </c>
      <c r="L418" s="6">
        <v>1459</v>
      </c>
      <c r="O418" s="45" t="s">
        <v>1059</v>
      </c>
      <c r="R418" s="7" t="s">
        <v>1065</v>
      </c>
      <c r="U418" s="7" t="s">
        <v>878</v>
      </c>
      <c r="V418" s="7" t="s">
        <v>1069</v>
      </c>
      <c r="W418" s="7" t="s">
        <v>1064</v>
      </c>
      <c r="X418" s="5">
        <f>-(24+49/60)</f>
        <v>-24.816666666666666</v>
      </c>
      <c r="Y418" s="5">
        <f>30+43/60</f>
        <v>30.716666666666665</v>
      </c>
      <c r="Z418" s="6">
        <v>1610</v>
      </c>
      <c r="AA418" s="7" t="s">
        <v>1070</v>
      </c>
      <c r="AB418" s="7" t="s">
        <v>1063</v>
      </c>
    </row>
    <row r="419" spans="1:28" ht="21.75" customHeight="1" x14ac:dyDescent="0.2">
      <c r="A419" s="7" t="s">
        <v>1056</v>
      </c>
      <c r="B419" s="7" t="s">
        <v>1057</v>
      </c>
      <c r="C419" s="7" t="s">
        <v>94</v>
      </c>
      <c r="D419" s="7" t="s">
        <v>1062</v>
      </c>
      <c r="E419" s="7" t="s">
        <v>263</v>
      </c>
      <c r="F419" s="7" t="s">
        <v>212</v>
      </c>
      <c r="G419" s="7" t="s">
        <v>1058</v>
      </c>
      <c r="H419" s="1" t="s">
        <v>1043</v>
      </c>
      <c r="I419" s="7" t="s">
        <v>1071</v>
      </c>
      <c r="J419" s="7" t="s">
        <v>5755</v>
      </c>
      <c r="K419" s="7" t="s">
        <v>4480</v>
      </c>
      <c r="L419" s="6">
        <v>1459</v>
      </c>
      <c r="O419" s="45" t="s">
        <v>1059</v>
      </c>
      <c r="R419" s="7" t="s">
        <v>1066</v>
      </c>
      <c r="U419" s="7" t="s">
        <v>878</v>
      </c>
      <c r="V419" s="7" t="s">
        <v>1069</v>
      </c>
      <c r="W419" s="7" t="s">
        <v>1064</v>
      </c>
      <c r="X419" s="5">
        <v>-24.828299999999999</v>
      </c>
      <c r="Y419" s="5">
        <v>30.714600000000001</v>
      </c>
      <c r="Z419" s="6">
        <v>1730</v>
      </c>
      <c r="AA419" s="7" t="s">
        <v>1067</v>
      </c>
      <c r="AB419" s="7" t="s">
        <v>1068</v>
      </c>
    </row>
    <row r="420" spans="1:28" s="8" customFormat="1" ht="21.75" customHeight="1" x14ac:dyDescent="0.2">
      <c r="A420" s="8" t="s">
        <v>4628</v>
      </c>
      <c r="B420" s="8" t="s">
        <v>2651</v>
      </c>
      <c r="C420" s="8" t="s">
        <v>4632</v>
      </c>
      <c r="D420" s="8" t="s">
        <v>4629</v>
      </c>
      <c r="E420" s="8" t="s">
        <v>263</v>
      </c>
      <c r="F420" s="8" t="s">
        <v>212</v>
      </c>
      <c r="G420" s="8" t="s">
        <v>4633</v>
      </c>
      <c r="H420" s="3" t="s">
        <v>4630</v>
      </c>
      <c r="I420" s="8" t="s">
        <v>857</v>
      </c>
      <c r="J420" s="8" t="s">
        <v>4637</v>
      </c>
      <c r="K420" s="8" t="s">
        <v>4410</v>
      </c>
      <c r="L420" s="14">
        <v>1651</v>
      </c>
      <c r="M420" s="14" t="s">
        <v>4636</v>
      </c>
      <c r="N420" s="14"/>
      <c r="O420" s="110"/>
      <c r="P420" s="4"/>
      <c r="R420" s="8" t="s">
        <v>4639</v>
      </c>
      <c r="X420" s="13">
        <v>-12.577999999999999</v>
      </c>
      <c r="Y420" s="13">
        <v>131.1139</v>
      </c>
      <c r="Z420" s="14">
        <v>44</v>
      </c>
      <c r="AA420" s="22"/>
      <c r="AB420" s="8" t="s">
        <v>4640</v>
      </c>
    </row>
    <row r="421" spans="1:28" s="8" customFormat="1" ht="21.75" customHeight="1" x14ac:dyDescent="0.2">
      <c r="A421" s="8" t="s">
        <v>4628</v>
      </c>
      <c r="B421" s="8" t="s">
        <v>2651</v>
      </c>
      <c r="C421" s="8" t="s">
        <v>4632</v>
      </c>
      <c r="D421" s="8" t="s">
        <v>4629</v>
      </c>
      <c r="E421" s="8" t="s">
        <v>263</v>
      </c>
      <c r="F421" s="8" t="s">
        <v>4635</v>
      </c>
      <c r="G421" s="8" t="s">
        <v>4634</v>
      </c>
      <c r="H421" s="3" t="s">
        <v>4631</v>
      </c>
      <c r="I421" s="8" t="s">
        <v>4519</v>
      </c>
      <c r="J421" s="8" t="s">
        <v>4637</v>
      </c>
      <c r="K421" s="8" t="s">
        <v>4410</v>
      </c>
      <c r="L421" s="14">
        <v>1651</v>
      </c>
      <c r="M421" s="14" t="s">
        <v>4636</v>
      </c>
      <c r="N421" s="14"/>
      <c r="O421" s="110"/>
      <c r="P421" s="4"/>
      <c r="R421" s="8" t="s">
        <v>4639</v>
      </c>
      <c r="X421" s="13">
        <v>-12.577999999999999</v>
      </c>
      <c r="Y421" s="13">
        <v>131.1139</v>
      </c>
      <c r="Z421" s="14">
        <v>44</v>
      </c>
      <c r="AA421" s="22"/>
      <c r="AB421" s="8" t="s">
        <v>4638</v>
      </c>
    </row>
    <row r="422" spans="1:28" ht="21.75" customHeight="1" x14ac:dyDescent="0.2">
      <c r="A422" s="7" t="s">
        <v>4829</v>
      </c>
      <c r="B422" s="7" t="s">
        <v>4830</v>
      </c>
      <c r="C422" s="7" t="s">
        <v>125</v>
      </c>
      <c r="D422" s="7" t="s">
        <v>4832</v>
      </c>
      <c r="E422" s="7" t="s">
        <v>33</v>
      </c>
      <c r="F422" s="7" t="s">
        <v>212</v>
      </c>
      <c r="G422" s="7" t="s">
        <v>4833</v>
      </c>
      <c r="H422" s="1" t="s">
        <v>4834</v>
      </c>
      <c r="I422" s="7">
        <v>1.25</v>
      </c>
      <c r="J422" s="7" t="s">
        <v>4837</v>
      </c>
      <c r="K422" s="7" t="s">
        <v>4410</v>
      </c>
      <c r="O422" s="45" t="s">
        <v>3863</v>
      </c>
      <c r="P422" s="2" t="s">
        <v>4850</v>
      </c>
      <c r="R422" s="7" t="s">
        <v>4847</v>
      </c>
      <c r="S422" s="7" t="s">
        <v>4838</v>
      </c>
      <c r="T422" s="18" t="s">
        <v>4841</v>
      </c>
      <c r="X422" s="5">
        <v>48.811300000000003</v>
      </c>
      <c r="Y422" s="5">
        <v>-123.99769999999999</v>
      </c>
      <c r="Z422" s="6">
        <v>178</v>
      </c>
      <c r="AA422" s="7" t="s">
        <v>4842</v>
      </c>
      <c r="AB422" s="7" t="s">
        <v>4843</v>
      </c>
    </row>
    <row r="423" spans="1:28" ht="21.75" customHeight="1" x14ac:dyDescent="0.2">
      <c r="A423" s="7" t="s">
        <v>4829</v>
      </c>
      <c r="B423" s="7" t="s">
        <v>4830</v>
      </c>
      <c r="C423" s="7" t="s">
        <v>125</v>
      </c>
      <c r="D423" s="7" t="s">
        <v>4832</v>
      </c>
      <c r="E423" s="7" t="s">
        <v>33</v>
      </c>
      <c r="F423" s="7" t="s">
        <v>212</v>
      </c>
      <c r="G423" s="7" t="s">
        <v>4835</v>
      </c>
      <c r="H423" s="1" t="s">
        <v>4836</v>
      </c>
      <c r="I423" s="7">
        <v>1.19</v>
      </c>
      <c r="J423" s="7" t="s">
        <v>4837</v>
      </c>
      <c r="K423" s="7" t="s">
        <v>4410</v>
      </c>
      <c r="O423" s="45" t="s">
        <v>3863</v>
      </c>
      <c r="P423" s="2" t="s">
        <v>4850</v>
      </c>
      <c r="R423" s="7" t="s">
        <v>4847</v>
      </c>
      <c r="S423" s="7" t="s">
        <v>4838</v>
      </c>
      <c r="T423" s="18" t="s">
        <v>4841</v>
      </c>
      <c r="X423" s="5">
        <v>48.811300000000003</v>
      </c>
      <c r="Y423" s="5">
        <v>-123.99769999999999</v>
      </c>
      <c r="Z423" s="6">
        <v>178</v>
      </c>
      <c r="AA423" s="44" t="s">
        <v>4839</v>
      </c>
      <c r="AB423" s="7" t="s">
        <v>4848</v>
      </c>
    </row>
    <row r="424" spans="1:28" ht="21.75" customHeight="1" x14ac:dyDescent="0.2">
      <c r="A424" s="7" t="s">
        <v>4829</v>
      </c>
      <c r="B424" s="7" t="s">
        <v>4830</v>
      </c>
      <c r="C424" s="7" t="s">
        <v>125</v>
      </c>
      <c r="D424" s="7" t="s">
        <v>4832</v>
      </c>
      <c r="E424" s="7" t="s">
        <v>33</v>
      </c>
      <c r="F424" s="7" t="s">
        <v>212</v>
      </c>
      <c r="G424" s="7" t="s">
        <v>1291</v>
      </c>
      <c r="H424" s="1" t="s">
        <v>862</v>
      </c>
      <c r="I424" s="7">
        <v>1.32</v>
      </c>
      <c r="J424" s="7" t="s">
        <v>4837</v>
      </c>
      <c r="K424" s="7" t="s">
        <v>4410</v>
      </c>
      <c r="O424" s="45" t="s">
        <v>3863</v>
      </c>
      <c r="P424" s="2" t="s">
        <v>4850</v>
      </c>
      <c r="R424" s="7" t="s">
        <v>4847</v>
      </c>
      <c r="S424" s="7" t="s">
        <v>4838</v>
      </c>
      <c r="T424" s="18" t="s">
        <v>4841</v>
      </c>
      <c r="X424" s="5">
        <v>48.811300000000003</v>
      </c>
      <c r="Y424" s="5">
        <v>-123.99769999999999</v>
      </c>
      <c r="Z424" s="6">
        <v>178</v>
      </c>
      <c r="AB424" s="7" t="s">
        <v>4844</v>
      </c>
    </row>
    <row r="425" spans="1:28" ht="21.75" customHeight="1" x14ac:dyDescent="0.2">
      <c r="A425" s="7" t="s">
        <v>4829</v>
      </c>
      <c r="B425" s="7" t="s">
        <v>4830</v>
      </c>
      <c r="C425" s="7" t="s">
        <v>125</v>
      </c>
      <c r="D425" s="7" t="s">
        <v>4831</v>
      </c>
      <c r="E425" s="7" t="s">
        <v>33</v>
      </c>
      <c r="F425" s="7" t="s">
        <v>212</v>
      </c>
      <c r="G425" s="7" t="s">
        <v>4833</v>
      </c>
      <c r="H425" s="1" t="s">
        <v>4834</v>
      </c>
      <c r="I425" s="7">
        <v>0.37</v>
      </c>
      <c r="J425" s="7" t="s">
        <v>4837</v>
      </c>
      <c r="K425" s="7" t="s">
        <v>4410</v>
      </c>
      <c r="O425" s="45" t="s">
        <v>4846</v>
      </c>
      <c r="U425" s="7" t="s">
        <v>4849</v>
      </c>
      <c r="V425" s="7">
        <v>0.25</v>
      </c>
      <c r="X425" s="5">
        <v>48.824399999999997</v>
      </c>
      <c r="Y425" s="5">
        <v>-123.9926</v>
      </c>
      <c r="Z425" s="6">
        <v>354</v>
      </c>
      <c r="AA425" s="44" t="s">
        <v>4840</v>
      </c>
      <c r="AB425" s="7" t="s">
        <v>4843</v>
      </c>
    </row>
    <row r="426" spans="1:28" ht="21.75" customHeight="1" x14ac:dyDescent="0.2">
      <c r="A426" s="7" t="s">
        <v>4829</v>
      </c>
      <c r="B426" s="7" t="s">
        <v>4830</v>
      </c>
      <c r="C426" s="7" t="s">
        <v>125</v>
      </c>
      <c r="D426" s="7" t="s">
        <v>4831</v>
      </c>
      <c r="E426" s="7" t="s">
        <v>33</v>
      </c>
      <c r="F426" s="7" t="s">
        <v>212</v>
      </c>
      <c r="G426" s="7" t="s">
        <v>4835</v>
      </c>
      <c r="H426" s="1" t="s">
        <v>4836</v>
      </c>
      <c r="I426" s="7">
        <v>0.37</v>
      </c>
      <c r="J426" s="7" t="s">
        <v>4837</v>
      </c>
      <c r="K426" s="7" t="s">
        <v>4410</v>
      </c>
      <c r="O426" s="45" t="s">
        <v>4846</v>
      </c>
      <c r="U426" s="7" t="s">
        <v>4849</v>
      </c>
      <c r="V426" s="7">
        <v>0.25</v>
      </c>
      <c r="X426" s="5">
        <v>48.824399999999997</v>
      </c>
      <c r="Y426" s="5">
        <v>-123.9926</v>
      </c>
      <c r="Z426" s="6">
        <v>354</v>
      </c>
      <c r="AA426" s="44" t="s">
        <v>4845</v>
      </c>
      <c r="AB426" s="7" t="s">
        <v>4843</v>
      </c>
    </row>
    <row r="427" spans="1:28" ht="21.75" customHeight="1" x14ac:dyDescent="0.2">
      <c r="A427" s="7" t="s">
        <v>4829</v>
      </c>
      <c r="B427" s="7" t="s">
        <v>4830</v>
      </c>
      <c r="C427" s="7" t="s">
        <v>125</v>
      </c>
      <c r="D427" s="7" t="s">
        <v>4831</v>
      </c>
      <c r="E427" s="7" t="s">
        <v>33</v>
      </c>
      <c r="F427" s="7" t="s">
        <v>212</v>
      </c>
      <c r="G427" s="7" t="s">
        <v>1291</v>
      </c>
      <c r="H427" s="1" t="s">
        <v>862</v>
      </c>
      <c r="I427" s="7">
        <v>0.37</v>
      </c>
      <c r="J427" s="7" t="s">
        <v>4837</v>
      </c>
      <c r="K427" s="7" t="s">
        <v>4410</v>
      </c>
      <c r="O427" s="45" t="s">
        <v>4846</v>
      </c>
      <c r="U427" s="7" t="s">
        <v>4849</v>
      </c>
      <c r="V427" s="7">
        <v>0.25</v>
      </c>
      <c r="X427" s="5">
        <v>48.824399999999997</v>
      </c>
      <c r="Y427" s="5">
        <v>-123.9926</v>
      </c>
      <c r="Z427" s="6">
        <v>354</v>
      </c>
      <c r="AA427" s="44"/>
      <c r="AB427" s="7" t="s">
        <v>4844</v>
      </c>
    </row>
    <row r="428" spans="1:28" ht="21.75" customHeight="1" x14ac:dyDescent="0.2">
      <c r="A428" s="7" t="s">
        <v>4852</v>
      </c>
      <c r="B428" s="7" t="s">
        <v>4830</v>
      </c>
      <c r="C428" s="7" t="s">
        <v>125</v>
      </c>
      <c r="D428" s="7" t="s">
        <v>4854</v>
      </c>
      <c r="E428" s="7" t="s">
        <v>33</v>
      </c>
      <c r="F428" s="7" t="s">
        <v>212</v>
      </c>
      <c r="G428" s="7" t="s">
        <v>4857</v>
      </c>
      <c r="H428" s="1" t="s">
        <v>4856</v>
      </c>
      <c r="I428" s="7">
        <v>0.85</v>
      </c>
      <c r="J428" s="7" t="s">
        <v>4853</v>
      </c>
      <c r="K428" s="7" t="s">
        <v>4410</v>
      </c>
      <c r="O428" s="45" t="s">
        <v>4859</v>
      </c>
      <c r="R428" s="7" t="s">
        <v>4861</v>
      </c>
      <c r="S428" s="7" t="s">
        <v>4860</v>
      </c>
      <c r="T428" s="7">
        <v>1.2</v>
      </c>
      <c r="X428" s="5">
        <v>48.800699999999999</v>
      </c>
      <c r="Y428" s="5">
        <v>-124.1341</v>
      </c>
      <c r="Z428" s="6">
        <v>183</v>
      </c>
      <c r="AA428" s="44" t="s">
        <v>4869</v>
      </c>
      <c r="AB428" s="7" t="s">
        <v>4868</v>
      </c>
    </row>
    <row r="429" spans="1:28" ht="21.75" customHeight="1" x14ac:dyDescent="0.2">
      <c r="A429" s="7" t="s">
        <v>4852</v>
      </c>
      <c r="B429" s="7" t="s">
        <v>4830</v>
      </c>
      <c r="C429" s="7" t="s">
        <v>125</v>
      </c>
      <c r="D429" s="7" t="s">
        <v>4832</v>
      </c>
      <c r="E429" s="7" t="s">
        <v>33</v>
      </c>
      <c r="F429" s="7" t="s">
        <v>212</v>
      </c>
      <c r="G429" s="7" t="s">
        <v>4857</v>
      </c>
      <c r="H429" s="1" t="s">
        <v>4856</v>
      </c>
      <c r="I429" s="7">
        <v>1.2</v>
      </c>
      <c r="J429" s="7" t="s">
        <v>4853</v>
      </c>
      <c r="K429" s="7" t="s">
        <v>4410</v>
      </c>
      <c r="O429" s="45" t="s">
        <v>770</v>
      </c>
      <c r="P429" s="2" t="s">
        <v>4867</v>
      </c>
      <c r="Q429" s="7">
        <v>2.9</v>
      </c>
      <c r="R429" s="7" t="s">
        <v>4862</v>
      </c>
      <c r="X429" s="5">
        <v>48.8127</v>
      </c>
      <c r="Y429" s="5">
        <v>-124.1337</v>
      </c>
      <c r="Z429" s="6">
        <v>167</v>
      </c>
      <c r="AA429" s="44" t="s">
        <v>4870</v>
      </c>
      <c r="AB429" s="7" t="s">
        <v>4872</v>
      </c>
    </row>
    <row r="430" spans="1:28" ht="21.75" customHeight="1" x14ac:dyDescent="0.2">
      <c r="A430" s="7" t="s">
        <v>4852</v>
      </c>
      <c r="B430" s="7" t="s">
        <v>4830</v>
      </c>
      <c r="C430" s="7" t="s">
        <v>125</v>
      </c>
      <c r="D430" s="7" t="s">
        <v>4855</v>
      </c>
      <c r="E430" s="7" t="s">
        <v>33</v>
      </c>
      <c r="F430" s="7" t="s">
        <v>212</v>
      </c>
      <c r="G430" s="7" t="s">
        <v>4857</v>
      </c>
      <c r="H430" s="1" t="s">
        <v>4856</v>
      </c>
      <c r="I430" s="7">
        <v>0.6</v>
      </c>
      <c r="J430" s="7" t="s">
        <v>4853</v>
      </c>
      <c r="K430" s="7" t="s">
        <v>4410</v>
      </c>
      <c r="O430" s="45" t="s">
        <v>4866</v>
      </c>
      <c r="R430" s="7" t="s">
        <v>4865</v>
      </c>
      <c r="U430" s="7" t="s">
        <v>4864</v>
      </c>
      <c r="V430" s="7" t="s">
        <v>4863</v>
      </c>
      <c r="X430" s="5">
        <v>48.797499999999999</v>
      </c>
      <c r="Y430" s="5">
        <v>-124.1144</v>
      </c>
      <c r="Z430" s="6">
        <v>264</v>
      </c>
      <c r="AA430" s="44" t="s">
        <v>4871</v>
      </c>
      <c r="AB430" s="7" t="s">
        <v>4858</v>
      </c>
    </row>
    <row r="431" spans="1:28" s="8" customFormat="1" ht="21.75" customHeight="1" x14ac:dyDescent="0.2">
      <c r="A431" s="8" t="s">
        <v>6261</v>
      </c>
      <c r="B431" s="8" t="s">
        <v>6265</v>
      </c>
      <c r="C431" s="8" t="s">
        <v>143</v>
      </c>
      <c r="D431" s="8" t="s">
        <v>6266</v>
      </c>
      <c r="E431" s="8" t="s">
        <v>275</v>
      </c>
      <c r="F431" s="8" t="s">
        <v>62</v>
      </c>
      <c r="G431" s="8" t="s">
        <v>949</v>
      </c>
      <c r="H431" s="3" t="s">
        <v>2815</v>
      </c>
      <c r="I431" s="8">
        <v>0.3</v>
      </c>
      <c r="J431" s="8" t="s">
        <v>4367</v>
      </c>
      <c r="K431" s="8" t="s">
        <v>4386</v>
      </c>
      <c r="L431" s="14"/>
      <c r="M431" s="14"/>
      <c r="N431" s="14"/>
      <c r="O431" s="110" t="s">
        <v>6263</v>
      </c>
      <c r="P431" s="4"/>
      <c r="Q431" s="8">
        <v>0.76</v>
      </c>
      <c r="R431" s="8" t="s">
        <v>6264</v>
      </c>
      <c r="W431" s="8" t="s">
        <v>6262</v>
      </c>
      <c r="X431" s="13">
        <v>43.125399999999999</v>
      </c>
      <c r="Y431" s="13">
        <v>-89.443399999999997</v>
      </c>
      <c r="Z431" s="14">
        <v>270</v>
      </c>
      <c r="AA431" s="22" t="s">
        <v>6267</v>
      </c>
    </row>
    <row r="432" spans="1:28" s="77" customFormat="1" ht="21.75" customHeight="1" x14ac:dyDescent="0.2">
      <c r="A432" s="77" t="s">
        <v>7747</v>
      </c>
      <c r="B432" s="77" t="s">
        <v>7748</v>
      </c>
      <c r="C432" s="77" t="s">
        <v>7749</v>
      </c>
      <c r="D432" s="77" t="s">
        <v>7750</v>
      </c>
      <c r="E432" s="77" t="s">
        <v>263</v>
      </c>
      <c r="F432" s="77" t="s">
        <v>212</v>
      </c>
      <c r="G432" s="77" t="s">
        <v>7759</v>
      </c>
      <c r="H432" s="78" t="s">
        <v>7760</v>
      </c>
      <c r="I432" s="77" t="s">
        <v>2949</v>
      </c>
      <c r="J432" s="77" t="s">
        <v>7753</v>
      </c>
      <c r="K432" s="77" t="s">
        <v>4480</v>
      </c>
      <c r="L432" s="79">
        <v>1346</v>
      </c>
      <c r="M432" s="79" t="s">
        <v>7755</v>
      </c>
      <c r="N432" s="79"/>
      <c r="O432" s="111" t="s">
        <v>7756</v>
      </c>
      <c r="P432" s="80" t="s">
        <v>7751</v>
      </c>
      <c r="Q432" s="77">
        <v>24.3</v>
      </c>
      <c r="R432" s="77" t="s">
        <v>7754</v>
      </c>
      <c r="W432" s="77" t="s">
        <v>7752</v>
      </c>
      <c r="X432" s="81">
        <f>27+11.28/60</f>
        <v>27.187999999999999</v>
      </c>
      <c r="Y432" s="81">
        <f>-(81+20.181/60)</f>
        <v>-81.336349999999996</v>
      </c>
      <c r="Z432" s="79">
        <v>65</v>
      </c>
      <c r="AA432" s="141" t="s">
        <v>7761</v>
      </c>
      <c r="AB432" s="141" t="s">
        <v>7762</v>
      </c>
    </row>
    <row r="433" spans="1:28" s="77" customFormat="1" ht="21.75" customHeight="1" x14ac:dyDescent="0.2">
      <c r="A433" s="77" t="s">
        <v>7747</v>
      </c>
      <c r="B433" s="77" t="s">
        <v>7748</v>
      </c>
      <c r="C433" s="77" t="s">
        <v>7749</v>
      </c>
      <c r="D433" s="77" t="s">
        <v>7750</v>
      </c>
      <c r="E433" s="77" t="s">
        <v>280</v>
      </c>
      <c r="F433" s="77" t="s">
        <v>212</v>
      </c>
      <c r="G433" s="77" t="s">
        <v>7758</v>
      </c>
      <c r="H433" s="78" t="s">
        <v>7757</v>
      </c>
      <c r="I433" s="77" t="s">
        <v>2949</v>
      </c>
      <c r="J433" s="77" t="s">
        <v>7753</v>
      </c>
      <c r="K433" s="77" t="s">
        <v>4480</v>
      </c>
      <c r="L433" s="79">
        <v>1346</v>
      </c>
      <c r="M433" s="79" t="s">
        <v>7755</v>
      </c>
      <c r="N433" s="79"/>
      <c r="O433" s="111" t="s">
        <v>7756</v>
      </c>
      <c r="P433" s="80" t="s">
        <v>7751</v>
      </c>
      <c r="Q433" s="77">
        <v>24.3</v>
      </c>
      <c r="R433" s="77" t="s">
        <v>7754</v>
      </c>
      <c r="W433" s="77" t="s">
        <v>7752</v>
      </c>
      <c r="X433" s="81">
        <f>27+11.28/60</f>
        <v>27.187999999999999</v>
      </c>
      <c r="Y433" s="81">
        <f>-(81+20.181/60)</f>
        <v>-81.336349999999996</v>
      </c>
      <c r="Z433" s="79">
        <v>65</v>
      </c>
      <c r="AA433" s="142"/>
      <c r="AB433" s="142"/>
    </row>
    <row r="434" spans="1:28" s="8" customFormat="1" ht="21.75" customHeight="1" x14ac:dyDescent="0.2">
      <c r="A434" s="8" t="s">
        <v>4362</v>
      </c>
      <c r="B434" s="8" t="s">
        <v>4363</v>
      </c>
      <c r="D434" s="8" t="s">
        <v>4368</v>
      </c>
      <c r="E434" s="8" t="s">
        <v>4394</v>
      </c>
      <c r="F434" s="8" t="s">
        <v>214</v>
      </c>
      <c r="H434" s="3" t="s">
        <v>4370</v>
      </c>
      <c r="I434" s="8">
        <v>0.16</v>
      </c>
      <c r="J434" s="8" t="s">
        <v>4367</v>
      </c>
      <c r="K434" s="8" t="s">
        <v>4386</v>
      </c>
      <c r="L434" s="14">
        <v>162</v>
      </c>
      <c r="M434" s="14" t="s">
        <v>4366</v>
      </c>
      <c r="N434" s="14"/>
      <c r="O434" s="110" t="s">
        <v>4393</v>
      </c>
      <c r="P434" s="4"/>
      <c r="R434" s="8" t="s">
        <v>753</v>
      </c>
      <c r="X434" s="13">
        <v>-28.602399999999999</v>
      </c>
      <c r="Y434" s="13">
        <v>20.322700000000001</v>
      </c>
      <c r="Z434" s="14">
        <v>626</v>
      </c>
      <c r="AA434" s="132" t="s">
        <v>4392</v>
      </c>
      <c r="AB434" s="8" t="s">
        <v>4369</v>
      </c>
    </row>
    <row r="435" spans="1:28" s="8" customFormat="1" ht="21.75" customHeight="1" x14ac:dyDescent="0.2">
      <c r="A435" s="8" t="s">
        <v>4362</v>
      </c>
      <c r="B435" s="8" t="s">
        <v>4363</v>
      </c>
      <c r="D435" s="8" t="s">
        <v>4368</v>
      </c>
      <c r="E435" s="8" t="s">
        <v>4394</v>
      </c>
      <c r="F435" s="8" t="s">
        <v>214</v>
      </c>
      <c r="H435" s="3" t="s">
        <v>4371</v>
      </c>
      <c r="I435" s="8">
        <v>0.1</v>
      </c>
      <c r="J435" s="8" t="s">
        <v>4367</v>
      </c>
      <c r="K435" s="8" t="s">
        <v>4386</v>
      </c>
      <c r="L435" s="14">
        <v>162</v>
      </c>
      <c r="M435" s="14" t="s">
        <v>4366</v>
      </c>
      <c r="N435" s="14"/>
      <c r="O435" s="110" t="s">
        <v>4393</v>
      </c>
      <c r="P435" s="4"/>
      <c r="R435" s="8" t="s">
        <v>753</v>
      </c>
      <c r="X435" s="13">
        <v>-28.602399999999999</v>
      </c>
      <c r="Y435" s="13">
        <v>20.322700000000001</v>
      </c>
      <c r="Z435" s="14">
        <v>626</v>
      </c>
      <c r="AA435" s="137"/>
      <c r="AB435" s="8" t="s">
        <v>4369</v>
      </c>
    </row>
    <row r="436" spans="1:28" s="8" customFormat="1" ht="21.75" customHeight="1" x14ac:dyDescent="0.2">
      <c r="A436" s="8" t="s">
        <v>4362</v>
      </c>
      <c r="B436" s="8" t="s">
        <v>4363</v>
      </c>
      <c r="D436" s="8" t="s">
        <v>4368</v>
      </c>
      <c r="E436" s="8" t="s">
        <v>4394</v>
      </c>
      <c r="F436" s="8" t="s">
        <v>214</v>
      </c>
      <c r="H436" s="3" t="s">
        <v>4372</v>
      </c>
      <c r="I436" s="8">
        <v>0.17</v>
      </c>
      <c r="J436" s="8" t="s">
        <v>4367</v>
      </c>
      <c r="K436" s="8" t="s">
        <v>4386</v>
      </c>
      <c r="L436" s="14">
        <v>162</v>
      </c>
      <c r="M436" s="14" t="s">
        <v>4366</v>
      </c>
      <c r="N436" s="14"/>
      <c r="O436" s="110" t="s">
        <v>4393</v>
      </c>
      <c r="P436" s="4"/>
      <c r="R436" s="8" t="s">
        <v>753</v>
      </c>
      <c r="X436" s="13">
        <v>-28.602399999999999</v>
      </c>
      <c r="Y436" s="13">
        <v>20.322700000000001</v>
      </c>
      <c r="Z436" s="14">
        <v>626</v>
      </c>
      <c r="AA436" s="137"/>
      <c r="AB436" s="8" t="s">
        <v>4369</v>
      </c>
    </row>
    <row r="437" spans="1:28" s="8" customFormat="1" ht="21.75" customHeight="1" x14ac:dyDescent="0.2">
      <c r="A437" s="8" t="s">
        <v>4362</v>
      </c>
      <c r="B437" s="8" t="s">
        <v>4363</v>
      </c>
      <c r="D437" s="8" t="s">
        <v>4368</v>
      </c>
      <c r="E437" s="8" t="s">
        <v>4394</v>
      </c>
      <c r="F437" s="8" t="s">
        <v>214</v>
      </c>
      <c r="H437" s="3" t="s">
        <v>4374</v>
      </c>
      <c r="I437" s="8">
        <v>0.05</v>
      </c>
      <c r="J437" s="8" t="s">
        <v>4367</v>
      </c>
      <c r="K437" s="8" t="s">
        <v>4386</v>
      </c>
      <c r="L437" s="14">
        <v>162</v>
      </c>
      <c r="M437" s="14" t="s">
        <v>4366</v>
      </c>
      <c r="N437" s="14"/>
      <c r="O437" s="110" t="s">
        <v>4393</v>
      </c>
      <c r="P437" s="4"/>
      <c r="R437" s="8" t="s">
        <v>753</v>
      </c>
      <c r="X437" s="13">
        <v>-28.602399999999999</v>
      </c>
      <c r="Y437" s="13">
        <v>20.322700000000001</v>
      </c>
      <c r="Z437" s="14">
        <v>626</v>
      </c>
      <c r="AA437" s="137"/>
      <c r="AB437" s="8" t="s">
        <v>4369</v>
      </c>
    </row>
    <row r="438" spans="1:28" s="8" customFormat="1" ht="21.75" customHeight="1" x14ac:dyDescent="0.2">
      <c r="A438" s="8" t="s">
        <v>4362</v>
      </c>
      <c r="B438" s="8" t="s">
        <v>4363</v>
      </c>
      <c r="D438" s="8" t="s">
        <v>4368</v>
      </c>
      <c r="E438" s="8" t="s">
        <v>4394</v>
      </c>
      <c r="F438" s="8" t="s">
        <v>214</v>
      </c>
      <c r="H438" s="3" t="s">
        <v>4373</v>
      </c>
      <c r="I438" s="8">
        <v>7.0000000000000007E-2</v>
      </c>
      <c r="J438" s="8" t="s">
        <v>4367</v>
      </c>
      <c r="K438" s="8" t="s">
        <v>4386</v>
      </c>
      <c r="L438" s="14">
        <v>162</v>
      </c>
      <c r="M438" s="14" t="s">
        <v>4366</v>
      </c>
      <c r="N438" s="14"/>
      <c r="O438" s="110" t="s">
        <v>4393</v>
      </c>
      <c r="P438" s="4"/>
      <c r="R438" s="8" t="s">
        <v>753</v>
      </c>
      <c r="X438" s="13">
        <v>-28.602399999999999</v>
      </c>
      <c r="Y438" s="13">
        <v>20.322700000000001</v>
      </c>
      <c r="Z438" s="14">
        <v>626</v>
      </c>
      <c r="AA438" s="137"/>
      <c r="AB438" s="8" t="s">
        <v>4369</v>
      </c>
    </row>
    <row r="439" spans="1:28" s="8" customFormat="1" ht="21.75" customHeight="1" x14ac:dyDescent="0.2">
      <c r="A439" s="8" t="s">
        <v>4362</v>
      </c>
      <c r="B439" s="8" t="s">
        <v>4363</v>
      </c>
      <c r="D439" s="8" t="s">
        <v>4368</v>
      </c>
      <c r="E439" s="8" t="s">
        <v>4394</v>
      </c>
      <c r="F439" s="8" t="s">
        <v>214</v>
      </c>
      <c r="H439" s="3" t="s">
        <v>4375</v>
      </c>
      <c r="I439" s="8">
        <v>0.2</v>
      </c>
      <c r="J439" s="8" t="s">
        <v>4367</v>
      </c>
      <c r="K439" s="8" t="s">
        <v>4386</v>
      </c>
      <c r="L439" s="14">
        <v>162</v>
      </c>
      <c r="M439" s="14" t="s">
        <v>4366</v>
      </c>
      <c r="N439" s="14"/>
      <c r="O439" s="110" t="s">
        <v>4393</v>
      </c>
      <c r="P439" s="4"/>
      <c r="R439" s="8" t="s">
        <v>753</v>
      </c>
      <c r="X439" s="13">
        <v>-28.602399999999999</v>
      </c>
      <c r="Y439" s="13">
        <v>20.322700000000001</v>
      </c>
      <c r="Z439" s="14">
        <v>626</v>
      </c>
      <c r="AA439" s="133"/>
      <c r="AB439" s="8" t="s">
        <v>4369</v>
      </c>
    </row>
    <row r="440" spans="1:28" s="8" customFormat="1" ht="21.75" customHeight="1" x14ac:dyDescent="0.2">
      <c r="A440" s="8" t="s">
        <v>4362</v>
      </c>
      <c r="B440" s="8" t="s">
        <v>4364</v>
      </c>
      <c r="D440" s="8" t="s">
        <v>4384</v>
      </c>
      <c r="E440" s="8" t="s">
        <v>398</v>
      </c>
      <c r="F440" s="8" t="s">
        <v>4395</v>
      </c>
      <c r="H440" s="3" t="s">
        <v>4376</v>
      </c>
      <c r="I440" s="8">
        <v>0.4</v>
      </c>
      <c r="J440" s="8" t="s">
        <v>4367</v>
      </c>
      <c r="K440" s="8" t="s">
        <v>4386</v>
      </c>
      <c r="L440" s="14">
        <v>145</v>
      </c>
      <c r="M440" s="14" t="s">
        <v>4365</v>
      </c>
      <c r="N440" s="14"/>
      <c r="O440" s="110" t="s">
        <v>4389</v>
      </c>
      <c r="P440" s="4"/>
      <c r="R440" s="8" t="s">
        <v>4390</v>
      </c>
      <c r="X440" s="13">
        <f>35+6/60</f>
        <v>35.1</v>
      </c>
      <c r="Y440" s="13">
        <f>-(115+29/60)</f>
        <v>-115.48333333333333</v>
      </c>
      <c r="Z440" s="14">
        <v>1288</v>
      </c>
      <c r="AA440" s="132" t="s">
        <v>4391</v>
      </c>
      <c r="AB440" s="8" t="s">
        <v>4383</v>
      </c>
    </row>
    <row r="441" spans="1:28" s="8" customFormat="1" ht="21.75" customHeight="1" x14ac:dyDescent="0.2">
      <c r="A441" s="8" t="s">
        <v>4362</v>
      </c>
      <c r="B441" s="8" t="s">
        <v>4364</v>
      </c>
      <c r="D441" s="8" t="s">
        <v>4384</v>
      </c>
      <c r="E441" s="8" t="s">
        <v>4396</v>
      </c>
      <c r="F441" s="8" t="s">
        <v>214</v>
      </c>
      <c r="H441" s="3" t="s">
        <v>4377</v>
      </c>
      <c r="I441" s="8">
        <v>1.47</v>
      </c>
      <c r="J441" s="8" t="s">
        <v>4367</v>
      </c>
      <c r="K441" s="8" t="s">
        <v>4386</v>
      </c>
      <c r="L441" s="14">
        <v>145</v>
      </c>
      <c r="M441" s="14" t="s">
        <v>4365</v>
      </c>
      <c r="N441" s="14"/>
      <c r="O441" s="110" t="s">
        <v>4389</v>
      </c>
      <c r="P441" s="4"/>
      <c r="R441" s="8" t="s">
        <v>4390</v>
      </c>
      <c r="X441" s="13">
        <f>34+48/60</f>
        <v>34.799999999999997</v>
      </c>
      <c r="Y441" s="13">
        <f>-(115+38/60)</f>
        <v>-115.63333333333334</v>
      </c>
      <c r="Z441" s="14">
        <v>1227</v>
      </c>
      <c r="AA441" s="137"/>
      <c r="AB441" s="8" t="s">
        <v>4383</v>
      </c>
    </row>
    <row r="442" spans="1:28" s="8" customFormat="1" ht="21.75" customHeight="1" x14ac:dyDescent="0.2">
      <c r="A442" s="8" t="s">
        <v>4362</v>
      </c>
      <c r="B442" s="8" t="s">
        <v>4364</v>
      </c>
      <c r="D442" s="8" t="s">
        <v>4384</v>
      </c>
      <c r="E442" s="8" t="s">
        <v>280</v>
      </c>
      <c r="F442" s="8" t="s">
        <v>214</v>
      </c>
      <c r="G442" s="8" t="s">
        <v>4397</v>
      </c>
      <c r="H442" s="3" t="s">
        <v>4378</v>
      </c>
      <c r="I442" s="8">
        <v>1.3</v>
      </c>
      <c r="J442" s="8" t="s">
        <v>4367</v>
      </c>
      <c r="K442" s="8" t="s">
        <v>4386</v>
      </c>
      <c r="L442" s="14">
        <v>145</v>
      </c>
      <c r="M442" s="14" t="s">
        <v>4365</v>
      </c>
      <c r="N442" s="14"/>
      <c r="O442" s="110" t="s">
        <v>4389</v>
      </c>
      <c r="P442" s="4"/>
      <c r="R442" s="8" t="s">
        <v>4390</v>
      </c>
      <c r="X442" s="13">
        <f>34+48/60</f>
        <v>34.799999999999997</v>
      </c>
      <c r="Y442" s="13">
        <f>-(115+38/60)</f>
        <v>-115.63333333333334</v>
      </c>
      <c r="Z442" s="14">
        <v>1227</v>
      </c>
      <c r="AA442" s="137"/>
      <c r="AB442" s="8" t="s">
        <v>4383</v>
      </c>
    </row>
    <row r="443" spans="1:28" s="8" customFormat="1" ht="21.75" customHeight="1" x14ac:dyDescent="0.2">
      <c r="A443" s="8" t="s">
        <v>4362</v>
      </c>
      <c r="B443" s="8" t="s">
        <v>4364</v>
      </c>
      <c r="D443" s="8" t="s">
        <v>4385</v>
      </c>
      <c r="E443" s="8" t="s">
        <v>280</v>
      </c>
      <c r="F443" s="8" t="s">
        <v>214</v>
      </c>
      <c r="G443" s="8" t="s">
        <v>4398</v>
      </c>
      <c r="H443" s="3" t="s">
        <v>4379</v>
      </c>
      <c r="I443" s="8">
        <v>1.1000000000000001</v>
      </c>
      <c r="J443" s="8" t="s">
        <v>4367</v>
      </c>
      <c r="K443" s="8" t="s">
        <v>4386</v>
      </c>
      <c r="L443" s="14">
        <v>145</v>
      </c>
      <c r="M443" s="14" t="s">
        <v>4365</v>
      </c>
      <c r="N443" s="14"/>
      <c r="O443" s="110" t="s">
        <v>4388</v>
      </c>
      <c r="P443" s="4"/>
      <c r="R443" s="8" t="s">
        <v>4387</v>
      </c>
      <c r="X443" s="13">
        <f>35+6/60</f>
        <v>35.1</v>
      </c>
      <c r="Y443" s="13">
        <f>-(115+29/60)</f>
        <v>-115.48333333333333</v>
      </c>
      <c r="Z443" s="14">
        <v>1288</v>
      </c>
      <c r="AA443" s="137"/>
      <c r="AB443" s="8" t="s">
        <v>4383</v>
      </c>
    </row>
    <row r="444" spans="1:28" s="8" customFormat="1" ht="21.75" customHeight="1" x14ac:dyDescent="0.2">
      <c r="A444" s="8" t="s">
        <v>4362</v>
      </c>
      <c r="B444" s="8" t="s">
        <v>4364</v>
      </c>
      <c r="D444" s="8" t="s">
        <v>4385</v>
      </c>
      <c r="E444" s="8" t="s">
        <v>280</v>
      </c>
      <c r="F444" s="8" t="s">
        <v>214</v>
      </c>
      <c r="G444" s="8" t="s">
        <v>4399</v>
      </c>
      <c r="H444" s="3" t="s">
        <v>4380</v>
      </c>
      <c r="I444" s="8">
        <v>1</v>
      </c>
      <c r="J444" s="8" t="s">
        <v>4367</v>
      </c>
      <c r="K444" s="8" t="s">
        <v>4386</v>
      </c>
      <c r="L444" s="14">
        <v>145</v>
      </c>
      <c r="M444" s="14" t="s">
        <v>4365</v>
      </c>
      <c r="N444" s="14"/>
      <c r="O444" s="110" t="s">
        <v>4388</v>
      </c>
      <c r="P444" s="4"/>
      <c r="R444" s="8" t="s">
        <v>4387</v>
      </c>
      <c r="X444" s="13">
        <f>35+6/60</f>
        <v>35.1</v>
      </c>
      <c r="Y444" s="13">
        <f>-(115+29/60)</f>
        <v>-115.48333333333333</v>
      </c>
      <c r="Z444" s="14">
        <v>1288</v>
      </c>
      <c r="AA444" s="137"/>
      <c r="AB444" s="8" t="s">
        <v>4383</v>
      </c>
    </row>
    <row r="445" spans="1:28" s="8" customFormat="1" ht="21.75" customHeight="1" x14ac:dyDescent="0.2">
      <c r="A445" s="8" t="s">
        <v>4362</v>
      </c>
      <c r="B445" s="8" t="s">
        <v>4364</v>
      </c>
      <c r="D445" s="8" t="s">
        <v>4385</v>
      </c>
      <c r="E445" s="8" t="s">
        <v>280</v>
      </c>
      <c r="F445" s="8" t="s">
        <v>214</v>
      </c>
      <c r="G445" s="8" t="s">
        <v>4400</v>
      </c>
      <c r="H445" s="3" t="s">
        <v>4381</v>
      </c>
      <c r="I445" s="8">
        <v>1.3</v>
      </c>
      <c r="J445" s="8" t="s">
        <v>4367</v>
      </c>
      <c r="K445" s="8" t="s">
        <v>4386</v>
      </c>
      <c r="L445" s="14">
        <v>145</v>
      </c>
      <c r="M445" s="14" t="s">
        <v>4365</v>
      </c>
      <c r="N445" s="14"/>
      <c r="O445" s="110" t="s">
        <v>4388</v>
      </c>
      <c r="P445" s="4"/>
      <c r="R445" s="8" t="s">
        <v>4387</v>
      </c>
      <c r="X445" s="13">
        <f>35+6/60</f>
        <v>35.1</v>
      </c>
      <c r="Y445" s="13">
        <f>-(115+29/60)</f>
        <v>-115.48333333333333</v>
      </c>
      <c r="Z445" s="14">
        <v>1288</v>
      </c>
      <c r="AA445" s="137"/>
      <c r="AB445" s="8" t="s">
        <v>4383</v>
      </c>
    </row>
    <row r="446" spans="1:28" s="8" customFormat="1" ht="21.75" customHeight="1" x14ac:dyDescent="0.2">
      <c r="A446" s="8" t="s">
        <v>4362</v>
      </c>
      <c r="B446" s="8" t="s">
        <v>4364</v>
      </c>
      <c r="D446" s="8" t="s">
        <v>4385</v>
      </c>
      <c r="E446" s="8" t="s">
        <v>263</v>
      </c>
      <c r="F446" s="8" t="s">
        <v>1302</v>
      </c>
      <c r="G446" s="8" t="s">
        <v>4401</v>
      </c>
      <c r="H446" s="3" t="s">
        <v>4382</v>
      </c>
      <c r="I446" s="8">
        <v>0.6</v>
      </c>
      <c r="J446" s="8" t="s">
        <v>4367</v>
      </c>
      <c r="K446" s="8" t="s">
        <v>4386</v>
      </c>
      <c r="L446" s="14">
        <v>145</v>
      </c>
      <c r="M446" s="14" t="s">
        <v>4365</v>
      </c>
      <c r="N446" s="14"/>
      <c r="O446" s="110" t="s">
        <v>4388</v>
      </c>
      <c r="P446" s="4"/>
      <c r="R446" s="8" t="s">
        <v>4387</v>
      </c>
      <c r="X446" s="13">
        <f>35+6/60</f>
        <v>35.1</v>
      </c>
      <c r="Y446" s="13">
        <f>-(115+29/60)</f>
        <v>-115.48333333333333</v>
      </c>
      <c r="Z446" s="14">
        <v>1288</v>
      </c>
      <c r="AA446" s="133"/>
      <c r="AB446" s="8" t="s">
        <v>4383</v>
      </c>
    </row>
    <row r="447" spans="1:28" ht="21.75" customHeight="1" x14ac:dyDescent="0.2">
      <c r="A447" s="7" t="s">
        <v>452</v>
      </c>
      <c r="B447" s="7" t="s">
        <v>453</v>
      </c>
      <c r="C447" s="7" t="s">
        <v>116</v>
      </c>
      <c r="D447" s="7" t="s">
        <v>454</v>
      </c>
      <c r="E447" s="7" t="s">
        <v>455</v>
      </c>
      <c r="F447" s="7" t="s">
        <v>212</v>
      </c>
      <c r="G447" s="7" t="s">
        <v>456</v>
      </c>
      <c r="H447" s="1" t="s">
        <v>457</v>
      </c>
      <c r="I447" s="7">
        <v>9</v>
      </c>
      <c r="J447" s="7" t="s">
        <v>5757</v>
      </c>
      <c r="K447" s="7" t="s">
        <v>4480</v>
      </c>
      <c r="O447" s="45" t="s">
        <v>463</v>
      </c>
      <c r="Q447" s="7">
        <v>9.3000000000000007</v>
      </c>
      <c r="R447" s="7" t="s">
        <v>460</v>
      </c>
      <c r="U447" s="7" t="s">
        <v>458</v>
      </c>
      <c r="V447" s="7" t="s">
        <v>459</v>
      </c>
      <c r="X447" s="24">
        <v>20.904900000000001</v>
      </c>
      <c r="Y447" s="24">
        <v>-89.634</v>
      </c>
      <c r="Z447" s="20">
        <v>6</v>
      </c>
      <c r="AA447" s="7" t="s">
        <v>461</v>
      </c>
      <c r="AB447" s="7" t="s">
        <v>462</v>
      </c>
    </row>
    <row r="448" spans="1:28" s="8" customFormat="1" ht="21.75" customHeight="1" x14ac:dyDescent="0.2">
      <c r="A448" s="8" t="s">
        <v>464</v>
      </c>
      <c r="B448" s="8" t="s">
        <v>465</v>
      </c>
      <c r="C448" s="8" t="s">
        <v>466</v>
      </c>
      <c r="E448" s="8" t="s">
        <v>398</v>
      </c>
      <c r="F448" s="8" t="s">
        <v>469</v>
      </c>
      <c r="H448" s="3" t="s">
        <v>467</v>
      </c>
      <c r="I448" s="8">
        <v>1.6</v>
      </c>
      <c r="J448" s="8" t="s">
        <v>5758</v>
      </c>
      <c r="K448" s="8" t="s">
        <v>4410</v>
      </c>
      <c r="L448" s="14">
        <v>134</v>
      </c>
      <c r="M448" s="14"/>
      <c r="N448" s="14">
        <v>1877</v>
      </c>
      <c r="O448" s="110" t="s">
        <v>472</v>
      </c>
      <c r="P448" s="4"/>
      <c r="Q448" s="8">
        <v>2.5</v>
      </c>
      <c r="R448" s="8" t="s">
        <v>471</v>
      </c>
      <c r="X448" s="13">
        <v>44.71508333333334</v>
      </c>
      <c r="Y448" s="13">
        <v>85.378499999999988</v>
      </c>
      <c r="Z448" s="14">
        <v>356</v>
      </c>
      <c r="AA448" s="8" t="s">
        <v>476</v>
      </c>
      <c r="AB448" s="8" t="s">
        <v>474</v>
      </c>
    </row>
    <row r="449" spans="1:29" s="8" customFormat="1" ht="21.75" customHeight="1" x14ac:dyDescent="0.2">
      <c r="A449" s="8" t="s">
        <v>464</v>
      </c>
      <c r="B449" s="8" t="s">
        <v>465</v>
      </c>
      <c r="C449" s="8" t="s">
        <v>466</v>
      </c>
      <c r="E449" s="8" t="s">
        <v>275</v>
      </c>
      <c r="F449" s="8" t="s">
        <v>470</v>
      </c>
      <c r="H449" s="3" t="s">
        <v>468</v>
      </c>
      <c r="I449" s="8">
        <v>0.75</v>
      </c>
      <c r="J449" s="8" t="s">
        <v>5758</v>
      </c>
      <c r="K449" s="8" t="s">
        <v>4410</v>
      </c>
      <c r="L449" s="14">
        <v>134</v>
      </c>
      <c r="M449" s="14"/>
      <c r="N449" s="14">
        <v>1877</v>
      </c>
      <c r="O449" s="110" t="s">
        <v>472</v>
      </c>
      <c r="P449" s="4"/>
      <c r="Q449" s="8">
        <v>2.5</v>
      </c>
      <c r="R449" s="8" t="s">
        <v>471</v>
      </c>
      <c r="X449" s="13">
        <v>44.71508333333334</v>
      </c>
      <c r="Y449" s="13">
        <v>85.378499999999988</v>
      </c>
      <c r="Z449" s="14">
        <v>356</v>
      </c>
      <c r="AA449" s="8" t="s">
        <v>473</v>
      </c>
      <c r="AB449" s="8" t="s">
        <v>475</v>
      </c>
    </row>
    <row r="450" spans="1:29" ht="21.75" customHeight="1" x14ac:dyDescent="0.2">
      <c r="A450" s="7" t="s">
        <v>5016</v>
      </c>
      <c r="B450" s="7" t="s">
        <v>5017</v>
      </c>
      <c r="C450" s="7" t="s">
        <v>5018</v>
      </c>
      <c r="D450" s="7" t="s">
        <v>5021</v>
      </c>
      <c r="E450" s="7" t="s">
        <v>263</v>
      </c>
      <c r="F450" s="7" t="s">
        <v>5028</v>
      </c>
      <c r="H450" s="1" t="s">
        <v>5027</v>
      </c>
      <c r="I450" s="7">
        <v>8</v>
      </c>
      <c r="J450" s="7" t="s">
        <v>5029</v>
      </c>
      <c r="K450" s="7" t="s">
        <v>4410</v>
      </c>
      <c r="L450" s="6">
        <v>800</v>
      </c>
      <c r="M450" s="6" t="s">
        <v>5019</v>
      </c>
      <c r="N450" s="6">
        <v>1843</v>
      </c>
      <c r="O450" s="45" t="s">
        <v>2641</v>
      </c>
      <c r="P450" s="2" t="s">
        <v>5025</v>
      </c>
      <c r="Q450" s="7">
        <v>11.4</v>
      </c>
      <c r="R450" s="7" t="s">
        <v>5032</v>
      </c>
      <c r="S450" s="7" t="s">
        <v>5031</v>
      </c>
      <c r="T450" s="7">
        <v>6</v>
      </c>
      <c r="X450" s="5">
        <v>-31.5212</v>
      </c>
      <c r="Y450" s="5">
        <v>115.8536</v>
      </c>
      <c r="Z450" s="6">
        <v>86</v>
      </c>
      <c r="AA450" s="7" t="s">
        <v>5033</v>
      </c>
      <c r="AB450" s="7" t="s">
        <v>5030</v>
      </c>
    </row>
    <row r="451" spans="1:29" ht="21.75" customHeight="1" x14ac:dyDescent="0.2">
      <c r="A451" s="7" t="s">
        <v>5016</v>
      </c>
      <c r="B451" s="7" t="s">
        <v>5017</v>
      </c>
      <c r="C451" s="7" t="s">
        <v>5018</v>
      </c>
      <c r="D451" s="7" t="s">
        <v>5022</v>
      </c>
      <c r="E451" s="7" t="s">
        <v>263</v>
      </c>
      <c r="F451" s="7" t="s">
        <v>5028</v>
      </c>
      <c r="H451" s="1" t="s">
        <v>5027</v>
      </c>
      <c r="I451" s="7">
        <v>8</v>
      </c>
      <c r="J451" s="7" t="s">
        <v>5029</v>
      </c>
      <c r="K451" s="7" t="s">
        <v>4410</v>
      </c>
      <c r="L451" s="6">
        <v>800</v>
      </c>
      <c r="M451" s="6" t="s">
        <v>5019</v>
      </c>
      <c r="N451" s="6">
        <v>1843</v>
      </c>
      <c r="O451" s="45" t="s">
        <v>4117</v>
      </c>
      <c r="P451" s="2" t="s">
        <v>5024</v>
      </c>
      <c r="Q451" s="7">
        <v>8.8000000000000007</v>
      </c>
      <c r="R451" s="7" t="s">
        <v>5032</v>
      </c>
      <c r="S451" s="7" t="s">
        <v>5031</v>
      </c>
      <c r="T451" s="7">
        <v>6</v>
      </c>
      <c r="X451" s="5">
        <v>-31.526299999999999</v>
      </c>
      <c r="Y451" s="5">
        <v>115.9111</v>
      </c>
      <c r="Z451" s="6">
        <v>78</v>
      </c>
      <c r="AA451" s="7" t="s">
        <v>5034</v>
      </c>
      <c r="AB451" s="134" t="s">
        <v>5036</v>
      </c>
    </row>
    <row r="452" spans="1:29" ht="21.75" customHeight="1" x14ac:dyDescent="0.2">
      <c r="A452" s="7" t="s">
        <v>5016</v>
      </c>
      <c r="B452" s="7" t="s">
        <v>5017</v>
      </c>
      <c r="C452" s="7" t="s">
        <v>5018</v>
      </c>
      <c r="D452" s="7" t="s">
        <v>5023</v>
      </c>
      <c r="E452" s="7" t="s">
        <v>263</v>
      </c>
      <c r="F452" s="7" t="s">
        <v>5028</v>
      </c>
      <c r="H452" s="1" t="s">
        <v>5027</v>
      </c>
      <c r="I452" s="7">
        <v>4.9000000000000004</v>
      </c>
      <c r="J452" s="7" t="s">
        <v>5029</v>
      </c>
      <c r="K452" s="7" t="s">
        <v>4410</v>
      </c>
      <c r="L452" s="6">
        <v>800</v>
      </c>
      <c r="M452" s="6" t="s">
        <v>5019</v>
      </c>
      <c r="N452" s="6">
        <v>1843</v>
      </c>
      <c r="O452" s="45" t="s">
        <v>5020</v>
      </c>
      <c r="P452" s="2" t="s">
        <v>5026</v>
      </c>
      <c r="Q452" s="7">
        <v>4.9000000000000004</v>
      </c>
      <c r="R452" s="7" t="s">
        <v>5032</v>
      </c>
      <c r="S452" s="7" t="s">
        <v>5031</v>
      </c>
      <c r="T452" s="7">
        <v>6</v>
      </c>
      <c r="X452" s="5">
        <v>-31.5382</v>
      </c>
      <c r="Y452" s="5">
        <v>115.937</v>
      </c>
      <c r="Z452" s="6">
        <v>70</v>
      </c>
      <c r="AA452" s="7" t="s">
        <v>5035</v>
      </c>
      <c r="AB452" s="135"/>
    </row>
    <row r="453" spans="1:29" s="8" customFormat="1" ht="21.75" customHeight="1" x14ac:dyDescent="0.2">
      <c r="A453" s="8" t="s">
        <v>4873</v>
      </c>
      <c r="B453" s="8" t="s">
        <v>4875</v>
      </c>
      <c r="C453" s="8" t="s">
        <v>4874</v>
      </c>
      <c r="D453" s="8" t="s">
        <v>4896</v>
      </c>
      <c r="E453" s="8" t="s">
        <v>5957</v>
      </c>
      <c r="F453" s="8" t="s">
        <v>212</v>
      </c>
      <c r="G453" s="8" t="s">
        <v>4880</v>
      </c>
      <c r="H453" s="3" t="s">
        <v>4878</v>
      </c>
      <c r="I453" s="8" t="s">
        <v>2859</v>
      </c>
      <c r="J453" s="8" t="s">
        <v>4889</v>
      </c>
      <c r="K453" s="8" t="s">
        <v>4410</v>
      </c>
      <c r="L453" s="14"/>
      <c r="M453" s="14"/>
      <c r="N453" s="14"/>
      <c r="O453" s="110" t="s">
        <v>4885</v>
      </c>
      <c r="P453" s="4"/>
      <c r="R453" s="8" t="s">
        <v>4886</v>
      </c>
      <c r="X453" s="13">
        <v>32.475999999999999</v>
      </c>
      <c r="Y453" s="13">
        <v>-92.593400000000003</v>
      </c>
      <c r="Z453" s="14">
        <v>78</v>
      </c>
      <c r="AA453" s="8" t="s">
        <v>4894</v>
      </c>
      <c r="AB453" s="8" t="s">
        <v>4892</v>
      </c>
    </row>
    <row r="454" spans="1:29" s="8" customFormat="1" ht="21.75" customHeight="1" x14ac:dyDescent="0.2">
      <c r="A454" s="8" t="s">
        <v>4873</v>
      </c>
      <c r="B454" s="8" t="s">
        <v>4875</v>
      </c>
      <c r="C454" s="8" t="s">
        <v>4874</v>
      </c>
      <c r="D454" s="8" t="s">
        <v>4898</v>
      </c>
      <c r="E454" s="8" t="s">
        <v>5957</v>
      </c>
      <c r="F454" s="8" t="s">
        <v>212</v>
      </c>
      <c r="G454" s="8" t="s">
        <v>4881</v>
      </c>
      <c r="H454" s="3" t="s">
        <v>4879</v>
      </c>
      <c r="I454" s="8" t="s">
        <v>2859</v>
      </c>
      <c r="J454" s="8" t="s">
        <v>4889</v>
      </c>
      <c r="K454" s="8" t="s">
        <v>4410</v>
      </c>
      <c r="L454" s="14"/>
      <c r="M454" s="14"/>
      <c r="N454" s="14"/>
      <c r="O454" s="110" t="s">
        <v>4885</v>
      </c>
      <c r="P454" s="4"/>
      <c r="R454" s="8" t="s">
        <v>4887</v>
      </c>
      <c r="X454" s="13">
        <v>32.459099999999999</v>
      </c>
      <c r="Y454" s="13">
        <v>-92.611999999999995</v>
      </c>
      <c r="Z454" s="14">
        <v>79</v>
      </c>
      <c r="AA454" s="8" t="s">
        <v>4893</v>
      </c>
      <c r="AB454" s="8" t="s">
        <v>4876</v>
      </c>
    </row>
    <row r="455" spans="1:29" s="8" customFormat="1" ht="21.75" customHeight="1" x14ac:dyDescent="0.2">
      <c r="A455" s="8" t="s">
        <v>4873</v>
      </c>
      <c r="B455" s="8" t="s">
        <v>4875</v>
      </c>
      <c r="C455" s="8" t="s">
        <v>4874</v>
      </c>
      <c r="D455" s="8" t="s">
        <v>4897</v>
      </c>
      <c r="E455" s="8" t="s">
        <v>280</v>
      </c>
      <c r="F455" s="8" t="s">
        <v>212</v>
      </c>
      <c r="G455" s="8" t="s">
        <v>4882</v>
      </c>
      <c r="H455" s="3" t="s">
        <v>4883</v>
      </c>
      <c r="I455" s="8" t="s">
        <v>4891</v>
      </c>
      <c r="J455" s="8" t="s">
        <v>4890</v>
      </c>
      <c r="K455" s="8" t="s">
        <v>4410</v>
      </c>
      <c r="L455" s="14"/>
      <c r="M455" s="14"/>
      <c r="N455" s="14"/>
      <c r="O455" s="110" t="s">
        <v>4884</v>
      </c>
      <c r="P455" s="8" t="s">
        <v>3974</v>
      </c>
      <c r="R455" s="8" t="s">
        <v>4888</v>
      </c>
      <c r="X455" s="13">
        <v>32.992100000000001</v>
      </c>
      <c r="Y455" s="13">
        <v>-92.880099999999999</v>
      </c>
      <c r="Z455" s="14">
        <v>40</v>
      </c>
      <c r="AA455" s="8" t="s">
        <v>4895</v>
      </c>
      <c r="AB455" s="8" t="s">
        <v>4877</v>
      </c>
    </row>
    <row r="456" spans="1:29" ht="21.75" customHeight="1" x14ac:dyDescent="0.2">
      <c r="A456" s="7" t="s">
        <v>2573</v>
      </c>
      <c r="B456" s="7" t="s">
        <v>2574</v>
      </c>
      <c r="C456" s="7" t="s">
        <v>2575</v>
      </c>
      <c r="E456" s="7" t="s">
        <v>398</v>
      </c>
      <c r="F456" s="7" t="s">
        <v>214</v>
      </c>
      <c r="G456" s="7" t="s">
        <v>2578</v>
      </c>
      <c r="H456" s="1" t="s">
        <v>2577</v>
      </c>
      <c r="I456" s="7">
        <v>1</v>
      </c>
      <c r="J456" s="7" t="s">
        <v>4367</v>
      </c>
      <c r="K456" s="7" t="s">
        <v>4410</v>
      </c>
      <c r="L456" s="6">
        <v>116</v>
      </c>
      <c r="R456" s="7" t="s">
        <v>2579</v>
      </c>
      <c r="X456" s="5">
        <f>-(30+32/60)</f>
        <v>-30.533333333333335</v>
      </c>
      <c r="Y456" s="5">
        <f>18+43/60</f>
        <v>18.716666666666665</v>
      </c>
      <c r="Z456" s="6">
        <v>873</v>
      </c>
      <c r="AA456" s="7" t="s">
        <v>2581</v>
      </c>
      <c r="AB456" s="7" t="s">
        <v>2580</v>
      </c>
    </row>
    <row r="457" spans="1:29" ht="21.75" customHeight="1" x14ac:dyDescent="0.2">
      <c r="A457" s="7" t="s">
        <v>2573</v>
      </c>
      <c r="B457" s="7" t="s">
        <v>2574</v>
      </c>
      <c r="C457" s="7" t="s">
        <v>2575</v>
      </c>
      <c r="E457" s="7" t="s">
        <v>398</v>
      </c>
      <c r="F457" s="7" t="s">
        <v>470</v>
      </c>
      <c r="H457" s="1" t="s">
        <v>2576</v>
      </c>
      <c r="I457" s="7">
        <v>1.2</v>
      </c>
      <c r="J457" s="7" t="s">
        <v>4367</v>
      </c>
      <c r="K457" s="7" t="s">
        <v>4410</v>
      </c>
      <c r="L457" s="6">
        <v>116</v>
      </c>
      <c r="R457" s="7" t="s">
        <v>2579</v>
      </c>
      <c r="X457" s="5">
        <f>-(30+32/60)</f>
        <v>-30.533333333333335</v>
      </c>
      <c r="Y457" s="5">
        <f>18+43/60</f>
        <v>18.716666666666665</v>
      </c>
      <c r="Z457" s="6">
        <v>873</v>
      </c>
      <c r="AA457" s="7" t="s">
        <v>2582</v>
      </c>
      <c r="AB457" s="7" t="s">
        <v>2580</v>
      </c>
    </row>
    <row r="458" spans="1:29" s="8" customFormat="1" ht="21.75" customHeight="1" x14ac:dyDescent="0.2">
      <c r="A458" s="8" t="s">
        <v>2650</v>
      </c>
      <c r="B458" s="8" t="s">
        <v>2651</v>
      </c>
      <c r="C458" s="8" t="s">
        <v>2652</v>
      </c>
      <c r="E458" s="8" t="s">
        <v>263</v>
      </c>
      <c r="F458" s="8" t="s">
        <v>212</v>
      </c>
      <c r="H458" s="3" t="s">
        <v>2655</v>
      </c>
      <c r="I458" s="8" t="s">
        <v>2658</v>
      </c>
      <c r="J458" s="8" t="s">
        <v>5759</v>
      </c>
      <c r="K458" s="8" t="s">
        <v>4410</v>
      </c>
      <c r="L458" s="14">
        <v>1708</v>
      </c>
      <c r="M458" s="14"/>
      <c r="N458" s="14"/>
      <c r="O458" s="110"/>
      <c r="P458" s="4"/>
      <c r="R458" s="8" t="s">
        <v>2653</v>
      </c>
      <c r="S458" s="8" t="s">
        <v>2654</v>
      </c>
      <c r="T458" s="8">
        <v>0.6</v>
      </c>
      <c r="X458" s="13">
        <f>-(12+24/60+34.3/3600)</f>
        <v>-12.409527777777779</v>
      </c>
      <c r="Y458" s="13">
        <f>130+55/60+13.4/3600</f>
        <v>130.92038888888888</v>
      </c>
      <c r="Z458" s="14">
        <v>41</v>
      </c>
      <c r="AA458" s="8" t="s">
        <v>2656</v>
      </c>
      <c r="AB458" s="8" t="s">
        <v>2657</v>
      </c>
    </row>
    <row r="459" spans="1:29" ht="21.75" customHeight="1" x14ac:dyDescent="0.2">
      <c r="A459" s="7" t="s">
        <v>5953</v>
      </c>
      <c r="B459" s="7" t="s">
        <v>5954</v>
      </c>
      <c r="C459" s="7" t="s">
        <v>5955</v>
      </c>
      <c r="E459" s="7" t="s">
        <v>280</v>
      </c>
      <c r="F459" s="7" t="s">
        <v>4560</v>
      </c>
      <c r="G459" s="7" t="s">
        <v>5962</v>
      </c>
      <c r="H459" s="1" t="s">
        <v>5963</v>
      </c>
      <c r="I459" s="7">
        <v>1.8</v>
      </c>
      <c r="J459" s="7" t="s">
        <v>5964</v>
      </c>
      <c r="K459" s="7" t="s">
        <v>4480</v>
      </c>
      <c r="L459" s="6">
        <v>496</v>
      </c>
      <c r="M459" s="6" t="s">
        <v>5965</v>
      </c>
      <c r="O459" s="45" t="s">
        <v>5966</v>
      </c>
      <c r="X459" s="5">
        <v>-2.3289</v>
      </c>
      <c r="Y459" s="5">
        <v>38.147199999999998</v>
      </c>
      <c r="Z459" s="6">
        <v>670</v>
      </c>
      <c r="AA459" s="7" t="s">
        <v>5967</v>
      </c>
      <c r="AB459" s="7" t="s">
        <v>5968</v>
      </c>
    </row>
    <row r="460" spans="1:29" s="8" customFormat="1" ht="21.75" customHeight="1" x14ac:dyDescent="0.2">
      <c r="A460" s="8" t="s">
        <v>477</v>
      </c>
      <c r="B460" s="8" t="s">
        <v>478</v>
      </c>
      <c r="C460" s="8" t="s">
        <v>284</v>
      </c>
      <c r="D460" s="8" t="s">
        <v>479</v>
      </c>
      <c r="E460" s="8" t="s">
        <v>263</v>
      </c>
      <c r="H460" s="3"/>
      <c r="I460" s="8" t="s">
        <v>480</v>
      </c>
      <c r="J460" s="8" t="s">
        <v>5760</v>
      </c>
      <c r="K460" s="8" t="s">
        <v>4410</v>
      </c>
      <c r="L460" s="14">
        <v>2272</v>
      </c>
      <c r="M460" s="14"/>
      <c r="N460" s="14"/>
      <c r="O460" s="110"/>
      <c r="P460" s="4"/>
      <c r="Q460" s="8" t="s">
        <v>481</v>
      </c>
      <c r="R460" s="8" t="s">
        <v>484</v>
      </c>
      <c r="S460" s="8" t="s">
        <v>482</v>
      </c>
      <c r="T460" s="9" t="s">
        <v>483</v>
      </c>
      <c r="X460" s="25">
        <f>-(1+43/60+3.5/3600)</f>
        <v>-1.7176388888888889</v>
      </c>
      <c r="Y460" s="25">
        <f>-(51+27/60+36/3600)</f>
        <v>-51.46</v>
      </c>
      <c r="Z460" s="21">
        <v>50</v>
      </c>
      <c r="AA460" s="8" t="s">
        <v>485</v>
      </c>
      <c r="AB460" s="8" t="s">
        <v>5969</v>
      </c>
    </row>
    <row r="461" spans="1:29" ht="21.75" customHeight="1" x14ac:dyDescent="0.2">
      <c r="A461" s="7" t="s">
        <v>5537</v>
      </c>
      <c r="B461" s="7" t="s">
        <v>5943</v>
      </c>
      <c r="C461" s="7" t="s">
        <v>5540</v>
      </c>
      <c r="D461" s="7" t="s">
        <v>5552</v>
      </c>
      <c r="E461" s="7" t="s">
        <v>5958</v>
      </c>
      <c r="F461" s="7" t="s">
        <v>4049</v>
      </c>
      <c r="G461" s="7" t="s">
        <v>5541</v>
      </c>
      <c r="H461" s="1" t="s">
        <v>5539</v>
      </c>
      <c r="I461" s="41">
        <v>5</v>
      </c>
      <c r="J461" s="7" t="s">
        <v>4367</v>
      </c>
      <c r="K461" s="7" t="s">
        <v>4480</v>
      </c>
      <c r="M461" s="6" t="s">
        <v>5550</v>
      </c>
      <c r="P461" s="7" t="s">
        <v>5542</v>
      </c>
      <c r="Q461" s="7">
        <v>4.5999999999999996</v>
      </c>
      <c r="R461" s="7" t="s">
        <v>5548</v>
      </c>
      <c r="T461" s="18"/>
      <c r="X461" s="24">
        <v>8.8537999999999997</v>
      </c>
      <c r="Y461" s="24">
        <v>-67.377499999999998</v>
      </c>
      <c r="Z461" s="20">
        <v>94</v>
      </c>
      <c r="AA461" s="44" t="s">
        <v>5545</v>
      </c>
      <c r="AB461" s="7" t="s">
        <v>5543</v>
      </c>
      <c r="AC461" s="7" t="s">
        <v>5544</v>
      </c>
    </row>
    <row r="462" spans="1:29" ht="21.75" customHeight="1" x14ac:dyDescent="0.2">
      <c r="A462" s="7" t="s">
        <v>5537</v>
      </c>
      <c r="B462" s="7" t="s">
        <v>5943</v>
      </c>
      <c r="C462" s="7" t="s">
        <v>5540</v>
      </c>
      <c r="D462" s="7" t="s">
        <v>5552</v>
      </c>
      <c r="E462" s="7" t="s">
        <v>263</v>
      </c>
      <c r="F462" s="7" t="s">
        <v>4049</v>
      </c>
      <c r="G462" s="7" t="s">
        <v>5538</v>
      </c>
      <c r="H462" s="1" t="s">
        <v>5551</v>
      </c>
      <c r="I462" s="7" t="s">
        <v>5553</v>
      </c>
      <c r="J462" s="7" t="s">
        <v>4367</v>
      </c>
      <c r="K462" s="7" t="s">
        <v>4480</v>
      </c>
      <c r="M462" s="6" t="s">
        <v>5550</v>
      </c>
      <c r="P462" s="7" t="s">
        <v>5542</v>
      </c>
      <c r="Q462" s="7">
        <v>4.5999999999999996</v>
      </c>
      <c r="R462" s="7" t="s">
        <v>5549</v>
      </c>
      <c r="T462" s="18"/>
      <c r="X462" s="24">
        <v>8.8537999999999997</v>
      </c>
      <c r="Y462" s="24">
        <v>-67.377499999999998</v>
      </c>
      <c r="Z462" s="20">
        <v>94</v>
      </c>
      <c r="AA462" s="7" t="s">
        <v>5546</v>
      </c>
      <c r="AB462" s="7" t="s">
        <v>5547</v>
      </c>
    </row>
    <row r="463" spans="1:29" s="8" customFormat="1" ht="21.75" customHeight="1" x14ac:dyDescent="0.2">
      <c r="A463" s="8" t="s">
        <v>2660</v>
      </c>
      <c r="B463" s="8" t="s">
        <v>2661</v>
      </c>
      <c r="C463" s="8" t="s">
        <v>2663</v>
      </c>
      <c r="E463" s="8" t="s">
        <v>398</v>
      </c>
      <c r="F463" s="8" t="s">
        <v>884</v>
      </c>
      <c r="G463" s="8" t="s">
        <v>2669</v>
      </c>
      <c r="H463" s="3" t="s">
        <v>2664</v>
      </c>
      <c r="I463" s="8">
        <v>0.5</v>
      </c>
      <c r="J463" s="8" t="s">
        <v>5755</v>
      </c>
      <c r="K463" s="8" t="s">
        <v>4480</v>
      </c>
      <c r="L463" s="14">
        <v>170</v>
      </c>
      <c r="M463" s="14" t="s">
        <v>2956</v>
      </c>
      <c r="N463" s="14"/>
      <c r="O463" s="110"/>
      <c r="P463" s="4"/>
      <c r="R463" s="8" t="s">
        <v>2662</v>
      </c>
      <c r="W463" s="8" t="s">
        <v>2666</v>
      </c>
      <c r="X463" s="13">
        <f t="shared" ref="X463:X468" si="1">-(45+41/60)</f>
        <v>-45.68333333333333</v>
      </c>
      <c r="Y463" s="13">
        <f t="shared" ref="Y463:Y468" si="2">-(70+16/60)</f>
        <v>-70.266666666666666</v>
      </c>
      <c r="Z463" s="14">
        <v>430</v>
      </c>
      <c r="AA463" s="132" t="s">
        <v>2674</v>
      </c>
      <c r="AB463" s="8" t="s">
        <v>2673</v>
      </c>
    </row>
    <row r="464" spans="1:29" s="8" customFormat="1" ht="21.75" customHeight="1" x14ac:dyDescent="0.2">
      <c r="A464" s="8" t="s">
        <v>2660</v>
      </c>
      <c r="B464" s="8" t="s">
        <v>2661</v>
      </c>
      <c r="C464" s="8" t="s">
        <v>2663</v>
      </c>
      <c r="E464" s="8" t="s">
        <v>398</v>
      </c>
      <c r="F464" s="8" t="s">
        <v>884</v>
      </c>
      <c r="H464" s="3" t="s">
        <v>2665</v>
      </c>
      <c r="I464" s="8">
        <v>0.45</v>
      </c>
      <c r="J464" s="8" t="s">
        <v>5755</v>
      </c>
      <c r="K464" s="8" t="s">
        <v>4480</v>
      </c>
      <c r="L464" s="14">
        <v>170</v>
      </c>
      <c r="M464" s="14" t="s">
        <v>2956</v>
      </c>
      <c r="N464" s="14"/>
      <c r="O464" s="110"/>
      <c r="P464" s="4"/>
      <c r="R464" s="8" t="s">
        <v>2662</v>
      </c>
      <c r="W464" s="8" t="s">
        <v>2666</v>
      </c>
      <c r="X464" s="13">
        <f t="shared" si="1"/>
        <v>-45.68333333333333</v>
      </c>
      <c r="Y464" s="13">
        <f t="shared" si="2"/>
        <v>-70.266666666666666</v>
      </c>
      <c r="Z464" s="14">
        <v>430</v>
      </c>
      <c r="AA464" s="137"/>
    </row>
    <row r="465" spans="1:28" s="8" customFormat="1" ht="21.75" customHeight="1" x14ac:dyDescent="0.2">
      <c r="A465" s="8" t="s">
        <v>2660</v>
      </c>
      <c r="B465" s="8" t="s">
        <v>2661</v>
      </c>
      <c r="C465" s="8" t="s">
        <v>2663</v>
      </c>
      <c r="E465" s="8" t="s">
        <v>398</v>
      </c>
      <c r="F465" s="8" t="s">
        <v>884</v>
      </c>
      <c r="H465" s="3" t="s">
        <v>2670</v>
      </c>
      <c r="I465" s="8">
        <v>0.7</v>
      </c>
      <c r="J465" s="8" t="s">
        <v>5755</v>
      </c>
      <c r="K465" s="8" t="s">
        <v>4480</v>
      </c>
      <c r="L465" s="14">
        <v>170</v>
      </c>
      <c r="M465" s="14" t="s">
        <v>2956</v>
      </c>
      <c r="N465" s="14"/>
      <c r="O465" s="110"/>
      <c r="P465" s="4"/>
      <c r="R465" s="8" t="s">
        <v>2662</v>
      </c>
      <c r="W465" s="8" t="s">
        <v>2666</v>
      </c>
      <c r="X465" s="13">
        <f t="shared" si="1"/>
        <v>-45.68333333333333</v>
      </c>
      <c r="Y465" s="13">
        <f t="shared" si="2"/>
        <v>-70.266666666666666</v>
      </c>
      <c r="Z465" s="14">
        <v>430</v>
      </c>
      <c r="AA465" s="137"/>
    </row>
    <row r="466" spans="1:28" s="8" customFormat="1" ht="21.75" customHeight="1" x14ac:dyDescent="0.2">
      <c r="A466" s="8" t="s">
        <v>2660</v>
      </c>
      <c r="B466" s="8" t="s">
        <v>2661</v>
      </c>
      <c r="C466" s="8" t="s">
        <v>2663</v>
      </c>
      <c r="E466" s="8" t="s">
        <v>398</v>
      </c>
      <c r="F466" s="8" t="s">
        <v>214</v>
      </c>
      <c r="G466" s="8" t="s">
        <v>2671</v>
      </c>
      <c r="H466" s="3" t="s">
        <v>164</v>
      </c>
      <c r="I466" s="8">
        <v>0.95</v>
      </c>
      <c r="J466" s="8" t="s">
        <v>5755</v>
      </c>
      <c r="K466" s="8" t="s">
        <v>4480</v>
      </c>
      <c r="L466" s="14">
        <v>170</v>
      </c>
      <c r="M466" s="14" t="s">
        <v>2956</v>
      </c>
      <c r="N466" s="14"/>
      <c r="O466" s="110"/>
      <c r="P466" s="4"/>
      <c r="R466" s="8" t="s">
        <v>2662</v>
      </c>
      <c r="W466" s="8" t="s">
        <v>2666</v>
      </c>
      <c r="X466" s="13">
        <f t="shared" si="1"/>
        <v>-45.68333333333333</v>
      </c>
      <c r="Y466" s="13">
        <f t="shared" si="2"/>
        <v>-70.266666666666666</v>
      </c>
      <c r="Z466" s="14">
        <v>430</v>
      </c>
      <c r="AA466" s="137"/>
    </row>
    <row r="467" spans="1:28" s="8" customFormat="1" ht="21.75" customHeight="1" x14ac:dyDescent="0.2">
      <c r="A467" s="8" t="s">
        <v>2660</v>
      </c>
      <c r="B467" s="8" t="s">
        <v>2661</v>
      </c>
      <c r="C467" s="8" t="s">
        <v>2663</v>
      </c>
      <c r="E467" s="8" t="s">
        <v>398</v>
      </c>
      <c r="F467" s="8" t="s">
        <v>214</v>
      </c>
      <c r="H467" s="3" t="s">
        <v>2667</v>
      </c>
      <c r="I467" s="8">
        <v>1.4</v>
      </c>
      <c r="J467" s="8" t="s">
        <v>5755</v>
      </c>
      <c r="K467" s="8" t="s">
        <v>4480</v>
      </c>
      <c r="L467" s="14">
        <v>170</v>
      </c>
      <c r="M467" s="14" t="s">
        <v>2956</v>
      </c>
      <c r="N467" s="14"/>
      <c r="O467" s="110"/>
      <c r="P467" s="4"/>
      <c r="R467" s="8" t="s">
        <v>2662</v>
      </c>
      <c r="W467" s="8" t="s">
        <v>2666</v>
      </c>
      <c r="X467" s="13">
        <f t="shared" si="1"/>
        <v>-45.68333333333333</v>
      </c>
      <c r="Y467" s="13">
        <f t="shared" si="2"/>
        <v>-70.266666666666666</v>
      </c>
      <c r="Z467" s="14">
        <v>430</v>
      </c>
      <c r="AA467" s="137"/>
    </row>
    <row r="468" spans="1:28" s="8" customFormat="1" ht="21.75" customHeight="1" x14ac:dyDescent="0.2">
      <c r="A468" s="8" t="s">
        <v>2660</v>
      </c>
      <c r="B468" s="8" t="s">
        <v>2661</v>
      </c>
      <c r="C468" s="8" t="s">
        <v>2663</v>
      </c>
      <c r="E468" s="8" t="s">
        <v>398</v>
      </c>
      <c r="F468" s="8" t="s">
        <v>214</v>
      </c>
      <c r="G468" s="8" t="s">
        <v>2672</v>
      </c>
      <c r="H468" s="3" t="s">
        <v>2668</v>
      </c>
      <c r="I468" s="8">
        <v>1.7</v>
      </c>
      <c r="J468" s="8" t="s">
        <v>5755</v>
      </c>
      <c r="K468" s="8" t="s">
        <v>4480</v>
      </c>
      <c r="L468" s="14">
        <v>170</v>
      </c>
      <c r="M468" s="14" t="s">
        <v>2956</v>
      </c>
      <c r="N468" s="14"/>
      <c r="O468" s="110"/>
      <c r="P468" s="4"/>
      <c r="R468" s="8" t="s">
        <v>2662</v>
      </c>
      <c r="W468" s="8" t="s">
        <v>2666</v>
      </c>
      <c r="X468" s="13">
        <f t="shared" si="1"/>
        <v>-45.68333333333333</v>
      </c>
      <c r="Y468" s="13">
        <f t="shared" si="2"/>
        <v>-70.266666666666666</v>
      </c>
      <c r="Z468" s="14">
        <v>430</v>
      </c>
      <c r="AA468" s="133"/>
    </row>
    <row r="469" spans="1:28" ht="21.75" customHeight="1" x14ac:dyDescent="0.2">
      <c r="A469" s="7" t="s">
        <v>5761</v>
      </c>
      <c r="B469" s="7" t="s">
        <v>936</v>
      </c>
      <c r="C469" s="7" t="s">
        <v>937</v>
      </c>
      <c r="D469" s="7" t="s">
        <v>939</v>
      </c>
      <c r="E469" s="7" t="s">
        <v>275</v>
      </c>
      <c r="F469" s="7" t="s">
        <v>62</v>
      </c>
      <c r="G469" s="7" t="s">
        <v>949</v>
      </c>
      <c r="H469" s="1" t="s">
        <v>950</v>
      </c>
      <c r="I469" s="7">
        <v>0.52</v>
      </c>
      <c r="J469" s="7" t="s">
        <v>4367</v>
      </c>
      <c r="K469" s="7" t="s">
        <v>4410</v>
      </c>
      <c r="O469" s="45" t="s">
        <v>969</v>
      </c>
      <c r="P469" s="2" t="s">
        <v>951</v>
      </c>
      <c r="Q469" s="7">
        <v>1.33</v>
      </c>
      <c r="R469" s="7" t="s">
        <v>961</v>
      </c>
      <c r="T469" s="18"/>
      <c r="W469" s="7" t="s">
        <v>938</v>
      </c>
      <c r="X469" s="24">
        <v>46.135899999999999</v>
      </c>
      <c r="Y469" s="24">
        <v>-98.1233</v>
      </c>
      <c r="Z469" s="20">
        <v>407</v>
      </c>
      <c r="AA469" s="7" t="s">
        <v>973</v>
      </c>
      <c r="AB469" s="7" t="s">
        <v>970</v>
      </c>
    </row>
    <row r="470" spans="1:28" ht="21.75" customHeight="1" x14ac:dyDescent="0.2">
      <c r="A470" s="7" t="s">
        <v>5761</v>
      </c>
      <c r="B470" s="7" t="s">
        <v>936</v>
      </c>
      <c r="C470" s="7" t="s">
        <v>937</v>
      </c>
      <c r="D470" s="7" t="s">
        <v>940</v>
      </c>
      <c r="E470" s="7" t="s">
        <v>275</v>
      </c>
      <c r="F470" s="7" t="s">
        <v>62</v>
      </c>
      <c r="G470" s="7" t="s">
        <v>949</v>
      </c>
      <c r="H470" s="1" t="s">
        <v>950</v>
      </c>
      <c r="I470" s="7">
        <v>0.73</v>
      </c>
      <c r="J470" s="7" t="s">
        <v>4367</v>
      </c>
      <c r="K470" s="7" t="s">
        <v>4410</v>
      </c>
      <c r="O470" s="45" t="s">
        <v>969</v>
      </c>
      <c r="P470" s="2" t="s">
        <v>952</v>
      </c>
      <c r="Q470" s="7">
        <v>1.71</v>
      </c>
      <c r="R470" s="7" t="s">
        <v>961</v>
      </c>
      <c r="T470" s="18"/>
      <c r="W470" s="7" t="s">
        <v>938</v>
      </c>
      <c r="X470" s="24">
        <v>46.135800000000003</v>
      </c>
      <c r="Y470" s="24">
        <v>-98.1327</v>
      </c>
      <c r="Z470" s="20">
        <v>408</v>
      </c>
      <c r="AA470" s="7" t="s">
        <v>974</v>
      </c>
      <c r="AB470" s="7" t="s">
        <v>970</v>
      </c>
    </row>
    <row r="471" spans="1:28" ht="21.75" customHeight="1" x14ac:dyDescent="0.2">
      <c r="A471" s="7" t="s">
        <v>5761</v>
      </c>
      <c r="B471" s="7" t="s">
        <v>936</v>
      </c>
      <c r="C471" s="7" t="s">
        <v>937</v>
      </c>
      <c r="D471" s="7" t="s">
        <v>941</v>
      </c>
      <c r="E471" s="7" t="s">
        <v>275</v>
      </c>
      <c r="F471" s="7" t="s">
        <v>62</v>
      </c>
      <c r="G471" s="7" t="s">
        <v>949</v>
      </c>
      <c r="H471" s="1" t="s">
        <v>950</v>
      </c>
      <c r="I471" s="7">
        <v>0.72</v>
      </c>
      <c r="J471" s="7" t="s">
        <v>4367</v>
      </c>
      <c r="K471" s="7" t="s">
        <v>4410</v>
      </c>
      <c r="O471" s="45" t="s">
        <v>968</v>
      </c>
      <c r="P471" s="2" t="s">
        <v>953</v>
      </c>
      <c r="Q471" s="7">
        <v>1.89</v>
      </c>
      <c r="R471" s="7" t="s">
        <v>962</v>
      </c>
      <c r="T471" s="18"/>
      <c r="W471" s="7" t="s">
        <v>938</v>
      </c>
      <c r="X471" s="24">
        <v>46.1327</v>
      </c>
      <c r="Y471" s="24">
        <v>-98.142200000000003</v>
      </c>
      <c r="Z471" s="20">
        <v>410</v>
      </c>
      <c r="AA471" s="7" t="s">
        <v>971</v>
      </c>
      <c r="AB471" s="7" t="s">
        <v>970</v>
      </c>
    </row>
    <row r="472" spans="1:28" ht="21.75" customHeight="1" x14ac:dyDescent="0.2">
      <c r="A472" s="7" t="s">
        <v>5761</v>
      </c>
      <c r="B472" s="7" t="s">
        <v>936</v>
      </c>
      <c r="C472" s="7" t="s">
        <v>937</v>
      </c>
      <c r="D472" s="7" t="s">
        <v>942</v>
      </c>
      <c r="E472" s="7" t="s">
        <v>275</v>
      </c>
      <c r="F472" s="7" t="s">
        <v>62</v>
      </c>
      <c r="G472" s="7" t="s">
        <v>949</v>
      </c>
      <c r="H472" s="1" t="s">
        <v>950</v>
      </c>
      <c r="I472" s="7">
        <v>0.82</v>
      </c>
      <c r="J472" s="7" t="s">
        <v>4367</v>
      </c>
      <c r="K472" s="7" t="s">
        <v>4410</v>
      </c>
      <c r="O472" s="45" t="s">
        <v>969</v>
      </c>
      <c r="P472" s="2" t="s">
        <v>954</v>
      </c>
      <c r="Q472" s="7">
        <v>2.02</v>
      </c>
      <c r="R472" s="7" t="s">
        <v>963</v>
      </c>
      <c r="T472" s="18"/>
      <c r="W472" s="7" t="s">
        <v>938</v>
      </c>
      <c r="X472" s="24">
        <v>46.139800000000001</v>
      </c>
      <c r="Y472" s="24">
        <v>-98.149500000000003</v>
      </c>
      <c r="Z472" s="20">
        <v>414</v>
      </c>
      <c r="AA472" s="7" t="s">
        <v>975</v>
      </c>
      <c r="AB472" s="7" t="s">
        <v>970</v>
      </c>
    </row>
    <row r="473" spans="1:28" ht="21.75" customHeight="1" x14ac:dyDescent="0.2">
      <c r="A473" s="7" t="s">
        <v>5761</v>
      </c>
      <c r="B473" s="7" t="s">
        <v>936</v>
      </c>
      <c r="C473" s="7" t="s">
        <v>937</v>
      </c>
      <c r="D473" s="7" t="s">
        <v>943</v>
      </c>
      <c r="E473" s="7" t="s">
        <v>275</v>
      </c>
      <c r="F473" s="7" t="s">
        <v>62</v>
      </c>
      <c r="G473" s="7" t="s">
        <v>949</v>
      </c>
      <c r="H473" s="1" t="s">
        <v>950</v>
      </c>
      <c r="I473" s="7">
        <v>0.81</v>
      </c>
      <c r="J473" s="7" t="s">
        <v>4367</v>
      </c>
      <c r="K473" s="7" t="s">
        <v>4410</v>
      </c>
      <c r="O473" s="45" t="s">
        <v>969</v>
      </c>
      <c r="P473" s="2" t="s">
        <v>955</v>
      </c>
      <c r="Q473" s="7">
        <v>2.12</v>
      </c>
      <c r="R473" s="7" t="s">
        <v>964</v>
      </c>
      <c r="T473" s="18"/>
      <c r="W473" s="7" t="s">
        <v>938</v>
      </c>
      <c r="X473" s="24">
        <v>46.1327</v>
      </c>
      <c r="Y473" s="24">
        <v>-98.159899999999993</v>
      </c>
      <c r="Z473" s="20">
        <v>415</v>
      </c>
      <c r="AB473" s="7" t="s">
        <v>970</v>
      </c>
    </row>
    <row r="474" spans="1:28" ht="21.75" customHeight="1" x14ac:dyDescent="0.2">
      <c r="A474" s="7" t="s">
        <v>5761</v>
      </c>
      <c r="B474" s="7" t="s">
        <v>936</v>
      </c>
      <c r="C474" s="7" t="s">
        <v>937</v>
      </c>
      <c r="D474" s="7" t="s">
        <v>944</v>
      </c>
      <c r="E474" s="7" t="s">
        <v>275</v>
      </c>
      <c r="F474" s="7" t="s">
        <v>62</v>
      </c>
      <c r="G474" s="7" t="s">
        <v>949</v>
      </c>
      <c r="H474" s="1" t="s">
        <v>950</v>
      </c>
      <c r="I474" s="7">
        <v>0.81</v>
      </c>
      <c r="J474" s="7" t="s">
        <v>4367</v>
      </c>
      <c r="K474" s="7" t="s">
        <v>4410</v>
      </c>
      <c r="O474" s="45" t="s">
        <v>967</v>
      </c>
      <c r="P474" s="2" t="s">
        <v>956</v>
      </c>
      <c r="Q474" s="7">
        <v>2.1800000000000002</v>
      </c>
      <c r="R474" s="7" t="s">
        <v>965</v>
      </c>
      <c r="T474" s="18"/>
      <c r="W474" s="7" t="s">
        <v>938</v>
      </c>
      <c r="X474" s="24">
        <v>46.142099999999999</v>
      </c>
      <c r="Y474" s="24">
        <v>-98.164199999999994</v>
      </c>
      <c r="Z474" s="20">
        <v>416</v>
      </c>
      <c r="AA474" s="7" t="s">
        <v>972</v>
      </c>
      <c r="AB474" s="7" t="s">
        <v>970</v>
      </c>
    </row>
    <row r="475" spans="1:28" ht="21.75" customHeight="1" x14ac:dyDescent="0.2">
      <c r="A475" s="7" t="s">
        <v>5761</v>
      </c>
      <c r="B475" s="7" t="s">
        <v>936</v>
      </c>
      <c r="C475" s="7" t="s">
        <v>937</v>
      </c>
      <c r="D475" s="7" t="s">
        <v>945</v>
      </c>
      <c r="E475" s="7" t="s">
        <v>275</v>
      </c>
      <c r="F475" s="7" t="s">
        <v>62</v>
      </c>
      <c r="G475" s="7" t="s">
        <v>949</v>
      </c>
      <c r="H475" s="1" t="s">
        <v>950</v>
      </c>
      <c r="I475" s="7">
        <v>0.91</v>
      </c>
      <c r="J475" s="7" t="s">
        <v>4367</v>
      </c>
      <c r="K475" s="7" t="s">
        <v>4410</v>
      </c>
      <c r="O475" s="45" t="s">
        <v>967</v>
      </c>
      <c r="P475" s="2" t="s">
        <v>957</v>
      </c>
      <c r="Q475" s="7">
        <v>2.4</v>
      </c>
      <c r="R475" s="7" t="s">
        <v>966</v>
      </c>
      <c r="T475" s="18"/>
      <c r="W475" s="7" t="s">
        <v>938</v>
      </c>
      <c r="X475" s="24">
        <v>46.129399999999997</v>
      </c>
      <c r="Y475" s="24">
        <v>-98.176299999999998</v>
      </c>
      <c r="Z475" s="20">
        <v>417</v>
      </c>
      <c r="AB475" s="7" t="s">
        <v>970</v>
      </c>
    </row>
    <row r="476" spans="1:28" ht="21.75" customHeight="1" x14ac:dyDescent="0.2">
      <c r="A476" s="7" t="s">
        <v>5761</v>
      </c>
      <c r="B476" s="7" t="s">
        <v>936</v>
      </c>
      <c r="C476" s="7" t="s">
        <v>937</v>
      </c>
      <c r="D476" s="7" t="s">
        <v>946</v>
      </c>
      <c r="E476" s="7" t="s">
        <v>275</v>
      </c>
      <c r="F476" s="7" t="s">
        <v>62</v>
      </c>
      <c r="G476" s="7" t="s">
        <v>949</v>
      </c>
      <c r="H476" s="1" t="s">
        <v>950</v>
      </c>
      <c r="I476" s="7">
        <v>0.91</v>
      </c>
      <c r="J476" s="7" t="s">
        <v>4367</v>
      </c>
      <c r="K476" s="7" t="s">
        <v>4410</v>
      </c>
      <c r="O476" s="45" t="s">
        <v>967</v>
      </c>
      <c r="P476" s="2" t="s">
        <v>958</v>
      </c>
      <c r="Q476" s="7">
        <v>2.54</v>
      </c>
      <c r="R476" s="7" t="s">
        <v>966</v>
      </c>
      <c r="T476" s="18"/>
      <c r="W476" s="7" t="s">
        <v>938</v>
      </c>
      <c r="X476" s="24">
        <v>46.142400000000002</v>
      </c>
      <c r="Y476" s="24">
        <v>-98.175399999999996</v>
      </c>
      <c r="Z476" s="20">
        <v>422</v>
      </c>
      <c r="AB476" s="7" t="s">
        <v>970</v>
      </c>
    </row>
    <row r="477" spans="1:28" ht="21.75" customHeight="1" x14ac:dyDescent="0.2">
      <c r="A477" s="7" t="s">
        <v>5761</v>
      </c>
      <c r="B477" s="7" t="s">
        <v>936</v>
      </c>
      <c r="C477" s="7" t="s">
        <v>937</v>
      </c>
      <c r="D477" s="7" t="s">
        <v>947</v>
      </c>
      <c r="E477" s="7" t="s">
        <v>275</v>
      </c>
      <c r="F477" s="7" t="s">
        <v>62</v>
      </c>
      <c r="G477" s="7" t="s">
        <v>949</v>
      </c>
      <c r="H477" s="1" t="s">
        <v>950</v>
      </c>
      <c r="I477" s="7">
        <v>0.83</v>
      </c>
      <c r="J477" s="7" t="s">
        <v>4367</v>
      </c>
      <c r="K477" s="7" t="s">
        <v>4410</v>
      </c>
      <c r="O477" s="45" t="s">
        <v>967</v>
      </c>
      <c r="P477" s="2" t="s">
        <v>959</v>
      </c>
      <c r="Q477" s="7">
        <v>2.56</v>
      </c>
      <c r="R477" s="7" t="s">
        <v>965</v>
      </c>
      <c r="T477" s="18"/>
      <c r="W477" s="7" t="s">
        <v>938</v>
      </c>
      <c r="X477" s="24">
        <v>46.127099999999999</v>
      </c>
      <c r="Y477" s="24">
        <v>-98.194000000000003</v>
      </c>
      <c r="Z477" s="20">
        <v>426</v>
      </c>
      <c r="AB477" s="7" t="s">
        <v>970</v>
      </c>
    </row>
    <row r="478" spans="1:28" ht="21.75" customHeight="1" x14ac:dyDescent="0.2">
      <c r="A478" s="7" t="s">
        <v>5761</v>
      </c>
      <c r="B478" s="7" t="s">
        <v>936</v>
      </c>
      <c r="C478" s="7" t="s">
        <v>937</v>
      </c>
      <c r="D478" s="7" t="s">
        <v>948</v>
      </c>
      <c r="E478" s="7" t="s">
        <v>275</v>
      </c>
      <c r="F478" s="7" t="s">
        <v>62</v>
      </c>
      <c r="G478" s="7" t="s">
        <v>949</v>
      </c>
      <c r="H478" s="1" t="s">
        <v>950</v>
      </c>
      <c r="I478" s="7">
        <v>0.85</v>
      </c>
      <c r="J478" s="7" t="s">
        <v>4367</v>
      </c>
      <c r="K478" s="7" t="s">
        <v>4410</v>
      </c>
      <c r="O478" s="45" t="s">
        <v>967</v>
      </c>
      <c r="P478" s="2" t="s">
        <v>960</v>
      </c>
      <c r="Q478" s="7">
        <v>2.64</v>
      </c>
      <c r="R478" s="7" t="s">
        <v>966</v>
      </c>
      <c r="T478" s="18"/>
      <c r="W478" s="7" t="s">
        <v>938</v>
      </c>
      <c r="X478" s="24">
        <v>46.119100000000003</v>
      </c>
      <c r="Y478" s="24">
        <v>-98.199799999999996</v>
      </c>
      <c r="Z478" s="20">
        <v>425</v>
      </c>
      <c r="AA478" s="7" t="s">
        <v>972</v>
      </c>
      <c r="AB478" s="7" t="s">
        <v>970</v>
      </c>
    </row>
    <row r="479" spans="1:28" s="8" customFormat="1" ht="21.75" customHeight="1" x14ac:dyDescent="0.2">
      <c r="A479" s="8" t="s">
        <v>6908</v>
      </c>
      <c r="B479" s="8" t="s">
        <v>6912</v>
      </c>
      <c r="C479" s="8" t="s">
        <v>6911</v>
      </c>
      <c r="E479" s="8" t="s">
        <v>263</v>
      </c>
      <c r="F479" s="8" t="s">
        <v>212</v>
      </c>
      <c r="G479" s="8" t="s">
        <v>6910</v>
      </c>
      <c r="H479" s="3" t="s">
        <v>6909</v>
      </c>
      <c r="I479" s="8">
        <v>1</v>
      </c>
      <c r="J479" s="8" t="s">
        <v>6914</v>
      </c>
      <c r="K479" s="8" t="s">
        <v>4410</v>
      </c>
      <c r="L479" s="14" t="s">
        <v>6913</v>
      </c>
      <c r="M479" s="14"/>
      <c r="N479" s="14"/>
      <c r="O479" s="110" t="s">
        <v>3160</v>
      </c>
      <c r="P479" s="4" t="s">
        <v>6915</v>
      </c>
      <c r="Q479" s="8">
        <v>1.1200000000000001</v>
      </c>
      <c r="R479" s="8" t="s">
        <v>6917</v>
      </c>
      <c r="T479" s="9"/>
      <c r="X479" s="25">
        <v>18.279499999999999</v>
      </c>
      <c r="Y479" s="25">
        <v>-65.758700000000005</v>
      </c>
      <c r="Z479" s="21">
        <v>750</v>
      </c>
      <c r="AA479" s="8" t="s">
        <v>6916</v>
      </c>
      <c r="AB479" s="8" t="s">
        <v>6918</v>
      </c>
    </row>
    <row r="480" spans="1:28" ht="21.75" customHeight="1" x14ac:dyDescent="0.2">
      <c r="A480" s="7" t="s">
        <v>2946</v>
      </c>
      <c r="B480" s="7" t="s">
        <v>4546</v>
      </c>
      <c r="C480" s="7" t="s">
        <v>2947</v>
      </c>
      <c r="E480" s="7" t="s">
        <v>398</v>
      </c>
      <c r="F480" s="7" t="s">
        <v>62</v>
      </c>
      <c r="G480" s="31" t="s">
        <v>2951</v>
      </c>
      <c r="H480" s="1" t="s">
        <v>2950</v>
      </c>
      <c r="I480" s="7" t="s">
        <v>2949</v>
      </c>
      <c r="J480" s="7" t="s">
        <v>4433</v>
      </c>
      <c r="K480" s="7" t="s">
        <v>5762</v>
      </c>
      <c r="L480" s="6">
        <v>1250</v>
      </c>
      <c r="N480" s="6">
        <v>1560</v>
      </c>
      <c r="O480" s="45" t="s">
        <v>2952</v>
      </c>
      <c r="R480" s="7" t="s">
        <v>2953</v>
      </c>
      <c r="T480" s="18"/>
      <c r="W480" s="7" t="s">
        <v>2948</v>
      </c>
      <c r="X480" s="24">
        <v>33.351399999999998</v>
      </c>
      <c r="Y480" s="24">
        <v>-83.404200000000003</v>
      </c>
      <c r="Z480" s="20">
        <v>169</v>
      </c>
      <c r="AB480" s="7" t="s">
        <v>2954</v>
      </c>
    </row>
    <row r="481" spans="1:28" s="8" customFormat="1" ht="21.75" customHeight="1" x14ac:dyDescent="0.2">
      <c r="A481" s="8" t="s">
        <v>4540</v>
      </c>
      <c r="B481" s="8" t="s">
        <v>4544</v>
      </c>
      <c r="C481" s="8" t="s">
        <v>4542</v>
      </c>
      <c r="D481" s="8" t="s">
        <v>4551</v>
      </c>
      <c r="E481" s="8" t="s">
        <v>602</v>
      </c>
      <c r="F481" s="8" t="s">
        <v>4560</v>
      </c>
      <c r="G481" s="27" t="s">
        <v>4561</v>
      </c>
      <c r="H481" s="3" t="s">
        <v>4555</v>
      </c>
      <c r="I481" s="8" t="s">
        <v>4565</v>
      </c>
      <c r="J481" s="8" t="s">
        <v>4404</v>
      </c>
      <c r="K481" s="8" t="s">
        <v>4410</v>
      </c>
      <c r="L481" s="14">
        <v>1740</v>
      </c>
      <c r="M481" s="14" t="s">
        <v>4545</v>
      </c>
      <c r="N481" s="14"/>
      <c r="O481" s="110" t="s">
        <v>4543</v>
      </c>
      <c r="P481" s="4"/>
      <c r="R481" s="8" t="s">
        <v>4547</v>
      </c>
      <c r="S481" s="8" t="s">
        <v>4549</v>
      </c>
      <c r="T481" s="4" t="s">
        <v>5736</v>
      </c>
      <c r="U481" s="8" t="s">
        <v>4550</v>
      </c>
      <c r="V481" s="8">
        <v>4</v>
      </c>
      <c r="X481" s="25">
        <f>3+52/60+39/3600</f>
        <v>3.8774999999999999</v>
      </c>
      <c r="Y481" s="25">
        <f>17+54/60+20/3600</f>
        <v>17.905555555555555</v>
      </c>
      <c r="Z481" s="21">
        <v>564</v>
      </c>
      <c r="AA481" s="8" t="s">
        <v>4564</v>
      </c>
      <c r="AB481" s="8" t="s">
        <v>4562</v>
      </c>
    </row>
    <row r="482" spans="1:28" s="8" customFormat="1" ht="21.75" customHeight="1" x14ac:dyDescent="0.2">
      <c r="A482" s="8" t="s">
        <v>4540</v>
      </c>
      <c r="B482" s="8" t="s">
        <v>4544</v>
      </c>
      <c r="C482" s="8" t="s">
        <v>4542</v>
      </c>
      <c r="D482" s="8" t="s">
        <v>4552</v>
      </c>
      <c r="E482" s="8" t="s">
        <v>602</v>
      </c>
      <c r="F482" s="8" t="s">
        <v>4560</v>
      </c>
      <c r="G482" s="27" t="s">
        <v>4561</v>
      </c>
      <c r="H482" s="3" t="s">
        <v>4555</v>
      </c>
      <c r="I482" s="8">
        <v>8</v>
      </c>
      <c r="J482" s="8" t="s">
        <v>4558</v>
      </c>
      <c r="K482" s="8" t="s">
        <v>4410</v>
      </c>
      <c r="L482" s="14">
        <v>1740</v>
      </c>
      <c r="M482" s="14" t="s">
        <v>4545</v>
      </c>
      <c r="N482" s="14"/>
      <c r="O482" s="110" t="s">
        <v>4543</v>
      </c>
      <c r="P482" s="4"/>
      <c r="R482" s="8" t="s">
        <v>4547</v>
      </c>
      <c r="S482" s="8" t="s">
        <v>4549</v>
      </c>
      <c r="T482" s="4" t="s">
        <v>5736</v>
      </c>
      <c r="U482" s="8" t="s">
        <v>4550</v>
      </c>
      <c r="V482" s="8">
        <v>4</v>
      </c>
      <c r="X482" s="25">
        <f>3+53/60+8/3600</f>
        <v>3.8855555555555554</v>
      </c>
      <c r="Y482" s="25">
        <f>17+54/60+13/3600</f>
        <v>17.903611111111111</v>
      </c>
      <c r="Z482" s="21">
        <v>586</v>
      </c>
      <c r="AA482" s="8" t="s">
        <v>4567</v>
      </c>
      <c r="AB482" s="132" t="s">
        <v>4566</v>
      </c>
    </row>
    <row r="483" spans="1:28" s="8" customFormat="1" ht="21.75" customHeight="1" x14ac:dyDescent="0.2">
      <c r="A483" s="8" t="s">
        <v>4540</v>
      </c>
      <c r="B483" s="8" t="s">
        <v>4544</v>
      </c>
      <c r="C483" s="8" t="s">
        <v>4556</v>
      </c>
      <c r="D483" s="8" t="s">
        <v>4553</v>
      </c>
      <c r="E483" s="8" t="s">
        <v>602</v>
      </c>
      <c r="F483" s="8" t="s">
        <v>4560</v>
      </c>
      <c r="G483" s="27" t="s">
        <v>4561</v>
      </c>
      <c r="H483" s="3" t="s">
        <v>4555</v>
      </c>
      <c r="I483" s="8">
        <v>3</v>
      </c>
      <c r="J483" s="8" t="s">
        <v>4404</v>
      </c>
      <c r="K483" s="8" t="s">
        <v>4410</v>
      </c>
      <c r="L483" s="14">
        <v>1740</v>
      </c>
      <c r="M483" s="14" t="s">
        <v>4545</v>
      </c>
      <c r="N483" s="14"/>
      <c r="O483" s="110" t="s">
        <v>4543</v>
      </c>
      <c r="P483" s="4"/>
      <c r="R483" s="8" t="s">
        <v>4548</v>
      </c>
      <c r="T483" s="9"/>
      <c r="X483" s="25">
        <f>4+1/60+15/3600</f>
        <v>4.020833333333333</v>
      </c>
      <c r="Y483" s="25">
        <f>17+10/60+19/3600</f>
        <v>17.171944444444446</v>
      </c>
      <c r="Z483" s="21">
        <v>637</v>
      </c>
      <c r="AA483" s="8" t="s">
        <v>4563</v>
      </c>
      <c r="AB483" s="133"/>
    </row>
    <row r="484" spans="1:28" s="8" customFormat="1" ht="21.75" customHeight="1" x14ac:dyDescent="0.2">
      <c r="A484" s="8" t="s">
        <v>4540</v>
      </c>
      <c r="B484" s="8" t="s">
        <v>4544</v>
      </c>
      <c r="C484" s="8" t="s">
        <v>4556</v>
      </c>
      <c r="D484" s="8" t="s">
        <v>4554</v>
      </c>
      <c r="E484" s="8" t="s">
        <v>602</v>
      </c>
      <c r="F484" s="8" t="s">
        <v>4560</v>
      </c>
      <c r="G484" s="27" t="s">
        <v>4561</v>
      </c>
      <c r="H484" s="3" t="s">
        <v>4555</v>
      </c>
      <c r="I484" s="8">
        <v>5.2</v>
      </c>
      <c r="J484" s="8" t="s">
        <v>4558</v>
      </c>
      <c r="K484" s="8" t="s">
        <v>4410</v>
      </c>
      <c r="L484" s="14">
        <v>1740</v>
      </c>
      <c r="M484" s="14" t="s">
        <v>4545</v>
      </c>
      <c r="N484" s="14"/>
      <c r="O484" s="110" t="s">
        <v>4543</v>
      </c>
      <c r="P484" s="4"/>
      <c r="R484" s="8" t="s">
        <v>4548</v>
      </c>
      <c r="T484" s="9"/>
      <c r="X484" s="25">
        <f>4+1/60+40/3600</f>
        <v>4.0277777777777777</v>
      </c>
      <c r="Y484" s="25">
        <f>17+9/60+36/3600</f>
        <v>17.16</v>
      </c>
      <c r="Z484" s="21">
        <v>626</v>
      </c>
      <c r="AA484" s="8" t="s">
        <v>4559</v>
      </c>
      <c r="AB484" s="8" t="s">
        <v>4557</v>
      </c>
    </row>
    <row r="485" spans="1:28" ht="21.75" customHeight="1" x14ac:dyDescent="0.2">
      <c r="A485" s="7" t="s">
        <v>7176</v>
      </c>
      <c r="B485" s="7" t="s">
        <v>7177</v>
      </c>
      <c r="C485" s="7" t="s">
        <v>7178</v>
      </c>
      <c r="D485" s="7" t="s">
        <v>7179</v>
      </c>
      <c r="E485" s="7" t="s">
        <v>280</v>
      </c>
      <c r="F485" s="7" t="s">
        <v>212</v>
      </c>
      <c r="G485" s="31" t="s">
        <v>7184</v>
      </c>
      <c r="H485" s="1" t="s">
        <v>7183</v>
      </c>
      <c r="I485" s="7">
        <v>1</v>
      </c>
      <c r="J485" s="7" t="s">
        <v>7189</v>
      </c>
      <c r="K485" s="7" t="s">
        <v>4410</v>
      </c>
      <c r="L485" s="6">
        <v>1006</v>
      </c>
      <c r="M485" s="6" t="s">
        <v>2865</v>
      </c>
      <c r="O485" s="45" t="s">
        <v>7195</v>
      </c>
      <c r="R485" s="7" t="s">
        <v>7185</v>
      </c>
      <c r="T485" s="18"/>
      <c r="U485" s="7" t="s">
        <v>7190</v>
      </c>
      <c r="V485" s="7" t="s">
        <v>7191</v>
      </c>
      <c r="X485" s="5">
        <v>40.642099999999999</v>
      </c>
      <c r="Y485" s="5">
        <v>-77.906499999999994</v>
      </c>
      <c r="Z485" s="6">
        <v>278</v>
      </c>
      <c r="AA485" s="134" t="s">
        <v>7197</v>
      </c>
      <c r="AB485" s="7" t="s">
        <v>7182</v>
      </c>
    </row>
    <row r="486" spans="1:28" ht="21.75" customHeight="1" x14ac:dyDescent="0.2">
      <c r="A486" s="7" t="s">
        <v>7176</v>
      </c>
      <c r="B486" s="7" t="s">
        <v>7177</v>
      </c>
      <c r="C486" s="7" t="s">
        <v>7178</v>
      </c>
      <c r="D486" s="7" t="s">
        <v>2978</v>
      </c>
      <c r="E486" s="7" t="s">
        <v>280</v>
      </c>
      <c r="F486" s="7" t="s">
        <v>212</v>
      </c>
      <c r="G486" s="31" t="s">
        <v>7184</v>
      </c>
      <c r="H486" s="1" t="s">
        <v>7183</v>
      </c>
      <c r="I486" s="7">
        <v>1</v>
      </c>
      <c r="J486" s="7" t="s">
        <v>7188</v>
      </c>
      <c r="K486" s="7" t="s">
        <v>4410</v>
      </c>
      <c r="L486" s="6">
        <v>1006</v>
      </c>
      <c r="M486" s="6" t="s">
        <v>2865</v>
      </c>
      <c r="O486" s="45" t="s">
        <v>7196</v>
      </c>
      <c r="R486" s="7" t="s">
        <v>7185</v>
      </c>
      <c r="T486" s="18"/>
      <c r="U486" s="7" t="s">
        <v>7190</v>
      </c>
      <c r="V486" s="7" t="s">
        <v>7192</v>
      </c>
      <c r="X486" s="5">
        <v>40.642499999999998</v>
      </c>
      <c r="Y486" s="5">
        <v>-77.907200000000003</v>
      </c>
      <c r="Z486" s="6">
        <v>269</v>
      </c>
      <c r="AA486" s="135"/>
      <c r="AB486" s="7" t="s">
        <v>7198</v>
      </c>
    </row>
    <row r="487" spans="1:28" ht="21.75" customHeight="1" x14ac:dyDescent="0.2">
      <c r="A487" s="7" t="s">
        <v>7176</v>
      </c>
      <c r="B487" s="7" t="s">
        <v>7177</v>
      </c>
      <c r="C487" s="7" t="s">
        <v>7178</v>
      </c>
      <c r="D487" s="7" t="s">
        <v>7180</v>
      </c>
      <c r="E487" s="7" t="s">
        <v>280</v>
      </c>
      <c r="F487" s="7" t="s">
        <v>212</v>
      </c>
      <c r="G487" s="31" t="s">
        <v>7184</v>
      </c>
      <c r="H487" s="1" t="s">
        <v>7183</v>
      </c>
      <c r="I487" s="7">
        <v>1</v>
      </c>
      <c r="J487" s="7" t="s">
        <v>7187</v>
      </c>
      <c r="K487" s="7" t="s">
        <v>4410</v>
      </c>
      <c r="L487" s="6">
        <v>1006</v>
      </c>
      <c r="M487" s="6" t="s">
        <v>2865</v>
      </c>
      <c r="O487" s="45" t="s">
        <v>7194</v>
      </c>
      <c r="Q487" s="7">
        <v>0.5</v>
      </c>
      <c r="R487" s="7" t="s">
        <v>7186</v>
      </c>
      <c r="T487" s="18"/>
      <c r="U487" s="7" t="s">
        <v>7190</v>
      </c>
      <c r="V487" s="7" t="s">
        <v>7193</v>
      </c>
      <c r="X487" s="5">
        <v>40.642800000000001</v>
      </c>
      <c r="Y487" s="5">
        <v>-77.907499999999999</v>
      </c>
      <c r="Z487" s="6">
        <v>260</v>
      </c>
      <c r="AA487" s="44" t="s">
        <v>7181</v>
      </c>
    </row>
    <row r="488" spans="1:28" s="8" customFormat="1" ht="21.75" customHeight="1" x14ac:dyDescent="0.2">
      <c r="A488" s="8" t="s">
        <v>5559</v>
      </c>
      <c r="B488" s="8" t="s">
        <v>5573</v>
      </c>
      <c r="C488" s="8" t="s">
        <v>5560</v>
      </c>
      <c r="D488" s="8" t="s">
        <v>5566</v>
      </c>
      <c r="E488" s="8" t="s">
        <v>5579</v>
      </c>
      <c r="F488" s="8" t="s">
        <v>212</v>
      </c>
      <c r="G488" s="8" t="s">
        <v>5563</v>
      </c>
      <c r="H488" s="3" t="s">
        <v>5561</v>
      </c>
      <c r="I488" s="4">
        <f>12*0.3048</f>
        <v>3.6576000000000004</v>
      </c>
      <c r="J488" s="8" t="s">
        <v>4367</v>
      </c>
      <c r="K488" s="8" t="s">
        <v>4410</v>
      </c>
      <c r="L488" s="14"/>
      <c r="M488" s="14"/>
      <c r="N488" s="14"/>
      <c r="O488" s="110" t="s">
        <v>5574</v>
      </c>
      <c r="P488" s="4"/>
      <c r="Q488" s="4">
        <v>3.05</v>
      </c>
      <c r="R488" s="8" t="s">
        <v>5576</v>
      </c>
      <c r="W488" s="8" t="s">
        <v>5585</v>
      </c>
      <c r="X488" s="13">
        <v>33.533700000000003</v>
      </c>
      <c r="Y488" s="13">
        <v>-111.62439999999999</v>
      </c>
      <c r="Z488" s="14">
        <v>414</v>
      </c>
      <c r="AA488" s="132" t="s">
        <v>5578</v>
      </c>
      <c r="AB488" s="8" t="s">
        <v>5577</v>
      </c>
    </row>
    <row r="489" spans="1:28" s="8" customFormat="1" ht="21.75" customHeight="1" x14ac:dyDescent="0.2">
      <c r="A489" s="8" t="s">
        <v>5559</v>
      </c>
      <c r="B489" s="8" t="s">
        <v>5573</v>
      </c>
      <c r="C489" s="8" t="s">
        <v>5560</v>
      </c>
      <c r="D489" s="8" t="s">
        <v>5567</v>
      </c>
      <c r="E489" s="8" t="s">
        <v>5579</v>
      </c>
      <c r="F489" s="8" t="s">
        <v>212</v>
      </c>
      <c r="G489" s="8" t="s">
        <v>5563</v>
      </c>
      <c r="H489" s="3" t="s">
        <v>5561</v>
      </c>
      <c r="I489" s="4">
        <f>2.1*0.3048</f>
        <v>0.64008000000000009</v>
      </c>
      <c r="J489" s="8" t="s">
        <v>4367</v>
      </c>
      <c r="K489" s="8" t="s">
        <v>4410</v>
      </c>
      <c r="L489" s="14"/>
      <c r="M489" s="14"/>
      <c r="N489" s="14"/>
      <c r="O489" s="110" t="s">
        <v>5575</v>
      </c>
      <c r="Q489" s="4">
        <f>2.5*0.3048</f>
        <v>0.76200000000000001</v>
      </c>
      <c r="R489" s="8" t="s">
        <v>5584</v>
      </c>
      <c r="W489" s="8" t="s">
        <v>5585</v>
      </c>
      <c r="X489" s="13">
        <v>33.554299999999998</v>
      </c>
      <c r="Y489" s="13">
        <v>-111.6279</v>
      </c>
      <c r="Z489" s="14">
        <v>411</v>
      </c>
      <c r="AA489" s="133"/>
      <c r="AB489" s="8" t="s">
        <v>5568</v>
      </c>
    </row>
    <row r="490" spans="1:28" s="8" customFormat="1" ht="21.75" customHeight="1" x14ac:dyDescent="0.2">
      <c r="A490" s="8" t="s">
        <v>5559</v>
      </c>
      <c r="B490" s="8" t="s">
        <v>5573</v>
      </c>
      <c r="C490" s="8" t="s">
        <v>5560</v>
      </c>
      <c r="D490" s="8" t="s">
        <v>5571</v>
      </c>
      <c r="E490" s="8" t="s">
        <v>280</v>
      </c>
      <c r="F490" s="8" t="s">
        <v>214</v>
      </c>
      <c r="G490" s="8" t="s">
        <v>5565</v>
      </c>
      <c r="H490" s="3" t="s">
        <v>5562</v>
      </c>
      <c r="I490" s="4">
        <f>1.9*0.3048</f>
        <v>0.57911999999999997</v>
      </c>
      <c r="J490" s="8" t="s">
        <v>4367</v>
      </c>
      <c r="K490" s="8" t="s">
        <v>4410</v>
      </c>
      <c r="L490" s="14"/>
      <c r="M490" s="14"/>
      <c r="N490" s="14"/>
      <c r="O490" s="110" t="s">
        <v>5571</v>
      </c>
      <c r="Q490" s="4">
        <f>2.5*0.3048</f>
        <v>0.76200000000000001</v>
      </c>
      <c r="R490" s="8" t="s">
        <v>5584</v>
      </c>
      <c r="X490" s="13">
        <v>33.553899999999999</v>
      </c>
      <c r="Y490" s="13">
        <v>-111.62520000000001</v>
      </c>
      <c r="Z490" s="14">
        <v>411</v>
      </c>
      <c r="AA490" s="8" t="s">
        <v>5580</v>
      </c>
      <c r="AB490" s="8" t="s">
        <v>5569</v>
      </c>
    </row>
    <row r="491" spans="1:28" s="8" customFormat="1" ht="21.75" customHeight="1" x14ac:dyDescent="0.2">
      <c r="A491" s="8" t="s">
        <v>5559</v>
      </c>
      <c r="B491" s="8" t="s">
        <v>5573</v>
      </c>
      <c r="C491" s="8" t="s">
        <v>5560</v>
      </c>
      <c r="D491" s="8" t="s">
        <v>5572</v>
      </c>
      <c r="E491" s="8" t="s">
        <v>232</v>
      </c>
      <c r="F491" s="8" t="s">
        <v>5582</v>
      </c>
      <c r="G491" s="8" t="s">
        <v>5564</v>
      </c>
      <c r="H491" s="3" t="s">
        <v>5581</v>
      </c>
      <c r="I491" s="4">
        <f>4.3*0.3048</f>
        <v>1.31064</v>
      </c>
      <c r="J491" s="8" t="s">
        <v>4367</v>
      </c>
      <c r="K491" s="8" t="s">
        <v>4410</v>
      </c>
      <c r="L491" s="14"/>
      <c r="M491" s="14"/>
      <c r="N491" s="14"/>
      <c r="O491" s="110" t="s">
        <v>5572</v>
      </c>
      <c r="Q491" s="4">
        <f>4*0.3048</f>
        <v>1.2192000000000001</v>
      </c>
      <c r="R491" s="8" t="s">
        <v>2538</v>
      </c>
      <c r="X491" s="13">
        <v>33.554600000000001</v>
      </c>
      <c r="Y491" s="13">
        <v>-111.62269999999999</v>
      </c>
      <c r="Z491" s="14">
        <v>412</v>
      </c>
      <c r="AA491" s="8" t="s">
        <v>5583</v>
      </c>
      <c r="AB491" s="8" t="s">
        <v>5570</v>
      </c>
    </row>
    <row r="492" spans="1:28" ht="21.75" customHeight="1" x14ac:dyDescent="0.2">
      <c r="A492" s="7" t="s">
        <v>3117</v>
      </c>
      <c r="B492" s="7" t="s">
        <v>3122</v>
      </c>
      <c r="C492" s="7" t="s">
        <v>1742</v>
      </c>
      <c r="D492" s="7" t="s">
        <v>3119</v>
      </c>
      <c r="E492" s="7" t="s">
        <v>280</v>
      </c>
      <c r="F492" s="7" t="s">
        <v>214</v>
      </c>
      <c r="G492" s="31"/>
      <c r="H492" s="1" t="s">
        <v>3121</v>
      </c>
      <c r="I492" s="7" t="s">
        <v>3126</v>
      </c>
      <c r="J492" s="7" t="s">
        <v>5754</v>
      </c>
      <c r="K492" s="7" t="s">
        <v>4410</v>
      </c>
      <c r="L492" s="6">
        <v>585</v>
      </c>
      <c r="N492" s="6">
        <v>2294</v>
      </c>
      <c r="O492" s="45" t="s">
        <v>3128</v>
      </c>
      <c r="Q492" s="7">
        <v>32</v>
      </c>
      <c r="R492" s="7" t="s">
        <v>3130</v>
      </c>
      <c r="S492" s="7" t="s">
        <v>3131</v>
      </c>
      <c r="T492" s="18" t="s">
        <v>3132</v>
      </c>
      <c r="W492" s="7" t="s">
        <v>3120</v>
      </c>
      <c r="X492" s="24">
        <v>13.2265</v>
      </c>
      <c r="Y492" s="24">
        <v>2.2566999999999999</v>
      </c>
      <c r="Z492" s="20">
        <v>214</v>
      </c>
      <c r="AA492" s="7" t="s">
        <v>3129</v>
      </c>
      <c r="AB492" s="7" t="s">
        <v>3127</v>
      </c>
    </row>
    <row r="493" spans="1:28" ht="21.75" customHeight="1" x14ac:dyDescent="0.2">
      <c r="A493" s="7" t="s">
        <v>3117</v>
      </c>
      <c r="B493" s="7" t="s">
        <v>3122</v>
      </c>
      <c r="C493" s="7" t="s">
        <v>1742</v>
      </c>
      <c r="D493" s="7" t="s">
        <v>3119</v>
      </c>
      <c r="E493" s="7" t="s">
        <v>3125</v>
      </c>
      <c r="F493" s="7" t="s">
        <v>3124</v>
      </c>
      <c r="H493" s="1" t="s">
        <v>3123</v>
      </c>
      <c r="I493" s="7">
        <v>0.4</v>
      </c>
      <c r="J493" s="7" t="s">
        <v>5754</v>
      </c>
      <c r="K493" s="7" t="s">
        <v>4410</v>
      </c>
      <c r="L493" s="6">
        <v>585</v>
      </c>
      <c r="N493" s="6">
        <v>2294</v>
      </c>
      <c r="O493" s="45" t="s">
        <v>3128</v>
      </c>
      <c r="Q493" s="7">
        <v>32</v>
      </c>
      <c r="R493" s="7" t="s">
        <v>3130</v>
      </c>
      <c r="S493" s="7" t="s">
        <v>3131</v>
      </c>
      <c r="T493" s="18" t="s">
        <v>3132</v>
      </c>
      <c r="W493" s="7" t="s">
        <v>3120</v>
      </c>
      <c r="X493" s="24">
        <v>13.228300000000001</v>
      </c>
      <c r="Y493" s="24">
        <v>2.2538</v>
      </c>
      <c r="Z493" s="20">
        <v>214</v>
      </c>
      <c r="AA493" s="7" t="s">
        <v>3133</v>
      </c>
      <c r="AB493" s="7" t="s">
        <v>3118</v>
      </c>
    </row>
    <row r="494" spans="1:28" s="8" customFormat="1" ht="21.75" customHeight="1" x14ac:dyDescent="0.2">
      <c r="A494" s="8" t="s">
        <v>5320</v>
      </c>
      <c r="B494" s="8" t="s">
        <v>7014</v>
      </c>
      <c r="C494" s="8" t="s">
        <v>760</v>
      </c>
      <c r="E494" s="8" t="s">
        <v>33</v>
      </c>
      <c r="F494" s="8" t="s">
        <v>212</v>
      </c>
      <c r="G494" s="8" t="s">
        <v>18</v>
      </c>
      <c r="H494" s="3" t="s">
        <v>19</v>
      </c>
      <c r="I494" s="4">
        <f>7*0.3048</f>
        <v>2.1335999999999999</v>
      </c>
      <c r="J494" s="8" t="s">
        <v>4367</v>
      </c>
      <c r="K494" s="8" t="s">
        <v>4386</v>
      </c>
      <c r="L494" s="14"/>
      <c r="M494" s="14"/>
      <c r="N494" s="14"/>
      <c r="O494" s="110"/>
      <c r="P494" s="4"/>
      <c r="R494" s="8" t="s">
        <v>5318</v>
      </c>
      <c r="T494" s="9"/>
      <c r="X494" s="25">
        <v>30.5701</v>
      </c>
      <c r="Y494" s="25">
        <v>-86.600099999999998</v>
      </c>
      <c r="Z494" s="21">
        <v>50</v>
      </c>
      <c r="AA494" s="8" t="s">
        <v>5317</v>
      </c>
      <c r="AB494" s="8" t="s">
        <v>5319</v>
      </c>
    </row>
    <row r="495" spans="1:28" ht="21.75" customHeight="1" x14ac:dyDescent="0.2">
      <c r="A495" s="7" t="s">
        <v>2877</v>
      </c>
      <c r="B495" s="7" t="s">
        <v>2872</v>
      </c>
      <c r="C495" s="7" t="s">
        <v>2873</v>
      </c>
      <c r="E495" s="7" t="s">
        <v>398</v>
      </c>
      <c r="F495" s="7" t="s">
        <v>62</v>
      </c>
      <c r="G495" s="7" t="s">
        <v>2861</v>
      </c>
      <c r="H495" s="1" t="s">
        <v>2867</v>
      </c>
      <c r="I495" s="7">
        <v>1.7</v>
      </c>
      <c r="J495" s="7" t="s">
        <v>4433</v>
      </c>
      <c r="K495" s="7" t="s">
        <v>4410</v>
      </c>
      <c r="L495" s="6">
        <v>1100</v>
      </c>
      <c r="M495" s="6" t="s">
        <v>2865</v>
      </c>
      <c r="R495" s="7" t="s">
        <v>2866</v>
      </c>
      <c r="T495" s="18"/>
      <c r="W495" s="7" t="s">
        <v>2874</v>
      </c>
      <c r="X495" s="24">
        <v>-34.332000000000001</v>
      </c>
      <c r="Y495" s="24">
        <v>-57.683399999999999</v>
      </c>
      <c r="Z495" s="20">
        <v>61</v>
      </c>
      <c r="AA495" s="7" t="s">
        <v>2875</v>
      </c>
      <c r="AB495" s="7" t="s">
        <v>2878</v>
      </c>
    </row>
    <row r="496" spans="1:28" ht="21.75" customHeight="1" x14ac:dyDescent="0.2">
      <c r="A496" s="7" t="s">
        <v>2877</v>
      </c>
      <c r="B496" s="7" t="s">
        <v>2872</v>
      </c>
      <c r="C496" s="7" t="s">
        <v>2873</v>
      </c>
      <c r="E496" s="7" t="s">
        <v>398</v>
      </c>
      <c r="F496" s="7" t="s">
        <v>217</v>
      </c>
      <c r="G496" s="7" t="s">
        <v>2869</v>
      </c>
      <c r="H496" s="1" t="s">
        <v>2868</v>
      </c>
      <c r="I496" s="7">
        <v>2</v>
      </c>
      <c r="J496" s="7" t="s">
        <v>4433</v>
      </c>
      <c r="K496" s="7" t="s">
        <v>4410</v>
      </c>
      <c r="L496" s="6">
        <v>1100</v>
      </c>
      <c r="M496" s="6" t="s">
        <v>2865</v>
      </c>
      <c r="R496" s="7" t="s">
        <v>2866</v>
      </c>
      <c r="T496" s="18"/>
      <c r="W496" s="7" t="s">
        <v>2874</v>
      </c>
      <c r="X496" s="24">
        <v>-34.332000000000001</v>
      </c>
      <c r="Y496" s="24">
        <v>-57.683399999999999</v>
      </c>
      <c r="Z496" s="20">
        <v>61</v>
      </c>
      <c r="AA496" s="7" t="s">
        <v>2876</v>
      </c>
      <c r="AB496" s="7" t="s">
        <v>2878</v>
      </c>
    </row>
    <row r="497" spans="1:28" ht="21.75" customHeight="1" x14ac:dyDescent="0.2">
      <c r="A497" s="7" t="s">
        <v>2877</v>
      </c>
      <c r="B497" s="7" t="s">
        <v>2872</v>
      </c>
      <c r="C497" s="7" t="s">
        <v>2873</v>
      </c>
      <c r="E497" s="7" t="s">
        <v>398</v>
      </c>
      <c r="F497" s="7" t="s">
        <v>217</v>
      </c>
      <c r="G497" s="7" t="s">
        <v>2871</v>
      </c>
      <c r="H497" s="1" t="s">
        <v>2870</v>
      </c>
      <c r="I497" s="7">
        <v>1.8</v>
      </c>
      <c r="J497" s="7" t="s">
        <v>4433</v>
      </c>
      <c r="K497" s="7" t="s">
        <v>4410</v>
      </c>
      <c r="L497" s="6">
        <v>1100</v>
      </c>
      <c r="M497" s="6" t="s">
        <v>2865</v>
      </c>
      <c r="R497" s="7" t="s">
        <v>2866</v>
      </c>
      <c r="T497" s="18"/>
      <c r="W497" s="7" t="s">
        <v>2874</v>
      </c>
      <c r="X497" s="24">
        <v>-34.332000000000001</v>
      </c>
      <c r="Y497" s="24">
        <v>-57.683399999999999</v>
      </c>
      <c r="Z497" s="20">
        <v>61</v>
      </c>
      <c r="AB497" s="7" t="s">
        <v>2878</v>
      </c>
    </row>
    <row r="498" spans="1:28" s="8" customFormat="1" ht="21.75" customHeight="1" x14ac:dyDescent="0.2">
      <c r="A498" s="8" t="s">
        <v>7392</v>
      </c>
      <c r="B498" s="8" t="s">
        <v>7200</v>
      </c>
      <c r="C498" s="8" t="s">
        <v>4160</v>
      </c>
      <c r="D498" s="8" t="s">
        <v>7201</v>
      </c>
      <c r="E498" s="8" t="s">
        <v>280</v>
      </c>
      <c r="F498" s="8" t="s">
        <v>212</v>
      </c>
      <c r="G498" s="8" t="s">
        <v>7204</v>
      </c>
      <c r="H498" s="3" t="s">
        <v>7203</v>
      </c>
      <c r="I498" s="8">
        <v>4.7</v>
      </c>
      <c r="J498" s="8" t="s">
        <v>7206</v>
      </c>
      <c r="K498" s="8" t="s">
        <v>4480</v>
      </c>
      <c r="L498" s="14">
        <v>873</v>
      </c>
      <c r="M498" s="14" t="s">
        <v>7199</v>
      </c>
      <c r="N498" s="14"/>
      <c r="O498" s="122"/>
      <c r="P498" s="13" t="s">
        <v>7205</v>
      </c>
      <c r="Q498" s="8">
        <v>6</v>
      </c>
      <c r="R498" s="8" t="s">
        <v>7208</v>
      </c>
      <c r="T498" s="9"/>
      <c r="W498" s="8" t="s">
        <v>7202</v>
      </c>
      <c r="X498" s="13">
        <v>43.704700000000003</v>
      </c>
      <c r="Y498" s="13">
        <v>4.0343</v>
      </c>
      <c r="Z498" s="14">
        <v>62</v>
      </c>
      <c r="AA498" s="8" t="s">
        <v>7209</v>
      </c>
      <c r="AB498" s="8" t="s">
        <v>7207</v>
      </c>
    </row>
    <row r="499" spans="1:28" ht="21.75" customHeight="1" x14ac:dyDescent="0.2">
      <c r="A499" s="7" t="s">
        <v>2809</v>
      </c>
      <c r="B499" s="7" t="s">
        <v>388</v>
      </c>
      <c r="C499" s="7" t="s">
        <v>90</v>
      </c>
      <c r="D499" s="7" t="s">
        <v>486</v>
      </c>
      <c r="E499" s="7" t="s">
        <v>33</v>
      </c>
      <c r="F499" s="7" t="s">
        <v>212</v>
      </c>
      <c r="G499" s="7" t="s">
        <v>88</v>
      </c>
      <c r="H499" s="1" t="s">
        <v>392</v>
      </c>
      <c r="I499" s="7">
        <v>2.9</v>
      </c>
      <c r="J499" s="7" t="s">
        <v>4367</v>
      </c>
      <c r="K499" s="7" t="s">
        <v>4480</v>
      </c>
      <c r="X499" s="5">
        <v>47.5458</v>
      </c>
      <c r="Y499" s="5">
        <v>-94.063500000000005</v>
      </c>
      <c r="Z499" s="6">
        <v>413</v>
      </c>
      <c r="AA499" s="7" t="s">
        <v>487</v>
      </c>
      <c r="AB499" s="7" t="s">
        <v>488</v>
      </c>
    </row>
    <row r="500" spans="1:28" s="8" customFormat="1" ht="21.75" customHeight="1" x14ac:dyDescent="0.2">
      <c r="A500" s="8" t="s">
        <v>489</v>
      </c>
      <c r="B500" s="8" t="s">
        <v>490</v>
      </c>
      <c r="C500" s="8" t="s">
        <v>466</v>
      </c>
      <c r="D500" s="8" t="s">
        <v>491</v>
      </c>
      <c r="E500" s="8" t="s">
        <v>263</v>
      </c>
      <c r="F500" s="8" t="s">
        <v>214</v>
      </c>
      <c r="G500" s="8" t="s">
        <v>509</v>
      </c>
      <c r="H500" s="3" t="s">
        <v>510</v>
      </c>
      <c r="I500" s="10">
        <v>1.6</v>
      </c>
      <c r="J500" s="8" t="s">
        <v>4367</v>
      </c>
      <c r="K500" s="8" t="s">
        <v>5713</v>
      </c>
      <c r="L500" s="14">
        <v>247</v>
      </c>
      <c r="M500" s="14" t="s">
        <v>6284</v>
      </c>
      <c r="N500" s="14"/>
      <c r="O500" s="110" t="s">
        <v>612</v>
      </c>
      <c r="P500" s="4"/>
      <c r="R500" s="8" t="s">
        <v>611</v>
      </c>
      <c r="S500" s="8" t="s">
        <v>610</v>
      </c>
      <c r="T500" s="8">
        <v>0.3</v>
      </c>
      <c r="X500" s="25">
        <v>32.4709</v>
      </c>
      <c r="Y500" s="25">
        <v>-106.7538</v>
      </c>
      <c r="Z500" s="21">
        <v>1400</v>
      </c>
      <c r="AA500" s="8" t="s">
        <v>681</v>
      </c>
      <c r="AB500" s="8" t="s">
        <v>658</v>
      </c>
    </row>
    <row r="501" spans="1:28" s="8" customFormat="1" ht="21.75" customHeight="1" x14ac:dyDescent="0.2">
      <c r="A501" s="8" t="s">
        <v>489</v>
      </c>
      <c r="B501" s="8" t="s">
        <v>490</v>
      </c>
      <c r="C501" s="8" t="s">
        <v>466</v>
      </c>
      <c r="D501" s="8" t="s">
        <v>491</v>
      </c>
      <c r="E501" s="8" t="s">
        <v>602</v>
      </c>
      <c r="F501" s="8" t="s">
        <v>214</v>
      </c>
      <c r="G501" s="8" t="s">
        <v>511</v>
      </c>
      <c r="H501" s="3" t="s">
        <v>512</v>
      </c>
      <c r="I501" s="4">
        <v>1</v>
      </c>
      <c r="J501" s="8" t="s">
        <v>4367</v>
      </c>
      <c r="K501" s="8" t="s">
        <v>5713</v>
      </c>
      <c r="L501" s="14">
        <v>247</v>
      </c>
      <c r="M501" s="14" t="s">
        <v>6284</v>
      </c>
      <c r="N501" s="14"/>
      <c r="O501" s="110" t="s">
        <v>612</v>
      </c>
      <c r="P501" s="4"/>
      <c r="R501" s="8" t="s">
        <v>611</v>
      </c>
      <c r="S501" s="8" t="s">
        <v>610</v>
      </c>
      <c r="T501" s="8">
        <v>0.3</v>
      </c>
      <c r="X501" s="25">
        <v>32.4709</v>
      </c>
      <c r="Y501" s="25">
        <v>-106.7538</v>
      </c>
      <c r="Z501" s="21">
        <v>1400</v>
      </c>
      <c r="AA501" s="8" t="s">
        <v>682</v>
      </c>
      <c r="AB501" s="8" t="s">
        <v>659</v>
      </c>
    </row>
    <row r="502" spans="1:28" s="8" customFormat="1" ht="21.75" customHeight="1" x14ac:dyDescent="0.2">
      <c r="A502" s="8" t="s">
        <v>489</v>
      </c>
      <c r="B502" s="8" t="s">
        <v>490</v>
      </c>
      <c r="C502" s="8" t="s">
        <v>466</v>
      </c>
      <c r="D502" s="8" t="s">
        <v>492</v>
      </c>
      <c r="E502" s="8" t="s">
        <v>263</v>
      </c>
      <c r="F502" s="8" t="s">
        <v>214</v>
      </c>
      <c r="G502" s="8" t="s">
        <v>509</v>
      </c>
      <c r="H502" s="3" t="s">
        <v>510</v>
      </c>
      <c r="I502" s="4">
        <v>5.5</v>
      </c>
      <c r="J502" s="8" t="s">
        <v>4367</v>
      </c>
      <c r="K502" s="8" t="s">
        <v>5713</v>
      </c>
      <c r="L502" s="14">
        <v>247</v>
      </c>
      <c r="M502" s="14" t="s">
        <v>6284</v>
      </c>
      <c r="N502" s="14"/>
      <c r="O502" s="110" t="s">
        <v>651</v>
      </c>
      <c r="P502" s="4"/>
      <c r="R502" s="8" t="s">
        <v>652</v>
      </c>
      <c r="S502" s="8" t="s">
        <v>653</v>
      </c>
      <c r="T502" s="8" t="s">
        <v>654</v>
      </c>
      <c r="X502" s="25">
        <v>32.482799999999997</v>
      </c>
      <c r="Y502" s="25">
        <v>-106.73690000000001</v>
      </c>
      <c r="Z502" s="21">
        <v>1316</v>
      </c>
      <c r="AA502" s="8" t="s">
        <v>714</v>
      </c>
      <c r="AB502" s="8" t="s">
        <v>650</v>
      </c>
    </row>
    <row r="503" spans="1:28" s="8" customFormat="1" ht="21.75" customHeight="1" x14ac:dyDescent="0.2">
      <c r="A503" s="8" t="s">
        <v>489</v>
      </c>
      <c r="B503" s="8" t="s">
        <v>490</v>
      </c>
      <c r="C503" s="8" t="s">
        <v>466</v>
      </c>
      <c r="D503" s="8" t="s">
        <v>492</v>
      </c>
      <c r="E503" s="8" t="s">
        <v>602</v>
      </c>
      <c r="F503" s="8" t="s">
        <v>214</v>
      </c>
      <c r="G503" s="8" t="s">
        <v>511</v>
      </c>
      <c r="H503" s="3" t="s">
        <v>512</v>
      </c>
      <c r="I503" s="4">
        <v>3.5</v>
      </c>
      <c r="J503" s="8" t="s">
        <v>4367</v>
      </c>
      <c r="K503" s="8" t="s">
        <v>5713</v>
      </c>
      <c r="L503" s="14">
        <v>247</v>
      </c>
      <c r="M503" s="14" t="s">
        <v>6284</v>
      </c>
      <c r="N503" s="14"/>
      <c r="O503" s="110" t="s">
        <v>651</v>
      </c>
      <c r="P503" s="4"/>
      <c r="R503" s="8" t="s">
        <v>652</v>
      </c>
      <c r="S503" s="8" t="s">
        <v>653</v>
      </c>
      <c r="T503" s="8" t="s">
        <v>654</v>
      </c>
      <c r="X503" s="25">
        <v>32.482799999999997</v>
      </c>
      <c r="Y503" s="25">
        <v>-106.73690000000001</v>
      </c>
      <c r="Z503" s="21">
        <v>1316</v>
      </c>
      <c r="AA503" s="8" t="s">
        <v>683</v>
      </c>
      <c r="AB503" s="8" t="s">
        <v>635</v>
      </c>
    </row>
    <row r="504" spans="1:28" s="8" customFormat="1" ht="21.75" customHeight="1" x14ac:dyDescent="0.2">
      <c r="A504" s="8" t="s">
        <v>489</v>
      </c>
      <c r="B504" s="8" t="s">
        <v>490</v>
      </c>
      <c r="C504" s="8" t="s">
        <v>466</v>
      </c>
      <c r="D504" s="8" t="s">
        <v>492</v>
      </c>
      <c r="E504" s="8" t="s">
        <v>398</v>
      </c>
      <c r="F504" s="8" t="s">
        <v>217</v>
      </c>
      <c r="G504" s="8" t="s">
        <v>593</v>
      </c>
      <c r="H504" s="3" t="s">
        <v>594</v>
      </c>
      <c r="I504" s="4">
        <v>1.1000000000000001</v>
      </c>
      <c r="J504" s="8" t="s">
        <v>4367</v>
      </c>
      <c r="K504" s="8" t="s">
        <v>5713</v>
      </c>
      <c r="L504" s="14">
        <v>247</v>
      </c>
      <c r="M504" s="14" t="s">
        <v>6284</v>
      </c>
      <c r="N504" s="14"/>
      <c r="O504" s="110" t="s">
        <v>651</v>
      </c>
      <c r="P504" s="4"/>
      <c r="R504" s="8" t="s">
        <v>652</v>
      </c>
      <c r="S504" s="8" t="s">
        <v>653</v>
      </c>
      <c r="T504" s="8" t="s">
        <v>654</v>
      </c>
      <c r="X504" s="25">
        <v>32.482799999999997</v>
      </c>
      <c r="Y504" s="25">
        <v>-106.73690000000001</v>
      </c>
      <c r="Z504" s="21">
        <v>1316</v>
      </c>
      <c r="AA504" s="8" t="s">
        <v>684</v>
      </c>
    </row>
    <row r="505" spans="1:28" s="8" customFormat="1" ht="21.75" customHeight="1" x14ac:dyDescent="0.2">
      <c r="A505" s="8" t="s">
        <v>489</v>
      </c>
      <c r="B505" s="8" t="s">
        <v>490</v>
      </c>
      <c r="C505" s="8" t="s">
        <v>466</v>
      </c>
      <c r="D505" s="8" t="s">
        <v>493</v>
      </c>
      <c r="E505" s="8" t="s">
        <v>263</v>
      </c>
      <c r="F505" s="8" t="s">
        <v>214</v>
      </c>
      <c r="G505" s="8" t="s">
        <v>509</v>
      </c>
      <c r="H505" s="3" t="s">
        <v>510</v>
      </c>
      <c r="I505" s="4">
        <v>2</v>
      </c>
      <c r="J505" s="8" t="s">
        <v>4367</v>
      </c>
      <c r="K505" s="8" t="s">
        <v>5713</v>
      </c>
      <c r="L505" s="14">
        <v>247</v>
      </c>
      <c r="M505" s="14" t="s">
        <v>6284</v>
      </c>
      <c r="N505" s="14"/>
      <c r="O505" s="110" t="s">
        <v>655</v>
      </c>
      <c r="P505" s="4"/>
      <c r="R505" s="8" t="s">
        <v>685</v>
      </c>
      <c r="X505" s="25">
        <v>32.488599999999998</v>
      </c>
      <c r="Y505" s="25">
        <v>-106.75149999999999</v>
      </c>
      <c r="Z505" s="21">
        <v>1334</v>
      </c>
      <c r="AA505" s="8" t="s">
        <v>686</v>
      </c>
    </row>
    <row r="506" spans="1:28" s="8" customFormat="1" ht="21.75" customHeight="1" x14ac:dyDescent="0.2">
      <c r="A506" s="8" t="s">
        <v>489</v>
      </c>
      <c r="B506" s="8" t="s">
        <v>490</v>
      </c>
      <c r="C506" s="8" t="s">
        <v>466</v>
      </c>
      <c r="D506" s="8" t="s">
        <v>493</v>
      </c>
      <c r="E506" s="8" t="s">
        <v>602</v>
      </c>
      <c r="F506" s="8" t="s">
        <v>214</v>
      </c>
      <c r="G506" s="8" t="s">
        <v>511</v>
      </c>
      <c r="H506" s="3" t="s">
        <v>512</v>
      </c>
      <c r="I506" s="4">
        <v>1.5</v>
      </c>
      <c r="J506" s="8" t="s">
        <v>4367</v>
      </c>
      <c r="K506" s="8" t="s">
        <v>5713</v>
      </c>
      <c r="L506" s="14">
        <v>247</v>
      </c>
      <c r="M506" s="14" t="s">
        <v>6284</v>
      </c>
      <c r="N506" s="14"/>
      <c r="O506" s="110" t="s">
        <v>655</v>
      </c>
      <c r="P506" s="4"/>
      <c r="R506" s="8" t="s">
        <v>685</v>
      </c>
      <c r="X506" s="25">
        <v>32.488599999999998</v>
      </c>
      <c r="Y506" s="25">
        <v>-106.75149999999999</v>
      </c>
      <c r="Z506" s="21">
        <v>1334</v>
      </c>
      <c r="AA506" s="8" t="s">
        <v>687</v>
      </c>
    </row>
    <row r="507" spans="1:28" s="8" customFormat="1" ht="21.75" customHeight="1" x14ac:dyDescent="0.2">
      <c r="A507" s="8" t="s">
        <v>489</v>
      </c>
      <c r="B507" s="8" t="s">
        <v>490</v>
      </c>
      <c r="C507" s="8" t="s">
        <v>466</v>
      </c>
      <c r="D507" s="8" t="s">
        <v>493</v>
      </c>
      <c r="E507" s="8" t="s">
        <v>398</v>
      </c>
      <c r="F507" s="8" t="s">
        <v>217</v>
      </c>
      <c r="G507" s="8" t="s">
        <v>596</v>
      </c>
      <c r="H507" s="3" t="s">
        <v>595</v>
      </c>
      <c r="I507" s="4">
        <v>1.1000000000000001</v>
      </c>
      <c r="J507" s="8" t="s">
        <v>4367</v>
      </c>
      <c r="K507" s="8" t="s">
        <v>5713</v>
      </c>
      <c r="L507" s="14">
        <v>247</v>
      </c>
      <c r="M507" s="14" t="s">
        <v>6284</v>
      </c>
      <c r="N507" s="14"/>
      <c r="O507" s="110" t="s">
        <v>655</v>
      </c>
      <c r="P507" s="4"/>
      <c r="R507" s="8" t="s">
        <v>685</v>
      </c>
      <c r="X507" s="25">
        <v>32.488599999999998</v>
      </c>
      <c r="Y507" s="25">
        <v>-106.75149999999999</v>
      </c>
      <c r="Z507" s="21">
        <v>1334</v>
      </c>
      <c r="AA507" s="8" t="s">
        <v>688</v>
      </c>
    </row>
    <row r="508" spans="1:28" s="8" customFormat="1" ht="21.75" customHeight="1" x14ac:dyDescent="0.2">
      <c r="A508" s="8" t="s">
        <v>489</v>
      </c>
      <c r="B508" s="8" t="s">
        <v>490</v>
      </c>
      <c r="C508" s="8" t="s">
        <v>466</v>
      </c>
      <c r="D508" s="8" t="s">
        <v>494</v>
      </c>
      <c r="E508" s="8" t="s">
        <v>602</v>
      </c>
      <c r="F508" s="8" t="s">
        <v>214</v>
      </c>
      <c r="G508" s="8" t="s">
        <v>597</v>
      </c>
      <c r="H508" s="3" t="s">
        <v>598</v>
      </c>
      <c r="I508" s="4">
        <v>3</v>
      </c>
      <c r="J508" s="8" t="s">
        <v>4367</v>
      </c>
      <c r="K508" s="8" t="s">
        <v>5713</v>
      </c>
      <c r="L508" s="14">
        <v>247</v>
      </c>
      <c r="M508" s="14" t="s">
        <v>6284</v>
      </c>
      <c r="N508" s="14"/>
      <c r="O508" s="110" t="s">
        <v>663</v>
      </c>
      <c r="P508" s="4"/>
      <c r="R508" s="8" t="s">
        <v>652</v>
      </c>
      <c r="S508" s="8" t="s">
        <v>656</v>
      </c>
      <c r="X508" s="25">
        <v>32.5227</v>
      </c>
      <c r="Y508" s="25">
        <v>-106.7435</v>
      </c>
      <c r="Z508" s="21">
        <v>1315</v>
      </c>
      <c r="AA508" s="8" t="s">
        <v>689</v>
      </c>
      <c r="AB508" s="8" t="s">
        <v>660</v>
      </c>
    </row>
    <row r="509" spans="1:28" s="8" customFormat="1" ht="21.75" customHeight="1" x14ac:dyDescent="0.2">
      <c r="A509" s="8" t="s">
        <v>489</v>
      </c>
      <c r="B509" s="8" t="s">
        <v>490</v>
      </c>
      <c r="C509" s="8" t="s">
        <v>466</v>
      </c>
      <c r="D509" s="8" t="s">
        <v>494</v>
      </c>
      <c r="E509" s="8" t="s">
        <v>398</v>
      </c>
      <c r="F509" s="8" t="s">
        <v>62</v>
      </c>
      <c r="G509" s="8" t="s">
        <v>513</v>
      </c>
      <c r="H509" s="3" t="s">
        <v>514</v>
      </c>
      <c r="I509" s="4">
        <v>0.45</v>
      </c>
      <c r="J509" s="8" t="s">
        <v>4367</v>
      </c>
      <c r="K509" s="8" t="s">
        <v>5713</v>
      </c>
      <c r="L509" s="14">
        <v>247</v>
      </c>
      <c r="M509" s="14" t="s">
        <v>6284</v>
      </c>
      <c r="N509" s="14"/>
      <c r="O509" s="110" t="s">
        <v>663</v>
      </c>
      <c r="P509" s="4"/>
      <c r="R509" s="8" t="s">
        <v>652</v>
      </c>
      <c r="S509" s="8" t="s">
        <v>656</v>
      </c>
      <c r="X509" s="25">
        <v>32.5227</v>
      </c>
      <c r="Y509" s="25">
        <v>-106.7435</v>
      </c>
      <c r="Z509" s="21">
        <v>1315</v>
      </c>
      <c r="AA509" s="8" t="s">
        <v>690</v>
      </c>
    </row>
    <row r="510" spans="1:28" s="8" customFormat="1" ht="21.75" customHeight="1" x14ac:dyDescent="0.2">
      <c r="A510" s="8" t="s">
        <v>489</v>
      </c>
      <c r="B510" s="8" t="s">
        <v>490</v>
      </c>
      <c r="C510" s="8" t="s">
        <v>466</v>
      </c>
      <c r="D510" s="8" t="s">
        <v>494</v>
      </c>
      <c r="E510" s="8" t="s">
        <v>398</v>
      </c>
      <c r="F510" s="8" t="s">
        <v>62</v>
      </c>
      <c r="G510" s="8" t="s">
        <v>515</v>
      </c>
      <c r="H510" s="3" t="s">
        <v>516</v>
      </c>
      <c r="I510" s="4">
        <v>0.3</v>
      </c>
      <c r="J510" s="8" t="s">
        <v>4367</v>
      </c>
      <c r="K510" s="8" t="s">
        <v>5713</v>
      </c>
      <c r="L510" s="14">
        <v>247</v>
      </c>
      <c r="M510" s="14" t="s">
        <v>6284</v>
      </c>
      <c r="N510" s="14"/>
      <c r="O510" s="110" t="s">
        <v>663</v>
      </c>
      <c r="P510" s="4"/>
      <c r="R510" s="8" t="s">
        <v>652</v>
      </c>
      <c r="S510" s="8" t="s">
        <v>656</v>
      </c>
      <c r="X510" s="25">
        <v>32.5227</v>
      </c>
      <c r="Y510" s="25">
        <v>-106.7435</v>
      </c>
      <c r="Z510" s="21">
        <v>1315</v>
      </c>
      <c r="AA510" s="8" t="s">
        <v>691</v>
      </c>
    </row>
    <row r="511" spans="1:28" s="8" customFormat="1" ht="21.75" customHeight="1" x14ac:dyDescent="0.2">
      <c r="A511" s="8" t="s">
        <v>489</v>
      </c>
      <c r="B511" s="8" t="s">
        <v>490</v>
      </c>
      <c r="C511" s="8" t="s">
        <v>466</v>
      </c>
      <c r="D511" s="8" t="s">
        <v>494</v>
      </c>
      <c r="E511" s="8" t="s">
        <v>398</v>
      </c>
      <c r="F511" s="8" t="s">
        <v>62</v>
      </c>
      <c r="G511" s="8" t="s">
        <v>517</v>
      </c>
      <c r="H511" s="3" t="s">
        <v>518</v>
      </c>
      <c r="I511" s="4">
        <v>0.65</v>
      </c>
      <c r="J511" s="8" t="s">
        <v>4367</v>
      </c>
      <c r="K511" s="8" t="s">
        <v>5713</v>
      </c>
      <c r="L511" s="14">
        <v>247</v>
      </c>
      <c r="M511" s="14" t="s">
        <v>6284</v>
      </c>
      <c r="N511" s="14"/>
      <c r="O511" s="110" t="s">
        <v>663</v>
      </c>
      <c r="P511" s="4"/>
      <c r="R511" s="8" t="s">
        <v>652</v>
      </c>
      <c r="S511" s="8" t="s">
        <v>656</v>
      </c>
      <c r="X511" s="25">
        <v>32.5227</v>
      </c>
      <c r="Y511" s="25">
        <v>-106.7435</v>
      </c>
      <c r="Z511" s="21">
        <v>1315</v>
      </c>
      <c r="AA511" s="8" t="s">
        <v>613</v>
      </c>
    </row>
    <row r="512" spans="1:28" s="8" customFormat="1" ht="21.75" customHeight="1" x14ac:dyDescent="0.2">
      <c r="A512" s="8" t="s">
        <v>489</v>
      </c>
      <c r="B512" s="8" t="s">
        <v>490</v>
      </c>
      <c r="C512" s="8" t="s">
        <v>466</v>
      </c>
      <c r="D512" s="8" t="s">
        <v>494</v>
      </c>
      <c r="E512" s="8" t="s">
        <v>398</v>
      </c>
      <c r="F512" s="8" t="s">
        <v>62</v>
      </c>
      <c r="G512" s="8" t="s">
        <v>519</v>
      </c>
      <c r="H512" s="3" t="s">
        <v>520</v>
      </c>
      <c r="I512" s="4">
        <v>0.95</v>
      </c>
      <c r="J512" s="8" t="s">
        <v>4367</v>
      </c>
      <c r="K512" s="8" t="s">
        <v>5713</v>
      </c>
      <c r="L512" s="14">
        <v>247</v>
      </c>
      <c r="M512" s="14" t="s">
        <v>6284</v>
      </c>
      <c r="N512" s="14"/>
      <c r="O512" s="110" t="s">
        <v>663</v>
      </c>
      <c r="P512" s="4"/>
      <c r="R512" s="8" t="s">
        <v>652</v>
      </c>
      <c r="S512" s="8" t="s">
        <v>656</v>
      </c>
      <c r="X512" s="25">
        <v>32.5227</v>
      </c>
      <c r="Y512" s="25">
        <v>-106.7435</v>
      </c>
      <c r="Z512" s="21">
        <v>1315</v>
      </c>
      <c r="AA512" s="8" t="s">
        <v>614</v>
      </c>
    </row>
    <row r="513" spans="1:28" s="8" customFormat="1" ht="21.75" customHeight="1" x14ac:dyDescent="0.2">
      <c r="A513" s="8" t="s">
        <v>489</v>
      </c>
      <c r="B513" s="8" t="s">
        <v>490</v>
      </c>
      <c r="C513" s="8" t="s">
        <v>466</v>
      </c>
      <c r="D513" s="8" t="s">
        <v>495</v>
      </c>
      <c r="E513" s="8" t="s">
        <v>398</v>
      </c>
      <c r="F513" s="8" t="s">
        <v>217</v>
      </c>
      <c r="G513" s="8" t="s">
        <v>599</v>
      </c>
      <c r="H513" s="3" t="s">
        <v>600</v>
      </c>
      <c r="I513" s="4">
        <v>1</v>
      </c>
      <c r="J513" s="8" t="s">
        <v>4367</v>
      </c>
      <c r="K513" s="8" t="s">
        <v>5713</v>
      </c>
      <c r="L513" s="14">
        <v>247</v>
      </c>
      <c r="M513" s="14" t="s">
        <v>6284</v>
      </c>
      <c r="N513" s="14"/>
      <c r="O513" s="110" t="s">
        <v>663</v>
      </c>
      <c r="P513" s="4"/>
      <c r="R513" s="8" t="s">
        <v>652</v>
      </c>
      <c r="S513" s="8" t="s">
        <v>656</v>
      </c>
      <c r="T513" s="8" t="s">
        <v>662</v>
      </c>
      <c r="X513" s="25">
        <v>32.5244</v>
      </c>
      <c r="Y513" s="25">
        <v>-106.7488</v>
      </c>
      <c r="Z513" s="21">
        <v>1316</v>
      </c>
      <c r="AA513" s="8" t="s">
        <v>692</v>
      </c>
      <c r="AB513" s="8" t="s">
        <v>661</v>
      </c>
    </row>
    <row r="514" spans="1:28" s="8" customFormat="1" ht="21.75" customHeight="1" x14ac:dyDescent="0.2">
      <c r="A514" s="8" t="s">
        <v>489</v>
      </c>
      <c r="B514" s="8" t="s">
        <v>490</v>
      </c>
      <c r="C514" s="8" t="s">
        <v>466</v>
      </c>
      <c r="D514" s="8" t="s">
        <v>495</v>
      </c>
      <c r="E514" s="8" t="s">
        <v>398</v>
      </c>
      <c r="F514" s="8" t="s">
        <v>217</v>
      </c>
      <c r="G514" s="8" t="s">
        <v>521</v>
      </c>
      <c r="H514" s="3" t="s">
        <v>522</v>
      </c>
      <c r="I514" s="4">
        <v>0.7</v>
      </c>
      <c r="J514" s="8" t="s">
        <v>4367</v>
      </c>
      <c r="K514" s="8" t="s">
        <v>5713</v>
      </c>
      <c r="L514" s="14">
        <v>247</v>
      </c>
      <c r="M514" s="14" t="s">
        <v>6284</v>
      </c>
      <c r="N514" s="14"/>
      <c r="O514" s="110" t="s">
        <v>663</v>
      </c>
      <c r="P514" s="4"/>
      <c r="R514" s="8" t="s">
        <v>652</v>
      </c>
      <c r="S514" s="8" t="s">
        <v>656</v>
      </c>
      <c r="T514" s="8" t="s">
        <v>662</v>
      </c>
      <c r="X514" s="25">
        <v>32.5244</v>
      </c>
      <c r="Y514" s="25">
        <v>-106.7488</v>
      </c>
      <c r="Z514" s="21">
        <v>1316</v>
      </c>
      <c r="AA514" s="8" t="s">
        <v>615</v>
      </c>
      <c r="AB514" s="8" t="s">
        <v>636</v>
      </c>
    </row>
    <row r="515" spans="1:28" s="8" customFormat="1" ht="21.75" customHeight="1" x14ac:dyDescent="0.2">
      <c r="A515" s="8" t="s">
        <v>489</v>
      </c>
      <c r="B515" s="8" t="s">
        <v>490</v>
      </c>
      <c r="C515" s="8" t="s">
        <v>466</v>
      </c>
      <c r="D515" s="8" t="s">
        <v>495</v>
      </c>
      <c r="E515" s="8" t="s">
        <v>602</v>
      </c>
      <c r="F515" s="8" t="s">
        <v>214</v>
      </c>
      <c r="G515" s="8" t="s">
        <v>511</v>
      </c>
      <c r="H515" s="3" t="s">
        <v>512</v>
      </c>
      <c r="I515" s="4">
        <v>3</v>
      </c>
      <c r="J515" s="8" t="s">
        <v>4367</v>
      </c>
      <c r="K515" s="8" t="s">
        <v>5713</v>
      </c>
      <c r="L515" s="14">
        <v>247</v>
      </c>
      <c r="M515" s="14" t="s">
        <v>6284</v>
      </c>
      <c r="N515" s="14"/>
      <c r="O515" s="110" t="s">
        <v>663</v>
      </c>
      <c r="P515" s="4"/>
      <c r="R515" s="8" t="s">
        <v>652</v>
      </c>
      <c r="S515" s="8" t="s">
        <v>656</v>
      </c>
      <c r="T515" s="8" t="s">
        <v>662</v>
      </c>
      <c r="X515" s="25">
        <v>32.5244</v>
      </c>
      <c r="Y515" s="25">
        <v>-106.7488</v>
      </c>
      <c r="Z515" s="21">
        <v>1316</v>
      </c>
      <c r="AA515" s="8" t="s">
        <v>616</v>
      </c>
    </row>
    <row r="516" spans="1:28" s="8" customFormat="1" ht="21.75" customHeight="1" x14ac:dyDescent="0.2">
      <c r="A516" s="8" t="s">
        <v>489</v>
      </c>
      <c r="B516" s="8" t="s">
        <v>490</v>
      </c>
      <c r="C516" s="8" t="s">
        <v>466</v>
      </c>
      <c r="D516" s="8" t="s">
        <v>496</v>
      </c>
      <c r="E516" s="8" t="s">
        <v>602</v>
      </c>
      <c r="F516" s="8" t="s">
        <v>214</v>
      </c>
      <c r="G516" s="8" t="s">
        <v>511</v>
      </c>
      <c r="H516" s="3" t="s">
        <v>512</v>
      </c>
      <c r="I516" s="4">
        <v>5.5</v>
      </c>
      <c r="J516" s="8" t="s">
        <v>4367</v>
      </c>
      <c r="K516" s="8" t="s">
        <v>5713</v>
      </c>
      <c r="L516" s="14">
        <v>247</v>
      </c>
      <c r="M516" s="14" t="s">
        <v>6284</v>
      </c>
      <c r="N516" s="14"/>
      <c r="O516" s="110" t="s">
        <v>663</v>
      </c>
      <c r="P516" s="4"/>
      <c r="R516" s="8" t="s">
        <v>652</v>
      </c>
      <c r="S516" s="8" t="s">
        <v>656</v>
      </c>
      <c r="T516" s="8" t="s">
        <v>664</v>
      </c>
      <c r="X516" s="25">
        <v>32.527999999999999</v>
      </c>
      <c r="Y516" s="25">
        <v>-106.75020000000001</v>
      </c>
      <c r="Z516" s="21">
        <v>1316</v>
      </c>
      <c r="AA516" s="8" t="s">
        <v>715</v>
      </c>
      <c r="AB516" s="8" t="s">
        <v>661</v>
      </c>
    </row>
    <row r="517" spans="1:28" s="8" customFormat="1" ht="21.75" customHeight="1" x14ac:dyDescent="0.2">
      <c r="A517" s="8" t="s">
        <v>489</v>
      </c>
      <c r="B517" s="8" t="s">
        <v>490</v>
      </c>
      <c r="C517" s="8" t="s">
        <v>466</v>
      </c>
      <c r="D517" s="8" t="s">
        <v>496</v>
      </c>
      <c r="E517" s="8" t="s">
        <v>398</v>
      </c>
      <c r="F517" s="8" t="s">
        <v>62</v>
      </c>
      <c r="G517" s="8" t="s">
        <v>523</v>
      </c>
      <c r="H517" s="3" t="s">
        <v>524</v>
      </c>
      <c r="I517" s="4">
        <v>1</v>
      </c>
      <c r="J517" s="8" t="s">
        <v>4367</v>
      </c>
      <c r="K517" s="8" t="s">
        <v>5713</v>
      </c>
      <c r="L517" s="14">
        <v>247</v>
      </c>
      <c r="M517" s="14" t="s">
        <v>6284</v>
      </c>
      <c r="N517" s="14"/>
      <c r="O517" s="110" t="s">
        <v>663</v>
      </c>
      <c r="P517" s="4"/>
      <c r="R517" s="8" t="s">
        <v>652</v>
      </c>
      <c r="S517" s="8" t="s">
        <v>656</v>
      </c>
      <c r="T517" s="8" t="s">
        <v>664</v>
      </c>
      <c r="X517" s="25">
        <v>32.527999999999999</v>
      </c>
      <c r="Y517" s="25">
        <v>-106.75020000000001</v>
      </c>
      <c r="Z517" s="21">
        <v>1316</v>
      </c>
      <c r="AA517" s="8" t="s">
        <v>617</v>
      </c>
    </row>
    <row r="518" spans="1:28" s="8" customFormat="1" ht="21.75" customHeight="1" x14ac:dyDescent="0.2">
      <c r="A518" s="8" t="s">
        <v>489</v>
      </c>
      <c r="B518" s="8" t="s">
        <v>490</v>
      </c>
      <c r="C518" s="8" t="s">
        <v>466</v>
      </c>
      <c r="D518" s="8" t="s">
        <v>496</v>
      </c>
      <c r="E518" s="8" t="s">
        <v>398</v>
      </c>
      <c r="F518" s="8" t="s">
        <v>62</v>
      </c>
      <c r="G518" s="8" t="s">
        <v>525</v>
      </c>
      <c r="H518" s="3" t="s">
        <v>526</v>
      </c>
      <c r="I518" s="4">
        <v>1.1000000000000001</v>
      </c>
      <c r="J518" s="8" t="s">
        <v>4367</v>
      </c>
      <c r="K518" s="8" t="s">
        <v>5713</v>
      </c>
      <c r="L518" s="14">
        <v>247</v>
      </c>
      <c r="M518" s="14" t="s">
        <v>6284</v>
      </c>
      <c r="N518" s="14"/>
      <c r="O518" s="110" t="s">
        <v>663</v>
      </c>
      <c r="P518" s="4"/>
      <c r="R518" s="8" t="s">
        <v>652</v>
      </c>
      <c r="S518" s="8" t="s">
        <v>656</v>
      </c>
      <c r="T518" s="8" t="s">
        <v>664</v>
      </c>
      <c r="X518" s="25">
        <v>32.527999999999999</v>
      </c>
      <c r="Y518" s="25">
        <v>-106.75020000000001</v>
      </c>
      <c r="Z518" s="21">
        <v>1316</v>
      </c>
      <c r="AA518" s="8" t="s">
        <v>618</v>
      </c>
    </row>
    <row r="519" spans="1:28" s="8" customFormat="1" ht="21.75" customHeight="1" x14ac:dyDescent="0.2">
      <c r="A519" s="8" t="s">
        <v>489</v>
      </c>
      <c r="B519" s="8" t="s">
        <v>490</v>
      </c>
      <c r="C519" s="8" t="s">
        <v>466</v>
      </c>
      <c r="D519" s="8" t="s">
        <v>497</v>
      </c>
      <c r="E519" s="8" t="s">
        <v>604</v>
      </c>
      <c r="F519" s="8" t="s">
        <v>214</v>
      </c>
      <c r="G519" s="8" t="s">
        <v>527</v>
      </c>
      <c r="H519" s="3" t="s">
        <v>603</v>
      </c>
      <c r="I519" s="4">
        <v>6</v>
      </c>
      <c r="J519" s="8" t="s">
        <v>4367</v>
      </c>
      <c r="K519" s="8" t="s">
        <v>5713</v>
      </c>
      <c r="L519" s="14">
        <v>247</v>
      </c>
      <c r="M519" s="14" t="s">
        <v>6284</v>
      </c>
      <c r="N519" s="14"/>
      <c r="O519" s="110" t="s">
        <v>665</v>
      </c>
      <c r="P519" s="4"/>
      <c r="R519" s="8" t="s">
        <v>666</v>
      </c>
      <c r="X519" s="13">
        <v>32.5458</v>
      </c>
      <c r="Y519" s="13">
        <v>-106.73099999999999</v>
      </c>
      <c r="Z519" s="14">
        <v>1316</v>
      </c>
      <c r="AA519" s="8" t="s">
        <v>619</v>
      </c>
    </row>
    <row r="520" spans="1:28" s="8" customFormat="1" ht="21.75" customHeight="1" x14ac:dyDescent="0.2">
      <c r="A520" s="8" t="s">
        <v>489</v>
      </c>
      <c r="B520" s="8" t="s">
        <v>490</v>
      </c>
      <c r="C520" s="8" t="s">
        <v>466</v>
      </c>
      <c r="D520" s="8" t="s">
        <v>497</v>
      </c>
      <c r="E520" s="8" t="s">
        <v>602</v>
      </c>
      <c r="F520" s="8" t="s">
        <v>214</v>
      </c>
      <c r="G520" s="8" t="s">
        <v>511</v>
      </c>
      <c r="H520" s="3" t="s">
        <v>512</v>
      </c>
      <c r="I520" s="4">
        <v>2.2000000000000002</v>
      </c>
      <c r="J520" s="8" t="s">
        <v>4367</v>
      </c>
      <c r="K520" s="8" t="s">
        <v>5713</v>
      </c>
      <c r="L520" s="14">
        <v>247</v>
      </c>
      <c r="M520" s="14" t="s">
        <v>6284</v>
      </c>
      <c r="N520" s="14"/>
      <c r="O520" s="110" t="s">
        <v>665</v>
      </c>
      <c r="P520" s="4"/>
      <c r="R520" s="8" t="s">
        <v>666</v>
      </c>
      <c r="X520" s="13">
        <v>32.5458</v>
      </c>
      <c r="Y520" s="13">
        <v>-106.73099999999999</v>
      </c>
      <c r="Z520" s="14">
        <v>1316</v>
      </c>
      <c r="AA520" s="8" t="s">
        <v>620</v>
      </c>
    </row>
    <row r="521" spans="1:28" s="8" customFormat="1" ht="21.75" customHeight="1" x14ac:dyDescent="0.2">
      <c r="A521" s="8" t="s">
        <v>489</v>
      </c>
      <c r="B521" s="8" t="s">
        <v>490</v>
      </c>
      <c r="C521" s="8" t="s">
        <v>466</v>
      </c>
      <c r="D521" s="8" t="s">
        <v>497</v>
      </c>
      <c r="E521" s="8" t="s">
        <v>398</v>
      </c>
      <c r="F521" s="8" t="s">
        <v>217</v>
      </c>
      <c r="G521" s="8" t="s">
        <v>529</v>
      </c>
      <c r="H521" s="3" t="s">
        <v>530</v>
      </c>
      <c r="I521" s="4">
        <v>1.6</v>
      </c>
      <c r="J521" s="8" t="s">
        <v>4367</v>
      </c>
      <c r="K521" s="8" t="s">
        <v>5713</v>
      </c>
      <c r="L521" s="14">
        <v>247</v>
      </c>
      <c r="M521" s="14" t="s">
        <v>6284</v>
      </c>
      <c r="N521" s="14"/>
      <c r="O521" s="110" t="s">
        <v>665</v>
      </c>
      <c r="P521" s="4"/>
      <c r="R521" s="8" t="s">
        <v>666</v>
      </c>
      <c r="X521" s="13">
        <v>32.5458</v>
      </c>
      <c r="Y521" s="13">
        <v>-106.73099999999999</v>
      </c>
      <c r="Z521" s="14">
        <v>1316</v>
      </c>
      <c r="AA521" s="8" t="s">
        <v>694</v>
      </c>
    </row>
    <row r="522" spans="1:28" s="8" customFormat="1" ht="21.75" customHeight="1" x14ac:dyDescent="0.2">
      <c r="A522" s="8" t="s">
        <v>489</v>
      </c>
      <c r="B522" s="8" t="s">
        <v>490</v>
      </c>
      <c r="C522" s="8" t="s">
        <v>466</v>
      </c>
      <c r="D522" s="8" t="s">
        <v>497</v>
      </c>
      <c r="E522" s="8" t="s">
        <v>605</v>
      </c>
      <c r="F522" s="8" t="s">
        <v>62</v>
      </c>
      <c r="G522" s="8" t="s">
        <v>531</v>
      </c>
      <c r="H522" s="3" t="s">
        <v>532</v>
      </c>
      <c r="I522" s="4">
        <v>1.25</v>
      </c>
      <c r="J522" s="8" t="s">
        <v>4367</v>
      </c>
      <c r="K522" s="8" t="s">
        <v>5713</v>
      </c>
      <c r="L522" s="14">
        <v>247</v>
      </c>
      <c r="M522" s="14" t="s">
        <v>6284</v>
      </c>
      <c r="N522" s="14"/>
      <c r="O522" s="110" t="s">
        <v>665</v>
      </c>
      <c r="P522" s="4"/>
      <c r="R522" s="8" t="s">
        <v>666</v>
      </c>
      <c r="X522" s="13">
        <v>32.5458</v>
      </c>
      <c r="Y522" s="13">
        <v>-106.73099999999999</v>
      </c>
      <c r="Z522" s="14">
        <v>1316</v>
      </c>
      <c r="AA522" s="8" t="s">
        <v>693</v>
      </c>
    </row>
    <row r="523" spans="1:28" s="8" customFormat="1" ht="21.75" customHeight="1" x14ac:dyDescent="0.2">
      <c r="A523" s="8" t="s">
        <v>489</v>
      </c>
      <c r="B523" s="8" t="s">
        <v>490</v>
      </c>
      <c r="C523" s="8" t="s">
        <v>466</v>
      </c>
      <c r="D523" s="8" t="s">
        <v>498</v>
      </c>
      <c r="E523" s="8" t="s">
        <v>604</v>
      </c>
      <c r="F523" s="8" t="s">
        <v>214</v>
      </c>
      <c r="G523" s="8" t="s">
        <v>527</v>
      </c>
      <c r="H523" s="3" t="s">
        <v>528</v>
      </c>
      <c r="I523" s="4">
        <v>3.3</v>
      </c>
      <c r="J523" s="8" t="s">
        <v>4367</v>
      </c>
      <c r="K523" s="8" t="s">
        <v>5713</v>
      </c>
      <c r="L523" s="14">
        <v>247</v>
      </c>
      <c r="M523" s="14" t="s">
        <v>6284</v>
      </c>
      <c r="N523" s="14"/>
      <c r="O523" s="110" t="s">
        <v>665</v>
      </c>
      <c r="P523" s="4"/>
      <c r="R523" s="8" t="s">
        <v>666</v>
      </c>
      <c r="X523" s="25">
        <v>32.544400000000003</v>
      </c>
      <c r="Y523" s="25">
        <v>-106.7259</v>
      </c>
      <c r="Z523" s="21">
        <v>1316</v>
      </c>
      <c r="AA523" s="8" t="s">
        <v>695</v>
      </c>
    </row>
    <row r="524" spans="1:28" s="8" customFormat="1" ht="21.75" customHeight="1" x14ac:dyDescent="0.2">
      <c r="A524" s="8" t="s">
        <v>489</v>
      </c>
      <c r="B524" s="8" t="s">
        <v>490</v>
      </c>
      <c r="C524" s="8" t="s">
        <v>466</v>
      </c>
      <c r="D524" s="8" t="s">
        <v>498</v>
      </c>
      <c r="E524" s="8" t="s">
        <v>263</v>
      </c>
      <c r="F524" s="8" t="s">
        <v>214</v>
      </c>
      <c r="G524" s="8" t="s">
        <v>533</v>
      </c>
      <c r="H524" s="3" t="s">
        <v>534</v>
      </c>
      <c r="I524" s="4">
        <v>3.5</v>
      </c>
      <c r="J524" s="8" t="s">
        <v>4367</v>
      </c>
      <c r="K524" s="8" t="s">
        <v>5713</v>
      </c>
      <c r="L524" s="14">
        <v>247</v>
      </c>
      <c r="M524" s="14" t="s">
        <v>6284</v>
      </c>
      <c r="N524" s="14"/>
      <c r="O524" s="110" t="s">
        <v>665</v>
      </c>
      <c r="P524" s="4"/>
      <c r="R524" s="8" t="s">
        <v>666</v>
      </c>
      <c r="X524" s="25">
        <v>32.544400000000003</v>
      </c>
      <c r="Y524" s="25">
        <v>-106.7259</v>
      </c>
      <c r="Z524" s="21">
        <v>1316</v>
      </c>
      <c r="AA524" s="8" t="s">
        <v>621</v>
      </c>
    </row>
    <row r="525" spans="1:28" s="8" customFormat="1" ht="21.75" customHeight="1" x14ac:dyDescent="0.2">
      <c r="A525" s="8" t="s">
        <v>489</v>
      </c>
      <c r="B525" s="8" t="s">
        <v>490</v>
      </c>
      <c r="C525" s="8" t="s">
        <v>466</v>
      </c>
      <c r="D525" s="8" t="s">
        <v>498</v>
      </c>
      <c r="E525" s="8" t="s">
        <v>606</v>
      </c>
      <c r="F525" s="8" t="s">
        <v>525</v>
      </c>
      <c r="G525" s="8" t="s">
        <v>525</v>
      </c>
      <c r="H525" s="3" t="s">
        <v>526</v>
      </c>
      <c r="I525" s="4">
        <v>0.96</v>
      </c>
      <c r="J525" s="8" t="s">
        <v>4367</v>
      </c>
      <c r="K525" s="8" t="s">
        <v>5713</v>
      </c>
      <c r="L525" s="14">
        <v>247</v>
      </c>
      <c r="M525" s="14" t="s">
        <v>6284</v>
      </c>
      <c r="N525" s="14"/>
      <c r="O525" s="110" t="s">
        <v>665</v>
      </c>
      <c r="P525" s="4"/>
      <c r="R525" s="8" t="s">
        <v>666</v>
      </c>
      <c r="X525" s="25">
        <v>32.544400000000003</v>
      </c>
      <c r="Y525" s="25">
        <v>-106.7259</v>
      </c>
      <c r="Z525" s="21">
        <v>1316</v>
      </c>
      <c r="AA525" s="8" t="s">
        <v>622</v>
      </c>
    </row>
    <row r="526" spans="1:28" s="8" customFormat="1" ht="21.75" customHeight="1" x14ac:dyDescent="0.2">
      <c r="A526" s="8" t="s">
        <v>489</v>
      </c>
      <c r="B526" s="8" t="s">
        <v>490</v>
      </c>
      <c r="C526" s="8" t="s">
        <v>466</v>
      </c>
      <c r="D526" s="8" t="s">
        <v>499</v>
      </c>
      <c r="E526" s="8" t="s">
        <v>280</v>
      </c>
      <c r="F526" s="8" t="s">
        <v>212</v>
      </c>
      <c r="G526" s="8" t="s">
        <v>535</v>
      </c>
      <c r="H526" s="3" t="s">
        <v>536</v>
      </c>
      <c r="I526" s="4">
        <v>3</v>
      </c>
      <c r="J526" s="8" t="s">
        <v>4367</v>
      </c>
      <c r="K526" s="8" t="s">
        <v>5713</v>
      </c>
      <c r="L526" s="14">
        <v>247</v>
      </c>
      <c r="M526" s="14" t="s">
        <v>6284</v>
      </c>
      <c r="N526" s="14"/>
      <c r="O526" s="110" t="s">
        <v>667</v>
      </c>
      <c r="P526" s="4"/>
      <c r="R526" s="8" t="s">
        <v>668</v>
      </c>
      <c r="S526" s="8" t="s">
        <v>609</v>
      </c>
      <c r="X526" s="25">
        <v>32.674500000000002</v>
      </c>
      <c r="Y526" s="25">
        <v>-106.8661</v>
      </c>
      <c r="Z526" s="21">
        <v>1337</v>
      </c>
      <c r="AA526" s="8" t="s">
        <v>623</v>
      </c>
    </row>
    <row r="527" spans="1:28" s="8" customFormat="1" ht="21.75" customHeight="1" x14ac:dyDescent="0.2">
      <c r="A527" s="8" t="s">
        <v>489</v>
      </c>
      <c r="B527" s="8" t="s">
        <v>490</v>
      </c>
      <c r="C527" s="8" t="s">
        <v>466</v>
      </c>
      <c r="D527" s="8" t="s">
        <v>500</v>
      </c>
      <c r="E527" s="8" t="s">
        <v>280</v>
      </c>
      <c r="F527" s="8" t="s">
        <v>212</v>
      </c>
      <c r="G527" s="8" t="s">
        <v>535</v>
      </c>
      <c r="H527" s="3" t="s">
        <v>536</v>
      </c>
      <c r="I527" s="4">
        <v>5.2</v>
      </c>
      <c r="J527" s="8" t="s">
        <v>4367</v>
      </c>
      <c r="K527" s="8" t="s">
        <v>5713</v>
      </c>
      <c r="L527" s="14">
        <v>247</v>
      </c>
      <c r="M527" s="14" t="s">
        <v>6284</v>
      </c>
      <c r="N527" s="14"/>
      <c r="O527" s="110"/>
      <c r="P527" s="4"/>
      <c r="R527" s="8" t="s">
        <v>669</v>
      </c>
      <c r="S527" s="8" t="s">
        <v>656</v>
      </c>
      <c r="T527" s="8" t="s">
        <v>670</v>
      </c>
      <c r="X527" s="25">
        <v>32.606000000000002</v>
      </c>
      <c r="Y527" s="25">
        <v>-106.8411</v>
      </c>
      <c r="Z527" s="21">
        <v>1326</v>
      </c>
      <c r="AA527" s="8" t="s">
        <v>716</v>
      </c>
    </row>
    <row r="528" spans="1:28" s="8" customFormat="1" ht="21.75" customHeight="1" x14ac:dyDescent="0.2">
      <c r="A528" s="8" t="s">
        <v>489</v>
      </c>
      <c r="B528" s="8" t="s">
        <v>490</v>
      </c>
      <c r="C528" s="8" t="s">
        <v>466</v>
      </c>
      <c r="D528" s="8" t="s">
        <v>500</v>
      </c>
      <c r="E528" s="8" t="s">
        <v>398</v>
      </c>
      <c r="F528" s="8" t="s">
        <v>217</v>
      </c>
      <c r="G528" s="8" t="s">
        <v>537</v>
      </c>
      <c r="H528" s="3" t="s">
        <v>538</v>
      </c>
      <c r="I528" s="4">
        <v>2.4</v>
      </c>
      <c r="J528" s="8" t="s">
        <v>4367</v>
      </c>
      <c r="K528" s="8" t="s">
        <v>5713</v>
      </c>
      <c r="L528" s="14">
        <v>247</v>
      </c>
      <c r="M528" s="14" t="s">
        <v>6284</v>
      </c>
      <c r="N528" s="14"/>
      <c r="O528" s="110"/>
      <c r="P528" s="4"/>
      <c r="R528" s="8" t="s">
        <v>669</v>
      </c>
      <c r="S528" s="8" t="s">
        <v>656</v>
      </c>
      <c r="T528" s="8" t="s">
        <v>670</v>
      </c>
      <c r="X528" s="25">
        <v>32.606000000000002</v>
      </c>
      <c r="Y528" s="25">
        <v>-106.8411</v>
      </c>
      <c r="Z528" s="21">
        <v>1326</v>
      </c>
      <c r="AA528" s="8" t="s">
        <v>624</v>
      </c>
    </row>
    <row r="529" spans="1:28" s="8" customFormat="1" ht="21.75" customHeight="1" x14ac:dyDescent="0.2">
      <c r="A529" s="8" t="s">
        <v>489</v>
      </c>
      <c r="B529" s="8" t="s">
        <v>490</v>
      </c>
      <c r="C529" s="8" t="s">
        <v>466</v>
      </c>
      <c r="D529" s="8" t="s">
        <v>500</v>
      </c>
      <c r="E529" s="8" t="s">
        <v>398</v>
      </c>
      <c r="F529" s="8" t="s">
        <v>217</v>
      </c>
      <c r="G529" s="8" t="s">
        <v>539</v>
      </c>
      <c r="H529" s="3" t="s">
        <v>540</v>
      </c>
      <c r="I529" s="4">
        <v>0.9</v>
      </c>
      <c r="J529" s="8" t="s">
        <v>4367</v>
      </c>
      <c r="K529" s="8" t="s">
        <v>5713</v>
      </c>
      <c r="L529" s="14">
        <v>247</v>
      </c>
      <c r="M529" s="14" t="s">
        <v>6284</v>
      </c>
      <c r="N529" s="14"/>
      <c r="O529" s="110"/>
      <c r="P529" s="4"/>
      <c r="R529" s="8" t="s">
        <v>669</v>
      </c>
      <c r="S529" s="8" t="s">
        <v>656</v>
      </c>
      <c r="T529" s="8" t="s">
        <v>670</v>
      </c>
      <c r="X529" s="25">
        <v>32.606000000000002</v>
      </c>
      <c r="Y529" s="25">
        <v>-106.8411</v>
      </c>
      <c r="Z529" s="21">
        <v>1326</v>
      </c>
      <c r="AA529" s="8" t="s">
        <v>625</v>
      </c>
    </row>
    <row r="530" spans="1:28" s="8" customFormat="1" ht="21.75" customHeight="1" x14ac:dyDescent="0.2">
      <c r="A530" s="8" t="s">
        <v>489</v>
      </c>
      <c r="B530" s="8" t="s">
        <v>490</v>
      </c>
      <c r="C530" s="8" t="s">
        <v>466</v>
      </c>
      <c r="D530" s="8" t="s">
        <v>500</v>
      </c>
      <c r="E530" s="8" t="s">
        <v>607</v>
      </c>
      <c r="F530" s="8" t="s">
        <v>62</v>
      </c>
      <c r="G530" s="8" t="s">
        <v>601</v>
      </c>
      <c r="H530" s="3" t="s">
        <v>4237</v>
      </c>
      <c r="I530" s="8">
        <v>1.05</v>
      </c>
      <c r="J530" s="8" t="s">
        <v>4367</v>
      </c>
      <c r="K530" s="8" t="s">
        <v>5713</v>
      </c>
      <c r="L530" s="14">
        <v>247</v>
      </c>
      <c r="M530" s="14" t="s">
        <v>6284</v>
      </c>
      <c r="N530" s="14"/>
      <c r="O530" s="110"/>
      <c r="P530" s="4"/>
      <c r="R530" s="8" t="s">
        <v>669</v>
      </c>
      <c r="S530" s="8" t="s">
        <v>656</v>
      </c>
      <c r="T530" s="8" t="s">
        <v>670</v>
      </c>
      <c r="X530" s="25">
        <v>32.606000000000002</v>
      </c>
      <c r="Y530" s="25">
        <v>-106.8411</v>
      </c>
      <c r="Z530" s="21">
        <v>1326</v>
      </c>
      <c r="AA530" s="8" t="s">
        <v>626</v>
      </c>
      <c r="AB530" s="8" t="s">
        <v>637</v>
      </c>
    </row>
    <row r="531" spans="1:28" s="8" customFormat="1" ht="21.75" customHeight="1" x14ac:dyDescent="0.2">
      <c r="A531" s="8" t="s">
        <v>489</v>
      </c>
      <c r="B531" s="8" t="s">
        <v>490</v>
      </c>
      <c r="C531" s="8" t="s">
        <v>466</v>
      </c>
      <c r="D531" s="8" t="s">
        <v>500</v>
      </c>
      <c r="E531" s="8" t="s">
        <v>398</v>
      </c>
      <c r="F531" s="8" t="s">
        <v>217</v>
      </c>
      <c r="G531" s="8" t="s">
        <v>541</v>
      </c>
      <c r="H531" s="3" t="s">
        <v>542</v>
      </c>
      <c r="I531" s="8">
        <v>0.83</v>
      </c>
      <c r="J531" s="8" t="s">
        <v>4367</v>
      </c>
      <c r="K531" s="8" t="s">
        <v>5713</v>
      </c>
      <c r="L531" s="14">
        <v>247</v>
      </c>
      <c r="M531" s="14" t="s">
        <v>6284</v>
      </c>
      <c r="N531" s="14"/>
      <c r="O531" s="110"/>
      <c r="P531" s="4"/>
      <c r="R531" s="8" t="s">
        <v>669</v>
      </c>
      <c r="S531" s="8" t="s">
        <v>656</v>
      </c>
      <c r="T531" s="8" t="s">
        <v>670</v>
      </c>
      <c r="X531" s="25">
        <v>32.606000000000002</v>
      </c>
      <c r="Y531" s="25">
        <v>-106.8411</v>
      </c>
      <c r="Z531" s="21">
        <v>1326</v>
      </c>
      <c r="AA531" s="8" t="s">
        <v>627</v>
      </c>
      <c r="AB531" s="8" t="s">
        <v>638</v>
      </c>
    </row>
    <row r="532" spans="1:28" s="8" customFormat="1" ht="21.75" customHeight="1" x14ac:dyDescent="0.2">
      <c r="A532" s="8" t="s">
        <v>489</v>
      </c>
      <c r="B532" s="8" t="s">
        <v>490</v>
      </c>
      <c r="C532" s="8" t="s">
        <v>466</v>
      </c>
      <c r="D532" s="8" t="s">
        <v>500</v>
      </c>
      <c r="E532" s="8" t="s">
        <v>398</v>
      </c>
      <c r="F532" s="8" t="s">
        <v>217</v>
      </c>
      <c r="G532" s="8" t="s">
        <v>543</v>
      </c>
      <c r="H532" s="3" t="s">
        <v>544</v>
      </c>
      <c r="I532" s="8">
        <v>0.86</v>
      </c>
      <c r="J532" s="8" t="s">
        <v>4367</v>
      </c>
      <c r="K532" s="8" t="s">
        <v>5713</v>
      </c>
      <c r="L532" s="14">
        <v>247</v>
      </c>
      <c r="M532" s="14" t="s">
        <v>6284</v>
      </c>
      <c r="N532" s="14"/>
      <c r="O532" s="110"/>
      <c r="P532" s="4"/>
      <c r="R532" s="8" t="s">
        <v>669</v>
      </c>
      <c r="S532" s="8" t="s">
        <v>656</v>
      </c>
      <c r="T532" s="8" t="s">
        <v>670</v>
      </c>
      <c r="X532" s="25">
        <v>32.606000000000002</v>
      </c>
      <c r="Y532" s="25">
        <v>-106.8411</v>
      </c>
      <c r="Z532" s="21">
        <v>1326</v>
      </c>
      <c r="AA532" s="8" t="s">
        <v>717</v>
      </c>
      <c r="AB532" s="8" t="s">
        <v>638</v>
      </c>
    </row>
    <row r="533" spans="1:28" s="8" customFormat="1" ht="21.75" customHeight="1" x14ac:dyDescent="0.2">
      <c r="A533" s="8" t="s">
        <v>489</v>
      </c>
      <c r="B533" s="8" t="s">
        <v>490</v>
      </c>
      <c r="C533" s="8" t="s">
        <v>466</v>
      </c>
      <c r="D533" s="8" t="s">
        <v>501</v>
      </c>
      <c r="E533" s="8" t="s">
        <v>263</v>
      </c>
      <c r="F533" s="8" t="s">
        <v>214</v>
      </c>
      <c r="G533" s="19" t="s">
        <v>533</v>
      </c>
      <c r="H533" s="11" t="s">
        <v>534</v>
      </c>
      <c r="I533" s="12">
        <v>3.5</v>
      </c>
      <c r="J533" s="8" t="s">
        <v>4367</v>
      </c>
      <c r="K533" s="8" t="s">
        <v>5713</v>
      </c>
      <c r="L533" s="14">
        <v>247</v>
      </c>
      <c r="M533" s="14" t="s">
        <v>6284</v>
      </c>
      <c r="N533" s="14"/>
      <c r="O533" s="110"/>
      <c r="P533" s="4"/>
      <c r="R533" s="8" t="s">
        <v>669</v>
      </c>
      <c r="S533" s="8" t="s">
        <v>656</v>
      </c>
      <c r="T533" s="8" t="s">
        <v>670</v>
      </c>
      <c r="X533" s="25">
        <v>32.600099999999998</v>
      </c>
      <c r="Y533" s="25">
        <v>-106.8507</v>
      </c>
      <c r="Z533" s="21">
        <v>1327</v>
      </c>
      <c r="AA533" s="19" t="s">
        <v>718</v>
      </c>
    </row>
    <row r="534" spans="1:28" s="8" customFormat="1" ht="21.75" customHeight="1" x14ac:dyDescent="0.2">
      <c r="A534" s="8" t="s">
        <v>489</v>
      </c>
      <c r="B534" s="8" t="s">
        <v>490</v>
      </c>
      <c r="C534" s="8" t="s">
        <v>466</v>
      </c>
      <c r="D534" s="8" t="s">
        <v>501</v>
      </c>
      <c r="E534" s="8" t="s">
        <v>275</v>
      </c>
      <c r="F534" s="8" t="s">
        <v>217</v>
      </c>
      <c r="G534" s="8" t="s">
        <v>545</v>
      </c>
      <c r="H534" s="3" t="s">
        <v>546</v>
      </c>
      <c r="I534" s="4">
        <v>0.8</v>
      </c>
      <c r="J534" s="8" t="s">
        <v>4367</v>
      </c>
      <c r="K534" s="8" t="s">
        <v>5713</v>
      </c>
      <c r="L534" s="14">
        <v>247</v>
      </c>
      <c r="M534" s="14" t="s">
        <v>6284</v>
      </c>
      <c r="N534" s="14"/>
      <c r="O534" s="110"/>
      <c r="P534" s="4"/>
      <c r="R534" s="8" t="s">
        <v>669</v>
      </c>
      <c r="S534" s="8" t="s">
        <v>656</v>
      </c>
      <c r="T534" s="8" t="s">
        <v>670</v>
      </c>
      <c r="X534" s="25">
        <v>32.600099999999998</v>
      </c>
      <c r="Y534" s="25">
        <v>-106.8507</v>
      </c>
      <c r="Z534" s="21">
        <v>1327</v>
      </c>
      <c r="AA534" s="19" t="s">
        <v>719</v>
      </c>
      <c r="AB534" s="8" t="s">
        <v>639</v>
      </c>
    </row>
    <row r="535" spans="1:28" s="8" customFormat="1" ht="21.75" customHeight="1" x14ac:dyDescent="0.2">
      <c r="A535" s="8" t="s">
        <v>489</v>
      </c>
      <c r="B535" s="8" t="s">
        <v>490</v>
      </c>
      <c r="C535" s="8" t="s">
        <v>466</v>
      </c>
      <c r="D535" s="8" t="s">
        <v>501</v>
      </c>
      <c r="E535" s="8" t="s">
        <v>275</v>
      </c>
      <c r="F535" s="8" t="s">
        <v>217</v>
      </c>
      <c r="G535" s="8" t="s">
        <v>547</v>
      </c>
      <c r="H535" s="3" t="s">
        <v>548</v>
      </c>
      <c r="I535" s="4">
        <v>0.6</v>
      </c>
      <c r="J535" s="8" t="s">
        <v>4367</v>
      </c>
      <c r="K535" s="8" t="s">
        <v>5713</v>
      </c>
      <c r="L535" s="14">
        <v>247</v>
      </c>
      <c r="M535" s="14" t="s">
        <v>6284</v>
      </c>
      <c r="N535" s="14"/>
      <c r="O535" s="110"/>
      <c r="P535" s="4"/>
      <c r="R535" s="8" t="s">
        <v>669</v>
      </c>
      <c r="S535" s="8" t="s">
        <v>656</v>
      </c>
      <c r="T535" s="8" t="s">
        <v>670</v>
      </c>
      <c r="X535" s="25">
        <v>32.600099999999998</v>
      </c>
      <c r="Y535" s="25">
        <v>-106.8507</v>
      </c>
      <c r="Z535" s="21">
        <v>1327</v>
      </c>
      <c r="AA535" s="19" t="s">
        <v>628</v>
      </c>
      <c r="AB535" s="8" t="s">
        <v>639</v>
      </c>
    </row>
    <row r="536" spans="1:28" s="8" customFormat="1" ht="21.75" customHeight="1" x14ac:dyDescent="0.2">
      <c r="A536" s="8" t="s">
        <v>489</v>
      </c>
      <c r="B536" s="8" t="s">
        <v>490</v>
      </c>
      <c r="C536" s="8" t="s">
        <v>466</v>
      </c>
      <c r="D536" s="8" t="s">
        <v>502</v>
      </c>
      <c r="E536" s="8" t="s">
        <v>263</v>
      </c>
      <c r="F536" s="8" t="s">
        <v>214</v>
      </c>
      <c r="G536" s="8" t="s">
        <v>549</v>
      </c>
      <c r="H536" s="3" t="s">
        <v>550</v>
      </c>
      <c r="I536" s="4">
        <v>0.6</v>
      </c>
      <c r="J536" s="8" t="s">
        <v>4367</v>
      </c>
      <c r="K536" s="8" t="s">
        <v>5713</v>
      </c>
      <c r="L536" s="14">
        <v>247</v>
      </c>
      <c r="M536" s="14" t="s">
        <v>6284</v>
      </c>
      <c r="N536" s="14"/>
      <c r="O536" s="110"/>
      <c r="P536" s="4"/>
      <c r="R536" s="8" t="s">
        <v>669</v>
      </c>
      <c r="S536" s="8" t="s">
        <v>656</v>
      </c>
      <c r="T536" s="8" t="s">
        <v>671</v>
      </c>
      <c r="X536" s="25">
        <v>32.6</v>
      </c>
      <c r="Y536" s="25">
        <v>-106.84350000000001</v>
      </c>
      <c r="Z536" s="21">
        <v>1329</v>
      </c>
      <c r="AA536" s="8" t="s">
        <v>720</v>
      </c>
      <c r="AB536" s="8" t="s">
        <v>640</v>
      </c>
    </row>
    <row r="537" spans="1:28" s="8" customFormat="1" ht="21.75" customHeight="1" x14ac:dyDescent="0.2">
      <c r="A537" s="8" t="s">
        <v>489</v>
      </c>
      <c r="B537" s="8" t="s">
        <v>490</v>
      </c>
      <c r="C537" s="8" t="s">
        <v>466</v>
      </c>
      <c r="D537" s="8" t="s">
        <v>502</v>
      </c>
      <c r="E537" s="8" t="s">
        <v>398</v>
      </c>
      <c r="F537" s="8" t="s">
        <v>217</v>
      </c>
      <c r="G537" s="8" t="s">
        <v>551</v>
      </c>
      <c r="H537" s="3" t="s">
        <v>552</v>
      </c>
      <c r="I537" s="4">
        <v>2.1</v>
      </c>
      <c r="J537" s="8" t="s">
        <v>4367</v>
      </c>
      <c r="K537" s="8" t="s">
        <v>5713</v>
      </c>
      <c r="L537" s="14">
        <v>247</v>
      </c>
      <c r="M537" s="14" t="s">
        <v>6284</v>
      </c>
      <c r="N537" s="14"/>
      <c r="O537" s="110"/>
      <c r="P537" s="4"/>
      <c r="R537" s="8" t="s">
        <v>669</v>
      </c>
      <c r="S537" s="8" t="s">
        <v>656</v>
      </c>
      <c r="T537" s="8" t="s">
        <v>671</v>
      </c>
      <c r="X537" s="25">
        <v>32.6</v>
      </c>
      <c r="Y537" s="25">
        <v>-106.84350000000001</v>
      </c>
      <c r="Z537" s="21">
        <v>1329</v>
      </c>
      <c r="AA537" s="8" t="s">
        <v>713</v>
      </c>
      <c r="AB537" s="8" t="s">
        <v>641</v>
      </c>
    </row>
    <row r="538" spans="1:28" s="8" customFormat="1" ht="21.75" customHeight="1" x14ac:dyDescent="0.2">
      <c r="A538" s="8" t="s">
        <v>489</v>
      </c>
      <c r="B538" s="8" t="s">
        <v>490</v>
      </c>
      <c r="C538" s="8" t="s">
        <v>466</v>
      </c>
      <c r="D538" s="8" t="s">
        <v>502</v>
      </c>
      <c r="E538" s="8" t="s">
        <v>398</v>
      </c>
      <c r="F538" s="8" t="s">
        <v>217</v>
      </c>
      <c r="G538" s="8" t="s">
        <v>553</v>
      </c>
      <c r="H538" s="3" t="s">
        <v>554</v>
      </c>
      <c r="I538" s="4">
        <v>1.95</v>
      </c>
      <c r="J538" s="8" t="s">
        <v>4367</v>
      </c>
      <c r="K538" s="8" t="s">
        <v>5713</v>
      </c>
      <c r="L538" s="14">
        <v>247</v>
      </c>
      <c r="M538" s="14" t="s">
        <v>6284</v>
      </c>
      <c r="N538" s="14"/>
      <c r="O538" s="110"/>
      <c r="P538" s="4"/>
      <c r="R538" s="8" t="s">
        <v>669</v>
      </c>
      <c r="S538" s="8" t="s">
        <v>656</v>
      </c>
      <c r="T538" s="8" t="s">
        <v>671</v>
      </c>
      <c r="X538" s="25">
        <v>32.6</v>
      </c>
      <c r="Y538" s="25">
        <v>-106.84350000000001</v>
      </c>
      <c r="Z538" s="21">
        <v>1329</v>
      </c>
      <c r="AA538" s="8" t="s">
        <v>712</v>
      </c>
      <c r="AB538" s="8" t="s">
        <v>641</v>
      </c>
    </row>
    <row r="539" spans="1:28" s="8" customFormat="1" ht="21.75" customHeight="1" x14ac:dyDescent="0.2">
      <c r="A539" s="8" t="s">
        <v>489</v>
      </c>
      <c r="B539" s="8" t="s">
        <v>490</v>
      </c>
      <c r="C539" s="8" t="s">
        <v>466</v>
      </c>
      <c r="D539" s="8" t="s">
        <v>502</v>
      </c>
      <c r="E539" s="8" t="s">
        <v>398</v>
      </c>
      <c r="F539" s="8" t="s">
        <v>217</v>
      </c>
      <c r="G539" s="8" t="s">
        <v>555</v>
      </c>
      <c r="H539" s="3" t="s">
        <v>556</v>
      </c>
      <c r="I539" s="4">
        <v>1.3</v>
      </c>
      <c r="J539" s="8" t="s">
        <v>4367</v>
      </c>
      <c r="K539" s="8" t="s">
        <v>5713</v>
      </c>
      <c r="L539" s="14">
        <v>247</v>
      </c>
      <c r="M539" s="14" t="s">
        <v>6284</v>
      </c>
      <c r="N539" s="14"/>
      <c r="O539" s="110"/>
      <c r="P539" s="4"/>
      <c r="R539" s="8" t="s">
        <v>669</v>
      </c>
      <c r="S539" s="8" t="s">
        <v>656</v>
      </c>
      <c r="T539" s="8" t="s">
        <v>671</v>
      </c>
      <c r="X539" s="25">
        <v>32.6</v>
      </c>
      <c r="Y539" s="25">
        <v>-106.84350000000001</v>
      </c>
      <c r="Z539" s="21">
        <v>1329</v>
      </c>
      <c r="AA539" s="8" t="s">
        <v>711</v>
      </c>
      <c r="AB539" s="8" t="s">
        <v>641</v>
      </c>
    </row>
    <row r="540" spans="1:28" s="8" customFormat="1" ht="21.75" customHeight="1" x14ac:dyDescent="0.2">
      <c r="A540" s="8" t="s">
        <v>489</v>
      </c>
      <c r="B540" s="8" t="s">
        <v>490</v>
      </c>
      <c r="C540" s="8" t="s">
        <v>466</v>
      </c>
      <c r="D540" s="8" t="s">
        <v>502</v>
      </c>
      <c r="E540" s="8" t="s">
        <v>275</v>
      </c>
      <c r="F540" s="8" t="s">
        <v>217</v>
      </c>
      <c r="G540" s="8" t="s">
        <v>557</v>
      </c>
      <c r="H540" s="3" t="s">
        <v>558</v>
      </c>
      <c r="I540" s="4">
        <v>1.4</v>
      </c>
      <c r="J540" s="8" t="s">
        <v>4367</v>
      </c>
      <c r="K540" s="8" t="s">
        <v>5713</v>
      </c>
      <c r="L540" s="14">
        <v>247</v>
      </c>
      <c r="M540" s="14" t="s">
        <v>6284</v>
      </c>
      <c r="N540" s="14"/>
      <c r="O540" s="110"/>
      <c r="P540" s="4"/>
      <c r="R540" s="8" t="s">
        <v>669</v>
      </c>
      <c r="S540" s="8" t="s">
        <v>656</v>
      </c>
      <c r="T540" s="8" t="s">
        <v>671</v>
      </c>
      <c r="X540" s="25">
        <v>32.6</v>
      </c>
      <c r="Y540" s="25">
        <v>-106.84350000000001</v>
      </c>
      <c r="Z540" s="21">
        <v>1329</v>
      </c>
      <c r="AA540" s="8" t="s">
        <v>629</v>
      </c>
      <c r="AB540" s="8" t="s">
        <v>642</v>
      </c>
    </row>
    <row r="541" spans="1:28" s="8" customFormat="1" ht="21.75" customHeight="1" x14ac:dyDescent="0.2">
      <c r="A541" s="8" t="s">
        <v>489</v>
      </c>
      <c r="B541" s="8" t="s">
        <v>490</v>
      </c>
      <c r="C541" s="8" t="s">
        <v>466</v>
      </c>
      <c r="D541" s="8" t="s">
        <v>502</v>
      </c>
      <c r="E541" s="8" t="s">
        <v>275</v>
      </c>
      <c r="F541" s="8" t="s">
        <v>217</v>
      </c>
      <c r="G541" s="8" t="s">
        <v>559</v>
      </c>
      <c r="H541" s="3" t="s">
        <v>560</v>
      </c>
      <c r="I541" s="4">
        <v>0.8</v>
      </c>
      <c r="J541" s="8" t="s">
        <v>4367</v>
      </c>
      <c r="K541" s="8" t="s">
        <v>5713</v>
      </c>
      <c r="L541" s="14">
        <v>247</v>
      </c>
      <c r="M541" s="14" t="s">
        <v>6284</v>
      </c>
      <c r="N541" s="14"/>
      <c r="O541" s="110"/>
      <c r="P541" s="4"/>
      <c r="R541" s="8" t="s">
        <v>669</v>
      </c>
      <c r="S541" s="8" t="s">
        <v>656</v>
      </c>
      <c r="T541" s="8" t="s">
        <v>671</v>
      </c>
      <c r="X541" s="25">
        <v>32.6</v>
      </c>
      <c r="Y541" s="25">
        <v>-106.84350000000001</v>
      </c>
      <c r="Z541" s="21">
        <v>1329</v>
      </c>
      <c r="AA541" s="8" t="s">
        <v>630</v>
      </c>
      <c r="AB541" s="8" t="s">
        <v>639</v>
      </c>
    </row>
    <row r="542" spans="1:28" s="8" customFormat="1" ht="21.75" customHeight="1" x14ac:dyDescent="0.2">
      <c r="A542" s="8" t="s">
        <v>489</v>
      </c>
      <c r="B542" s="8" t="s">
        <v>490</v>
      </c>
      <c r="C542" s="8" t="s">
        <v>466</v>
      </c>
      <c r="D542" s="8" t="s">
        <v>503</v>
      </c>
      <c r="E542" s="8" t="s">
        <v>398</v>
      </c>
      <c r="F542" s="8" t="s">
        <v>217</v>
      </c>
      <c r="G542" s="8" t="s">
        <v>561</v>
      </c>
      <c r="H542" s="3" t="s">
        <v>562</v>
      </c>
      <c r="I542" s="4">
        <v>1.7</v>
      </c>
      <c r="J542" s="8" t="s">
        <v>4367</v>
      </c>
      <c r="K542" s="8" t="s">
        <v>5713</v>
      </c>
      <c r="L542" s="14">
        <v>247</v>
      </c>
      <c r="M542" s="14" t="s">
        <v>6284</v>
      </c>
      <c r="N542" s="14"/>
      <c r="O542" s="110"/>
      <c r="P542" s="4"/>
      <c r="R542" s="8" t="s">
        <v>669</v>
      </c>
      <c r="S542" s="8" t="s">
        <v>656</v>
      </c>
      <c r="T542" s="8">
        <v>0.85</v>
      </c>
      <c r="X542" s="25">
        <v>32.604900000000001</v>
      </c>
      <c r="Y542" s="25">
        <v>-106.8481</v>
      </c>
      <c r="Z542" s="21">
        <v>1319</v>
      </c>
      <c r="AA542" s="8" t="s">
        <v>709</v>
      </c>
      <c r="AB542" s="8" t="s">
        <v>643</v>
      </c>
    </row>
    <row r="543" spans="1:28" s="8" customFormat="1" ht="21.75" customHeight="1" x14ac:dyDescent="0.2">
      <c r="A543" s="8" t="s">
        <v>489</v>
      </c>
      <c r="B543" s="8" t="s">
        <v>490</v>
      </c>
      <c r="C543" s="8" t="s">
        <v>466</v>
      </c>
      <c r="D543" s="8" t="s">
        <v>503</v>
      </c>
      <c r="E543" s="8" t="s">
        <v>398</v>
      </c>
      <c r="F543" s="8" t="s">
        <v>217</v>
      </c>
      <c r="G543" s="8" t="s">
        <v>563</v>
      </c>
      <c r="H543" s="3" t="s">
        <v>564</v>
      </c>
      <c r="I543" s="4">
        <v>2.4</v>
      </c>
      <c r="J543" s="8" t="s">
        <v>4367</v>
      </c>
      <c r="K543" s="8" t="s">
        <v>5713</v>
      </c>
      <c r="L543" s="14">
        <v>247</v>
      </c>
      <c r="M543" s="14" t="s">
        <v>6284</v>
      </c>
      <c r="N543" s="14"/>
      <c r="O543" s="110"/>
      <c r="P543" s="4"/>
      <c r="R543" s="8" t="s">
        <v>669</v>
      </c>
      <c r="S543" s="8" t="s">
        <v>656</v>
      </c>
      <c r="T543" s="8">
        <v>0.85</v>
      </c>
      <c r="X543" s="25">
        <v>32.604900000000001</v>
      </c>
      <c r="Y543" s="25">
        <v>-106.8481</v>
      </c>
      <c r="Z543" s="21">
        <v>1319</v>
      </c>
      <c r="AA543" s="8" t="s">
        <v>710</v>
      </c>
      <c r="AB543" s="8" t="s">
        <v>644</v>
      </c>
    </row>
    <row r="544" spans="1:28" s="8" customFormat="1" ht="21.75" customHeight="1" x14ac:dyDescent="0.2">
      <c r="A544" s="8" t="s">
        <v>489</v>
      </c>
      <c r="B544" s="8" t="s">
        <v>490</v>
      </c>
      <c r="C544" s="8" t="s">
        <v>466</v>
      </c>
      <c r="D544" s="8" t="s">
        <v>504</v>
      </c>
      <c r="E544" s="8" t="s">
        <v>398</v>
      </c>
      <c r="F544" s="8" t="s">
        <v>217</v>
      </c>
      <c r="G544" s="8" t="s">
        <v>565</v>
      </c>
      <c r="H544" s="3" t="s">
        <v>566</v>
      </c>
      <c r="I544" s="4">
        <v>1.4</v>
      </c>
      <c r="J544" s="8" t="s">
        <v>4367</v>
      </c>
      <c r="K544" s="8" t="s">
        <v>5713</v>
      </c>
      <c r="L544" s="14">
        <v>247</v>
      </c>
      <c r="M544" s="14" t="s">
        <v>6284</v>
      </c>
      <c r="N544" s="14"/>
      <c r="O544" s="110" t="s">
        <v>672</v>
      </c>
      <c r="P544" s="4"/>
      <c r="R544" s="8" t="s">
        <v>669</v>
      </c>
      <c r="S544" s="8" t="s">
        <v>656</v>
      </c>
      <c r="T544" s="8">
        <v>0.75</v>
      </c>
      <c r="X544" s="25">
        <v>32.5931</v>
      </c>
      <c r="Y544" s="25">
        <v>-106.861</v>
      </c>
      <c r="Z544" s="21">
        <v>1334</v>
      </c>
      <c r="AA544" s="8" t="s">
        <v>708</v>
      </c>
      <c r="AB544" s="8" t="s">
        <v>645</v>
      </c>
    </row>
    <row r="545" spans="1:28" s="8" customFormat="1" ht="21.75" customHeight="1" x14ac:dyDescent="0.2">
      <c r="A545" s="8" t="s">
        <v>489</v>
      </c>
      <c r="B545" s="8" t="s">
        <v>490</v>
      </c>
      <c r="C545" s="8" t="s">
        <v>466</v>
      </c>
      <c r="D545" s="8" t="s">
        <v>504</v>
      </c>
      <c r="E545" s="8" t="s">
        <v>740</v>
      </c>
      <c r="F545" s="8" t="s">
        <v>212</v>
      </c>
      <c r="G545" s="8" t="s">
        <v>535</v>
      </c>
      <c r="H545" s="3" t="s">
        <v>536</v>
      </c>
      <c r="I545" s="4">
        <v>2.6</v>
      </c>
      <c r="J545" s="8" t="s">
        <v>4367</v>
      </c>
      <c r="K545" s="8" t="s">
        <v>5713</v>
      </c>
      <c r="L545" s="14">
        <v>247</v>
      </c>
      <c r="M545" s="14" t="s">
        <v>6284</v>
      </c>
      <c r="N545" s="14"/>
      <c r="O545" s="110" t="s">
        <v>672</v>
      </c>
      <c r="P545" s="4"/>
      <c r="R545" s="8" t="s">
        <v>669</v>
      </c>
      <c r="S545" s="8" t="s">
        <v>656</v>
      </c>
      <c r="T545" s="8">
        <v>0.75</v>
      </c>
      <c r="X545" s="25">
        <v>32.5931</v>
      </c>
      <c r="Y545" s="25">
        <v>-106.861</v>
      </c>
      <c r="Z545" s="21">
        <v>1334</v>
      </c>
      <c r="AA545" s="8" t="s">
        <v>707</v>
      </c>
      <c r="AB545" s="8" t="s">
        <v>646</v>
      </c>
    </row>
    <row r="546" spans="1:28" s="8" customFormat="1" ht="21.75" customHeight="1" x14ac:dyDescent="0.2">
      <c r="A546" s="8" t="s">
        <v>489</v>
      </c>
      <c r="B546" s="8" t="s">
        <v>490</v>
      </c>
      <c r="C546" s="8" t="s">
        <v>466</v>
      </c>
      <c r="D546" s="8" t="s">
        <v>505</v>
      </c>
      <c r="E546" s="8" t="s">
        <v>740</v>
      </c>
      <c r="F546" s="8" t="s">
        <v>212</v>
      </c>
      <c r="G546" s="8" t="s">
        <v>535</v>
      </c>
      <c r="H546" s="3" t="s">
        <v>536</v>
      </c>
      <c r="I546" s="4">
        <v>5.5</v>
      </c>
      <c r="J546" s="8" t="s">
        <v>4367</v>
      </c>
      <c r="K546" s="8" t="s">
        <v>5713</v>
      </c>
      <c r="L546" s="14">
        <v>247</v>
      </c>
      <c r="M546" s="14" t="s">
        <v>6284</v>
      </c>
      <c r="N546" s="14"/>
      <c r="O546" s="110" t="s">
        <v>674</v>
      </c>
      <c r="P546" s="4"/>
      <c r="R546" s="8" t="s">
        <v>673</v>
      </c>
      <c r="X546" s="13">
        <v>32.591799999999999</v>
      </c>
      <c r="Y546" s="25">
        <v>-106.7415</v>
      </c>
      <c r="Z546" s="21">
        <v>1321</v>
      </c>
      <c r="AA546" s="8" t="s">
        <v>706</v>
      </c>
      <c r="AB546" s="8" t="s">
        <v>647</v>
      </c>
    </row>
    <row r="547" spans="1:28" s="8" customFormat="1" ht="21.75" customHeight="1" x14ac:dyDescent="0.2">
      <c r="A547" s="8" t="s">
        <v>489</v>
      </c>
      <c r="B547" s="8" t="s">
        <v>490</v>
      </c>
      <c r="C547" s="8" t="s">
        <v>466</v>
      </c>
      <c r="D547" s="8" t="s">
        <v>505</v>
      </c>
      <c r="E547" s="8" t="s">
        <v>398</v>
      </c>
      <c r="F547" s="8" t="s">
        <v>217</v>
      </c>
      <c r="G547" s="8" t="s">
        <v>567</v>
      </c>
      <c r="H547" s="3" t="s">
        <v>568</v>
      </c>
      <c r="I547" s="4">
        <v>3.1</v>
      </c>
      <c r="J547" s="8" t="s">
        <v>4367</v>
      </c>
      <c r="K547" s="8" t="s">
        <v>5713</v>
      </c>
      <c r="L547" s="14">
        <v>247</v>
      </c>
      <c r="M547" s="14" t="s">
        <v>6284</v>
      </c>
      <c r="N547" s="14"/>
      <c r="O547" s="110" t="s">
        <v>674</v>
      </c>
      <c r="P547" s="4"/>
      <c r="R547" s="8" t="s">
        <v>673</v>
      </c>
      <c r="X547" s="13">
        <v>32.591799999999999</v>
      </c>
      <c r="Y547" s="25">
        <v>-106.7415</v>
      </c>
      <c r="Z547" s="21">
        <v>1321</v>
      </c>
      <c r="AA547" s="8" t="s">
        <v>705</v>
      </c>
    </row>
    <row r="548" spans="1:28" s="8" customFormat="1" ht="21.75" customHeight="1" x14ac:dyDescent="0.2">
      <c r="A548" s="8" t="s">
        <v>489</v>
      </c>
      <c r="B548" s="8" t="s">
        <v>490</v>
      </c>
      <c r="C548" s="8" t="s">
        <v>466</v>
      </c>
      <c r="D548" s="8" t="s">
        <v>506</v>
      </c>
      <c r="E548" s="8" t="s">
        <v>398</v>
      </c>
      <c r="F548" s="8" t="s">
        <v>217</v>
      </c>
      <c r="G548" s="8" t="s">
        <v>569</v>
      </c>
      <c r="H548" s="3" t="s">
        <v>570</v>
      </c>
      <c r="I548" s="4">
        <v>5.0999999999999996</v>
      </c>
      <c r="J548" s="8" t="s">
        <v>4367</v>
      </c>
      <c r="K548" s="8" t="s">
        <v>5713</v>
      </c>
      <c r="L548" s="14">
        <v>247</v>
      </c>
      <c r="M548" s="14" t="s">
        <v>6284</v>
      </c>
      <c r="N548" s="14"/>
      <c r="O548" s="110"/>
      <c r="P548" s="4"/>
      <c r="R548" s="8" t="s">
        <v>669</v>
      </c>
      <c r="S548" s="8" t="s">
        <v>675</v>
      </c>
      <c r="T548" s="8" t="s">
        <v>676</v>
      </c>
      <c r="X548" s="25">
        <v>32.536200000000001</v>
      </c>
      <c r="Y548" s="25">
        <v>-106.7505</v>
      </c>
      <c r="Z548" s="21">
        <v>1316</v>
      </c>
      <c r="AA548" s="8" t="s">
        <v>631</v>
      </c>
      <c r="AB548" s="8" t="s">
        <v>648</v>
      </c>
    </row>
    <row r="549" spans="1:28" s="8" customFormat="1" ht="21.75" customHeight="1" x14ac:dyDescent="0.2">
      <c r="A549" s="8" t="s">
        <v>489</v>
      </c>
      <c r="B549" s="8" t="s">
        <v>490</v>
      </c>
      <c r="C549" s="8" t="s">
        <v>466</v>
      </c>
      <c r="D549" s="8" t="s">
        <v>506</v>
      </c>
      <c r="E549" s="8" t="s">
        <v>608</v>
      </c>
      <c r="F549" s="8" t="s">
        <v>62</v>
      </c>
      <c r="G549" s="8" t="s">
        <v>571</v>
      </c>
      <c r="H549" s="3" t="s">
        <v>572</v>
      </c>
      <c r="I549" s="4">
        <v>1.7</v>
      </c>
      <c r="J549" s="8" t="s">
        <v>4367</v>
      </c>
      <c r="K549" s="8" t="s">
        <v>5713</v>
      </c>
      <c r="L549" s="14">
        <v>247</v>
      </c>
      <c r="M549" s="14" t="s">
        <v>6284</v>
      </c>
      <c r="N549" s="14"/>
      <c r="O549" s="110"/>
      <c r="P549" s="4"/>
      <c r="R549" s="8" t="s">
        <v>669</v>
      </c>
      <c r="S549" s="8" t="s">
        <v>675</v>
      </c>
      <c r="T549" s="8" t="s">
        <v>676</v>
      </c>
      <c r="X549" s="25">
        <v>32.536200000000001</v>
      </c>
      <c r="Y549" s="25">
        <v>-106.7505</v>
      </c>
      <c r="Z549" s="21">
        <v>1316</v>
      </c>
      <c r="AA549" s="8" t="s">
        <v>703</v>
      </c>
    </row>
    <row r="550" spans="1:28" s="8" customFormat="1" ht="21.75" customHeight="1" x14ac:dyDescent="0.2">
      <c r="A550" s="8" t="s">
        <v>489</v>
      </c>
      <c r="B550" s="8" t="s">
        <v>490</v>
      </c>
      <c r="C550" s="8" t="s">
        <v>466</v>
      </c>
      <c r="D550" s="8" t="s">
        <v>506</v>
      </c>
      <c r="E550" s="8" t="s">
        <v>398</v>
      </c>
      <c r="F550" s="8" t="s">
        <v>217</v>
      </c>
      <c r="G550" s="8" t="s">
        <v>529</v>
      </c>
      <c r="H550" s="3" t="s">
        <v>573</v>
      </c>
      <c r="I550" s="4">
        <v>3.4</v>
      </c>
      <c r="J550" s="8" t="s">
        <v>4367</v>
      </c>
      <c r="K550" s="8" t="s">
        <v>5713</v>
      </c>
      <c r="L550" s="14">
        <v>247</v>
      </c>
      <c r="M550" s="14" t="s">
        <v>6284</v>
      </c>
      <c r="N550" s="14"/>
      <c r="O550" s="110"/>
      <c r="P550" s="4"/>
      <c r="R550" s="8" t="s">
        <v>669</v>
      </c>
      <c r="S550" s="8" t="s">
        <v>675</v>
      </c>
      <c r="T550" s="8" t="s">
        <v>676</v>
      </c>
      <c r="X550" s="25">
        <v>32.536200000000001</v>
      </c>
      <c r="Y550" s="25">
        <v>-106.7505</v>
      </c>
      <c r="Z550" s="21">
        <v>1316</v>
      </c>
      <c r="AA550" s="10" t="s">
        <v>704</v>
      </c>
    </row>
    <row r="551" spans="1:28" s="8" customFormat="1" ht="21.75" customHeight="1" x14ac:dyDescent="0.2">
      <c r="A551" s="8" t="s">
        <v>489</v>
      </c>
      <c r="B551" s="8" t="s">
        <v>490</v>
      </c>
      <c r="C551" s="8" t="s">
        <v>466</v>
      </c>
      <c r="D551" s="8" t="s">
        <v>506</v>
      </c>
      <c r="E551" s="8" t="s">
        <v>398</v>
      </c>
      <c r="F551" s="8" t="s">
        <v>217</v>
      </c>
      <c r="G551" s="8" t="s">
        <v>574</v>
      </c>
      <c r="H551" s="3" t="s">
        <v>575</v>
      </c>
      <c r="I551" s="4">
        <v>1.5</v>
      </c>
      <c r="J551" s="8" t="s">
        <v>4367</v>
      </c>
      <c r="K551" s="8" t="s">
        <v>5713</v>
      </c>
      <c r="L551" s="14">
        <v>247</v>
      </c>
      <c r="M551" s="14" t="s">
        <v>6284</v>
      </c>
      <c r="N551" s="14"/>
      <c r="O551" s="110"/>
      <c r="P551" s="4"/>
      <c r="R551" s="8" t="s">
        <v>669</v>
      </c>
      <c r="S551" s="8" t="s">
        <v>675</v>
      </c>
      <c r="T551" s="8" t="s">
        <v>676</v>
      </c>
      <c r="X551" s="25">
        <v>32.536200000000001</v>
      </c>
      <c r="Y551" s="25">
        <v>-106.7505</v>
      </c>
      <c r="Z551" s="21">
        <v>1316</v>
      </c>
      <c r="AA551" s="8" t="s">
        <v>632</v>
      </c>
    </row>
    <row r="552" spans="1:28" s="8" customFormat="1" ht="21.75" customHeight="1" x14ac:dyDescent="0.2">
      <c r="A552" s="8" t="s">
        <v>489</v>
      </c>
      <c r="B552" s="8" t="s">
        <v>490</v>
      </c>
      <c r="C552" s="8" t="s">
        <v>466</v>
      </c>
      <c r="D552" s="8" t="s">
        <v>506</v>
      </c>
      <c r="E552" s="8" t="s">
        <v>398</v>
      </c>
      <c r="F552" s="8" t="s">
        <v>217</v>
      </c>
      <c r="G552" s="8" t="s">
        <v>565</v>
      </c>
      <c r="H552" s="3" t="s">
        <v>576</v>
      </c>
      <c r="I552" s="4">
        <v>1.6</v>
      </c>
      <c r="J552" s="8" t="s">
        <v>4367</v>
      </c>
      <c r="K552" s="8" t="s">
        <v>5713</v>
      </c>
      <c r="L552" s="14">
        <v>247</v>
      </c>
      <c r="M552" s="14" t="s">
        <v>6284</v>
      </c>
      <c r="N552" s="14"/>
      <c r="O552" s="110"/>
      <c r="P552" s="4"/>
      <c r="R552" s="8" t="s">
        <v>669</v>
      </c>
      <c r="S552" s="8" t="s">
        <v>675</v>
      </c>
      <c r="T552" s="8" t="s">
        <v>676</v>
      </c>
      <c r="X552" s="25">
        <v>32.536200000000001</v>
      </c>
      <c r="Y552" s="25">
        <v>-106.7505</v>
      </c>
      <c r="Z552" s="21">
        <v>1316</v>
      </c>
      <c r="AA552" s="8" t="s">
        <v>697</v>
      </c>
    </row>
    <row r="553" spans="1:28" s="8" customFormat="1" ht="21.75" customHeight="1" x14ac:dyDescent="0.2">
      <c r="A553" s="8" t="s">
        <v>489</v>
      </c>
      <c r="B553" s="8" t="s">
        <v>490</v>
      </c>
      <c r="C553" s="8" t="s">
        <v>466</v>
      </c>
      <c r="D553" s="8" t="s">
        <v>506</v>
      </c>
      <c r="E553" s="8" t="s">
        <v>398</v>
      </c>
      <c r="F553" s="8" t="s">
        <v>217</v>
      </c>
      <c r="G553" s="8" t="s">
        <v>537</v>
      </c>
      <c r="H553" s="3" t="s">
        <v>538</v>
      </c>
      <c r="I553" s="4">
        <v>1.5</v>
      </c>
      <c r="J553" s="8" t="s">
        <v>4367</v>
      </c>
      <c r="K553" s="8" t="s">
        <v>5713</v>
      </c>
      <c r="L553" s="14">
        <v>247</v>
      </c>
      <c r="M553" s="14" t="s">
        <v>6284</v>
      </c>
      <c r="N553" s="14"/>
      <c r="O553" s="110"/>
      <c r="P553" s="4"/>
      <c r="R553" s="8" t="s">
        <v>669</v>
      </c>
      <c r="S553" s="8" t="s">
        <v>675</v>
      </c>
      <c r="T553" s="8" t="s">
        <v>676</v>
      </c>
      <c r="X553" s="25">
        <v>32.536200000000001</v>
      </c>
      <c r="Y553" s="25">
        <v>-106.7505</v>
      </c>
      <c r="Z553" s="21">
        <v>1316</v>
      </c>
      <c r="AA553" s="8" t="s">
        <v>698</v>
      </c>
    </row>
    <row r="554" spans="1:28" s="8" customFormat="1" ht="21.75" customHeight="1" x14ac:dyDescent="0.2">
      <c r="A554" s="8" t="s">
        <v>489</v>
      </c>
      <c r="B554" s="8" t="s">
        <v>490</v>
      </c>
      <c r="C554" s="8" t="s">
        <v>466</v>
      </c>
      <c r="D554" s="8" t="s">
        <v>507</v>
      </c>
      <c r="E554" s="8" t="s">
        <v>606</v>
      </c>
      <c r="F554" s="8" t="s">
        <v>62</v>
      </c>
      <c r="G554" s="8" t="s">
        <v>577</v>
      </c>
      <c r="H554" s="3" t="s">
        <v>514</v>
      </c>
      <c r="I554" s="4">
        <v>1.6</v>
      </c>
      <c r="J554" s="8" t="s">
        <v>4367</v>
      </c>
      <c r="K554" s="8" t="s">
        <v>5713</v>
      </c>
      <c r="L554" s="14">
        <v>247</v>
      </c>
      <c r="M554" s="14" t="s">
        <v>6284</v>
      </c>
      <c r="N554" s="14"/>
      <c r="O554" s="110" t="s">
        <v>677</v>
      </c>
      <c r="P554" s="4"/>
      <c r="R554" s="8" t="s">
        <v>669</v>
      </c>
      <c r="S554" s="8" t="s">
        <v>675</v>
      </c>
      <c r="T554" s="8">
        <v>1.38</v>
      </c>
      <c r="X554" s="13">
        <v>32.567999999999998</v>
      </c>
      <c r="Y554" s="25">
        <v>-106.7431</v>
      </c>
      <c r="Z554" s="21">
        <v>1322</v>
      </c>
      <c r="AA554" s="132" t="s">
        <v>633</v>
      </c>
      <c r="AB554" s="8" t="s">
        <v>649</v>
      </c>
    </row>
    <row r="555" spans="1:28" s="8" customFormat="1" ht="21.75" customHeight="1" x14ac:dyDescent="0.2">
      <c r="A555" s="8" t="s">
        <v>489</v>
      </c>
      <c r="B555" s="8" t="s">
        <v>490</v>
      </c>
      <c r="C555" s="8" t="s">
        <v>466</v>
      </c>
      <c r="D555" s="8" t="s">
        <v>507</v>
      </c>
      <c r="E555" s="8" t="s">
        <v>608</v>
      </c>
      <c r="F555" s="8" t="s">
        <v>62</v>
      </c>
      <c r="G555" s="8" t="s">
        <v>578</v>
      </c>
      <c r="H555" s="3" t="s">
        <v>579</v>
      </c>
      <c r="I555" s="4">
        <v>1.3</v>
      </c>
      <c r="J555" s="8" t="s">
        <v>4367</v>
      </c>
      <c r="K555" s="8" t="s">
        <v>5713</v>
      </c>
      <c r="L555" s="14">
        <v>247</v>
      </c>
      <c r="M555" s="14" t="s">
        <v>6284</v>
      </c>
      <c r="N555" s="14"/>
      <c r="O555" s="110" t="s">
        <v>677</v>
      </c>
      <c r="P555" s="4"/>
      <c r="R555" s="8" t="s">
        <v>669</v>
      </c>
      <c r="S555" s="8" t="s">
        <v>675</v>
      </c>
      <c r="T555" s="8">
        <v>1.38</v>
      </c>
      <c r="X555" s="13">
        <v>32.567999999999998</v>
      </c>
      <c r="Y555" s="25">
        <v>-106.7431</v>
      </c>
      <c r="Z555" s="21">
        <v>1322</v>
      </c>
      <c r="AA555" s="137"/>
    </row>
    <row r="556" spans="1:28" s="8" customFormat="1" ht="21.75" customHeight="1" x14ac:dyDescent="0.2">
      <c r="A556" s="8" t="s">
        <v>489</v>
      </c>
      <c r="B556" s="8" t="s">
        <v>490</v>
      </c>
      <c r="C556" s="8" t="s">
        <v>466</v>
      </c>
      <c r="D556" s="8" t="s">
        <v>507</v>
      </c>
      <c r="E556" s="8" t="s">
        <v>608</v>
      </c>
      <c r="F556" s="8" t="s">
        <v>62</v>
      </c>
      <c r="G556" s="8" t="s">
        <v>580</v>
      </c>
      <c r="H556" s="3" t="s">
        <v>581</v>
      </c>
      <c r="I556" s="4">
        <v>1.2</v>
      </c>
      <c r="J556" s="8" t="s">
        <v>4367</v>
      </c>
      <c r="K556" s="8" t="s">
        <v>5713</v>
      </c>
      <c r="L556" s="14">
        <v>247</v>
      </c>
      <c r="M556" s="14" t="s">
        <v>6284</v>
      </c>
      <c r="N556" s="14"/>
      <c r="O556" s="110" t="s">
        <v>677</v>
      </c>
      <c r="P556" s="4"/>
      <c r="R556" s="8" t="s">
        <v>669</v>
      </c>
      <c r="S556" s="8" t="s">
        <v>675</v>
      </c>
      <c r="T556" s="8">
        <v>1.38</v>
      </c>
      <c r="X556" s="13">
        <v>32.567999999999998</v>
      </c>
      <c r="Y556" s="25">
        <v>-106.7431</v>
      </c>
      <c r="Z556" s="21">
        <v>1322</v>
      </c>
      <c r="AA556" s="133"/>
    </row>
    <row r="557" spans="1:28" s="8" customFormat="1" ht="21.75" customHeight="1" x14ac:dyDescent="0.2">
      <c r="A557" s="8" t="s">
        <v>489</v>
      </c>
      <c r="B557" s="8" t="s">
        <v>490</v>
      </c>
      <c r="C557" s="8" t="s">
        <v>466</v>
      </c>
      <c r="D557" s="8" t="s">
        <v>507</v>
      </c>
      <c r="E557" s="8" t="s">
        <v>398</v>
      </c>
      <c r="F557" s="8" t="s">
        <v>217</v>
      </c>
      <c r="G557" s="8" t="s">
        <v>582</v>
      </c>
      <c r="H557" s="3" t="s">
        <v>576</v>
      </c>
      <c r="I557" s="4">
        <v>1.78</v>
      </c>
      <c r="J557" s="8" t="s">
        <v>4367</v>
      </c>
      <c r="K557" s="8" t="s">
        <v>5713</v>
      </c>
      <c r="L557" s="14">
        <v>247</v>
      </c>
      <c r="M557" s="14" t="s">
        <v>6284</v>
      </c>
      <c r="N557" s="14"/>
      <c r="O557" s="110" t="s">
        <v>677</v>
      </c>
      <c r="P557" s="4"/>
      <c r="R557" s="8" t="s">
        <v>669</v>
      </c>
      <c r="S557" s="8" t="s">
        <v>675</v>
      </c>
      <c r="T557" s="8">
        <v>1.38</v>
      </c>
      <c r="X557" s="13">
        <v>32.567999999999998</v>
      </c>
      <c r="Y557" s="25">
        <v>-106.7431</v>
      </c>
      <c r="Z557" s="21">
        <v>1322</v>
      </c>
      <c r="AA557" s="8" t="s">
        <v>634</v>
      </c>
    </row>
    <row r="558" spans="1:28" s="8" customFormat="1" ht="21.75" customHeight="1" x14ac:dyDescent="0.2">
      <c r="A558" s="8" t="s">
        <v>489</v>
      </c>
      <c r="B558" s="8" t="s">
        <v>490</v>
      </c>
      <c r="C558" s="8" t="s">
        <v>466</v>
      </c>
      <c r="D558" s="8" t="s">
        <v>507</v>
      </c>
      <c r="E558" s="8" t="s">
        <v>398</v>
      </c>
      <c r="F558" s="8" t="s">
        <v>217</v>
      </c>
      <c r="G558" s="8" t="s">
        <v>583</v>
      </c>
      <c r="H558" s="3" t="s">
        <v>584</v>
      </c>
      <c r="I558" s="4">
        <v>1.76</v>
      </c>
      <c r="J558" s="8" t="s">
        <v>4367</v>
      </c>
      <c r="K558" s="8" t="s">
        <v>5713</v>
      </c>
      <c r="L558" s="14">
        <v>247</v>
      </c>
      <c r="M558" s="14" t="s">
        <v>6284</v>
      </c>
      <c r="N558" s="14"/>
      <c r="O558" s="110" t="s">
        <v>677</v>
      </c>
      <c r="P558" s="4"/>
      <c r="R558" s="8" t="s">
        <v>669</v>
      </c>
      <c r="S558" s="8" t="s">
        <v>675</v>
      </c>
      <c r="T558" s="8">
        <v>1.38</v>
      </c>
      <c r="X558" s="13">
        <v>32.567999999999998</v>
      </c>
      <c r="Y558" s="25">
        <v>-106.7431</v>
      </c>
      <c r="Z558" s="21">
        <v>1322</v>
      </c>
      <c r="AA558" s="8" t="s">
        <v>699</v>
      </c>
    </row>
    <row r="559" spans="1:28" s="8" customFormat="1" ht="21.75" customHeight="1" x14ac:dyDescent="0.2">
      <c r="A559" s="8" t="s">
        <v>489</v>
      </c>
      <c r="B559" s="8" t="s">
        <v>490</v>
      </c>
      <c r="C559" s="8" t="s">
        <v>466</v>
      </c>
      <c r="D559" s="8" t="s">
        <v>508</v>
      </c>
      <c r="E559" s="8" t="s">
        <v>263</v>
      </c>
      <c r="F559" s="8" t="s">
        <v>214</v>
      </c>
      <c r="G559" s="8" t="s">
        <v>585</v>
      </c>
      <c r="H559" s="3" t="s">
        <v>586</v>
      </c>
      <c r="I559" s="4">
        <v>0.7</v>
      </c>
      <c r="J559" s="8" t="s">
        <v>4367</v>
      </c>
      <c r="K559" s="8" t="s">
        <v>5713</v>
      </c>
      <c r="L559" s="14">
        <v>247</v>
      </c>
      <c r="M559" s="14" t="s">
        <v>6284</v>
      </c>
      <c r="N559" s="14"/>
      <c r="O559" s="110" t="s">
        <v>657</v>
      </c>
      <c r="P559" s="4"/>
      <c r="R559" s="8" t="s">
        <v>678</v>
      </c>
      <c r="X559" s="13">
        <v>32.686999999999998</v>
      </c>
      <c r="Y559" s="25">
        <v>-106.7872</v>
      </c>
      <c r="Z559" s="21">
        <v>1320</v>
      </c>
      <c r="AA559" s="8" t="s">
        <v>700</v>
      </c>
    </row>
    <row r="560" spans="1:28" s="8" customFormat="1" ht="21.75" customHeight="1" x14ac:dyDescent="0.2">
      <c r="A560" s="8" t="s">
        <v>489</v>
      </c>
      <c r="B560" s="8" t="s">
        <v>490</v>
      </c>
      <c r="C560" s="8" t="s">
        <v>466</v>
      </c>
      <c r="D560" s="8" t="s">
        <v>508</v>
      </c>
      <c r="E560" s="8" t="s">
        <v>608</v>
      </c>
      <c r="F560" s="8" t="s">
        <v>62</v>
      </c>
      <c r="G560" s="8" t="s">
        <v>587</v>
      </c>
      <c r="H560" s="3" t="s">
        <v>588</v>
      </c>
      <c r="I560" s="4">
        <v>0.19</v>
      </c>
      <c r="J560" s="8" t="s">
        <v>4367</v>
      </c>
      <c r="K560" s="8" t="s">
        <v>5713</v>
      </c>
      <c r="L560" s="14">
        <v>247</v>
      </c>
      <c r="M560" s="14" t="s">
        <v>6284</v>
      </c>
      <c r="N560" s="14"/>
      <c r="O560" s="110" t="s">
        <v>657</v>
      </c>
      <c r="P560" s="4"/>
      <c r="R560" s="8" t="s">
        <v>678</v>
      </c>
      <c r="X560" s="13">
        <v>32.686999999999998</v>
      </c>
      <c r="Y560" s="25">
        <v>-106.7872</v>
      </c>
      <c r="Z560" s="21">
        <v>1320</v>
      </c>
      <c r="AA560" s="8" t="s">
        <v>696</v>
      </c>
    </row>
    <row r="561" spans="1:28" s="8" customFormat="1" ht="21.75" customHeight="1" x14ac:dyDescent="0.2">
      <c r="A561" s="8" t="s">
        <v>489</v>
      </c>
      <c r="B561" s="8" t="s">
        <v>490</v>
      </c>
      <c r="C561" s="8" t="s">
        <v>466</v>
      </c>
      <c r="D561" s="8" t="s">
        <v>508</v>
      </c>
      <c r="E561" s="8" t="s">
        <v>398</v>
      </c>
      <c r="F561" s="8" t="s">
        <v>217</v>
      </c>
      <c r="G561" s="8" t="s">
        <v>589</v>
      </c>
      <c r="H561" s="3" t="s">
        <v>590</v>
      </c>
      <c r="I561" s="4">
        <v>0.62</v>
      </c>
      <c r="J561" s="8" t="s">
        <v>4367</v>
      </c>
      <c r="K561" s="8" t="s">
        <v>5713</v>
      </c>
      <c r="L561" s="14">
        <v>247</v>
      </c>
      <c r="M561" s="14" t="s">
        <v>6284</v>
      </c>
      <c r="N561" s="14"/>
      <c r="O561" s="110" t="s">
        <v>657</v>
      </c>
      <c r="P561" s="4"/>
      <c r="R561" s="8" t="s">
        <v>678</v>
      </c>
      <c r="X561" s="13">
        <v>32.686999999999998</v>
      </c>
      <c r="Y561" s="25">
        <v>-106.7872</v>
      </c>
      <c r="Z561" s="21">
        <v>1320</v>
      </c>
      <c r="AA561" s="8" t="s">
        <v>701</v>
      </c>
    </row>
    <row r="562" spans="1:28" s="8" customFormat="1" ht="21.75" customHeight="1" x14ac:dyDescent="0.2">
      <c r="A562" s="8" t="s">
        <v>489</v>
      </c>
      <c r="B562" s="8" t="s">
        <v>490</v>
      </c>
      <c r="C562" s="8" t="s">
        <v>466</v>
      </c>
      <c r="D562" s="8" t="s">
        <v>508</v>
      </c>
      <c r="E562" s="8" t="s">
        <v>398</v>
      </c>
      <c r="F562" s="8" t="s">
        <v>217</v>
      </c>
      <c r="G562" s="8" t="s">
        <v>591</v>
      </c>
      <c r="H562" s="3" t="s">
        <v>592</v>
      </c>
      <c r="I562" s="4">
        <v>0.47</v>
      </c>
      <c r="J562" s="8" t="s">
        <v>4367</v>
      </c>
      <c r="K562" s="8" t="s">
        <v>5713</v>
      </c>
      <c r="L562" s="14">
        <v>247</v>
      </c>
      <c r="M562" s="14" t="s">
        <v>6284</v>
      </c>
      <c r="N562" s="14"/>
      <c r="O562" s="110" t="s">
        <v>657</v>
      </c>
      <c r="P562" s="4"/>
      <c r="R562" s="8" t="s">
        <v>678</v>
      </c>
      <c r="X562" s="13">
        <v>32.686999999999998</v>
      </c>
      <c r="Y562" s="25">
        <v>-106.7872</v>
      </c>
      <c r="Z562" s="21">
        <v>1320</v>
      </c>
      <c r="AA562" s="8" t="s">
        <v>702</v>
      </c>
    </row>
    <row r="563" spans="1:28" ht="21.75" customHeight="1" x14ac:dyDescent="0.2">
      <c r="A563" s="7" t="s">
        <v>6276</v>
      </c>
      <c r="B563" s="7" t="s">
        <v>6277</v>
      </c>
      <c r="C563" s="7" t="s">
        <v>6287</v>
      </c>
      <c r="D563" s="7" t="s">
        <v>6281</v>
      </c>
      <c r="E563" s="7" t="s">
        <v>6296</v>
      </c>
      <c r="F563" s="7" t="s">
        <v>214</v>
      </c>
      <c r="H563" s="1" t="s">
        <v>6278</v>
      </c>
      <c r="I563" s="2">
        <v>1.4</v>
      </c>
      <c r="J563" s="2" t="s">
        <v>4367</v>
      </c>
      <c r="K563" s="2" t="s">
        <v>5713</v>
      </c>
      <c r="L563" s="6">
        <v>250</v>
      </c>
      <c r="O563" s="45" t="s">
        <v>6280</v>
      </c>
      <c r="R563" s="7" t="s">
        <v>6282</v>
      </c>
      <c r="X563" s="7">
        <v>10.1225</v>
      </c>
      <c r="Y563" s="7">
        <v>45.205300000000001</v>
      </c>
      <c r="Z563" s="6">
        <f>1900*0.3048</f>
        <v>579.12</v>
      </c>
      <c r="AA563" s="7" t="s">
        <v>6279</v>
      </c>
      <c r="AB563" s="7" t="s">
        <v>6283</v>
      </c>
    </row>
    <row r="564" spans="1:28" ht="21.75" customHeight="1" x14ac:dyDescent="0.2">
      <c r="A564" s="7" t="s">
        <v>6276</v>
      </c>
      <c r="B564" s="7" t="s">
        <v>6277</v>
      </c>
      <c r="C564" s="7" t="s">
        <v>6287</v>
      </c>
      <c r="D564" s="7" t="s">
        <v>6285</v>
      </c>
      <c r="E564" s="7" t="s">
        <v>6296</v>
      </c>
      <c r="F564" s="7" t="s">
        <v>217</v>
      </c>
      <c r="H564" s="1" t="s">
        <v>6292</v>
      </c>
      <c r="I564" s="2">
        <v>0.65</v>
      </c>
      <c r="J564" s="2" t="s">
        <v>4367</v>
      </c>
      <c r="K564" s="2" t="s">
        <v>5713</v>
      </c>
      <c r="L564" s="6">
        <v>450</v>
      </c>
      <c r="O564" s="45" t="s">
        <v>6286</v>
      </c>
      <c r="R564" s="7" t="s">
        <v>6282</v>
      </c>
      <c r="X564" s="7">
        <v>9.5917999999999992</v>
      </c>
      <c r="Y564" s="7">
        <v>44.122</v>
      </c>
      <c r="Z564" s="7">
        <v>1338</v>
      </c>
      <c r="AA564" s="7" t="s">
        <v>6288</v>
      </c>
    </row>
    <row r="565" spans="1:28" ht="21.75" customHeight="1" x14ac:dyDescent="0.2">
      <c r="A565" s="7" t="s">
        <v>6276</v>
      </c>
      <c r="B565" s="7" t="s">
        <v>6277</v>
      </c>
      <c r="C565" s="7" t="s">
        <v>6287</v>
      </c>
      <c r="D565" s="7" t="s">
        <v>6281</v>
      </c>
      <c r="E565" s="7" t="s">
        <v>6296</v>
      </c>
      <c r="F565" s="7" t="s">
        <v>217</v>
      </c>
      <c r="H565" s="1" t="s">
        <v>6293</v>
      </c>
      <c r="I565" s="2">
        <v>0.5</v>
      </c>
      <c r="J565" s="2" t="s">
        <v>4367</v>
      </c>
      <c r="K565" s="2" t="s">
        <v>5713</v>
      </c>
      <c r="L565" s="6">
        <v>250</v>
      </c>
      <c r="O565" s="45" t="s">
        <v>6280</v>
      </c>
      <c r="R565" s="7" t="s">
        <v>6282</v>
      </c>
      <c r="X565" s="7">
        <v>10.1225</v>
      </c>
      <c r="Y565" s="7">
        <v>45.205300000000001</v>
      </c>
      <c r="Z565" s="6">
        <f>1900*0.3048</f>
        <v>579.12</v>
      </c>
      <c r="AA565" s="7" t="s">
        <v>6289</v>
      </c>
      <c r="AB565" s="7" t="s">
        <v>6283</v>
      </c>
    </row>
    <row r="566" spans="1:28" ht="21.75" customHeight="1" x14ac:dyDescent="0.2">
      <c r="A566" s="7" t="s">
        <v>6276</v>
      </c>
      <c r="B566" s="7" t="s">
        <v>6277</v>
      </c>
      <c r="C566" s="7" t="s">
        <v>6287</v>
      </c>
      <c r="D566" s="7" t="s">
        <v>6281</v>
      </c>
      <c r="E566" s="7" t="s">
        <v>6296</v>
      </c>
      <c r="F566" s="7" t="s">
        <v>217</v>
      </c>
      <c r="H566" s="1" t="s">
        <v>6294</v>
      </c>
      <c r="I566" s="2">
        <v>0.7</v>
      </c>
      <c r="J566" s="2" t="s">
        <v>4367</v>
      </c>
      <c r="K566" s="2" t="s">
        <v>5713</v>
      </c>
      <c r="L566" s="6">
        <v>250</v>
      </c>
      <c r="O566" s="45" t="s">
        <v>6280</v>
      </c>
      <c r="R566" s="7" t="s">
        <v>6282</v>
      </c>
      <c r="X566" s="7">
        <v>10.1225</v>
      </c>
      <c r="Y566" s="7">
        <v>45.205300000000001</v>
      </c>
      <c r="Z566" s="6">
        <f>1900*0.3048</f>
        <v>579.12</v>
      </c>
      <c r="AA566" s="7" t="s">
        <v>6290</v>
      </c>
      <c r="AB566" s="7" t="s">
        <v>6283</v>
      </c>
    </row>
    <row r="567" spans="1:28" ht="21.75" customHeight="1" x14ac:dyDescent="0.2">
      <c r="A567" s="7" t="s">
        <v>6276</v>
      </c>
      <c r="B567" s="7" t="s">
        <v>6277</v>
      </c>
      <c r="C567" s="7" t="s">
        <v>6287</v>
      </c>
      <c r="D567" s="7" t="s">
        <v>6281</v>
      </c>
      <c r="E567" s="7" t="s">
        <v>6296</v>
      </c>
      <c r="F567" s="7" t="s">
        <v>217</v>
      </c>
      <c r="H567" s="1" t="s">
        <v>6291</v>
      </c>
      <c r="I567" s="2">
        <v>0.9</v>
      </c>
      <c r="J567" s="2" t="s">
        <v>4367</v>
      </c>
      <c r="K567" s="2" t="s">
        <v>5713</v>
      </c>
      <c r="L567" s="6">
        <v>250</v>
      </c>
      <c r="O567" s="45" t="s">
        <v>6280</v>
      </c>
      <c r="R567" s="7" t="s">
        <v>6282</v>
      </c>
      <c r="X567" s="7">
        <v>10.1225</v>
      </c>
      <c r="Y567" s="7">
        <v>45.205300000000001</v>
      </c>
      <c r="Z567" s="6">
        <f>1900*0.3048</f>
        <v>579.12</v>
      </c>
      <c r="AA567" s="7" t="s">
        <v>6295</v>
      </c>
      <c r="AB567" s="7" t="s">
        <v>6283</v>
      </c>
    </row>
    <row r="568" spans="1:28" s="8" customFormat="1" ht="21.75" customHeight="1" x14ac:dyDescent="0.2">
      <c r="A568" s="8" t="s">
        <v>2879</v>
      </c>
      <c r="B568" s="8" t="s">
        <v>2885</v>
      </c>
      <c r="C568" s="8" t="s">
        <v>937</v>
      </c>
      <c r="D568" s="8" t="s">
        <v>2884</v>
      </c>
      <c r="E568" s="8" t="s">
        <v>398</v>
      </c>
      <c r="F568" s="8" t="s">
        <v>62</v>
      </c>
      <c r="H568" s="3" t="s">
        <v>2887</v>
      </c>
      <c r="I568" s="4">
        <v>2</v>
      </c>
      <c r="J568" s="4" t="s">
        <v>4433</v>
      </c>
      <c r="K568" s="4" t="s">
        <v>4410</v>
      </c>
      <c r="L568" s="14"/>
      <c r="M568" s="14"/>
      <c r="N568" s="14"/>
      <c r="O568" s="110"/>
      <c r="P568" s="4"/>
      <c r="W568" s="8" t="s">
        <v>2888</v>
      </c>
      <c r="X568" s="13">
        <v>38.967599999999997</v>
      </c>
      <c r="Y568" s="25">
        <v>-97.473200000000006</v>
      </c>
      <c r="Z568" s="21">
        <v>364</v>
      </c>
      <c r="AA568" s="8" t="s">
        <v>2886</v>
      </c>
      <c r="AB568" s="8" t="s">
        <v>2882</v>
      </c>
    </row>
    <row r="569" spans="1:28" s="8" customFormat="1" ht="21.75" customHeight="1" x14ac:dyDescent="0.2">
      <c r="A569" s="8" t="s">
        <v>2879</v>
      </c>
      <c r="B569" s="8" t="s">
        <v>2885</v>
      </c>
      <c r="C569" s="8" t="s">
        <v>937</v>
      </c>
      <c r="D569" s="8" t="s">
        <v>2884</v>
      </c>
      <c r="E569" s="8" t="s">
        <v>275</v>
      </c>
      <c r="F569" s="8" t="s">
        <v>62</v>
      </c>
      <c r="G569" s="8" t="s">
        <v>2881</v>
      </c>
      <c r="H569" s="3" t="s">
        <v>2880</v>
      </c>
      <c r="I569" s="4">
        <v>1</v>
      </c>
      <c r="J569" s="4" t="s">
        <v>4433</v>
      </c>
      <c r="K569" s="4" t="s">
        <v>4410</v>
      </c>
      <c r="L569" s="14"/>
      <c r="M569" s="14"/>
      <c r="N569" s="14"/>
      <c r="O569" s="110"/>
      <c r="P569" s="4"/>
      <c r="W569" s="8" t="s">
        <v>2883</v>
      </c>
      <c r="X569" s="13">
        <v>38.967700000000001</v>
      </c>
      <c r="Y569" s="25">
        <v>-97.472399999999993</v>
      </c>
      <c r="Z569" s="21">
        <v>364</v>
      </c>
    </row>
    <row r="570" spans="1:28" ht="21.75" customHeight="1" x14ac:dyDescent="0.2">
      <c r="A570" s="7" t="s">
        <v>6756</v>
      </c>
      <c r="B570" s="7" t="s">
        <v>6757</v>
      </c>
      <c r="C570" s="7" t="s">
        <v>6758</v>
      </c>
      <c r="E570" s="7" t="s">
        <v>602</v>
      </c>
      <c r="F570" s="7" t="s">
        <v>212</v>
      </c>
      <c r="H570" s="1" t="s">
        <v>6759</v>
      </c>
      <c r="I570" s="2">
        <f>65*0.0254</f>
        <v>1.651</v>
      </c>
      <c r="J570" s="2" t="s">
        <v>4433</v>
      </c>
      <c r="K570" s="2" t="s">
        <v>4410</v>
      </c>
      <c r="L570" s="6">
        <v>1650</v>
      </c>
      <c r="O570" s="45" t="s">
        <v>6762</v>
      </c>
      <c r="R570" s="7" t="s">
        <v>6760</v>
      </c>
      <c r="S570" s="7" t="s">
        <v>6761</v>
      </c>
      <c r="T570" s="7">
        <v>0.23</v>
      </c>
      <c r="W570" s="7" t="s">
        <v>6763</v>
      </c>
      <c r="X570" s="5">
        <v>6.0776000000000003</v>
      </c>
      <c r="Y570" s="24">
        <v>-0.84670000000000001</v>
      </c>
      <c r="Z570" s="20">
        <f>500*0.3048</f>
        <v>152.4</v>
      </c>
      <c r="AB570" s="7" t="s">
        <v>6764</v>
      </c>
    </row>
    <row r="571" spans="1:28" s="8" customFormat="1" ht="21.75" customHeight="1" x14ac:dyDescent="0.2">
      <c r="A571" s="8" t="s">
        <v>2634</v>
      </c>
      <c r="B571" s="8" t="s">
        <v>2635</v>
      </c>
      <c r="C571" s="8" t="s">
        <v>46</v>
      </c>
      <c r="D571" s="8" t="s">
        <v>2639</v>
      </c>
      <c r="E571" s="8" t="s">
        <v>280</v>
      </c>
      <c r="F571" s="8" t="s">
        <v>214</v>
      </c>
      <c r="G571" s="8" t="s">
        <v>2638</v>
      </c>
      <c r="H571" s="3" t="s">
        <v>40</v>
      </c>
      <c r="I571" s="4">
        <v>21.9</v>
      </c>
      <c r="J571" s="4" t="s">
        <v>5763</v>
      </c>
      <c r="K571" s="4" t="s">
        <v>4480</v>
      </c>
      <c r="L571" s="14">
        <v>35</v>
      </c>
      <c r="M571" s="14"/>
      <c r="N571" s="14">
        <v>2600</v>
      </c>
      <c r="O571" s="110" t="s">
        <v>2641</v>
      </c>
      <c r="P571" s="4"/>
      <c r="Q571" s="8">
        <v>22.7</v>
      </c>
      <c r="R571" s="8" t="s">
        <v>2636</v>
      </c>
      <c r="X571" s="8">
        <v>37.048999999999999</v>
      </c>
      <c r="Y571" s="8">
        <v>80.747</v>
      </c>
      <c r="Z571" s="21">
        <v>1362</v>
      </c>
      <c r="AA571" s="8" t="s">
        <v>2643</v>
      </c>
      <c r="AB571" s="8" t="s">
        <v>2646</v>
      </c>
    </row>
    <row r="572" spans="1:28" s="8" customFormat="1" ht="21.75" customHeight="1" x14ac:dyDescent="0.2">
      <c r="A572" s="8" t="s">
        <v>2634</v>
      </c>
      <c r="B572" s="8" t="s">
        <v>2635</v>
      </c>
      <c r="C572" s="8" t="s">
        <v>46</v>
      </c>
      <c r="D572" s="8" t="s">
        <v>2639</v>
      </c>
      <c r="E572" s="8" t="s">
        <v>280</v>
      </c>
      <c r="F572" s="8" t="s">
        <v>214</v>
      </c>
      <c r="G572" s="8" t="s">
        <v>2638</v>
      </c>
      <c r="H572" s="3" t="s">
        <v>40</v>
      </c>
      <c r="I572" s="4">
        <v>13.2</v>
      </c>
      <c r="J572" s="4" t="s">
        <v>5763</v>
      </c>
      <c r="K572" s="4" t="s">
        <v>4480</v>
      </c>
      <c r="L572" s="14">
        <v>35</v>
      </c>
      <c r="M572" s="14"/>
      <c r="N572" s="14">
        <v>2600</v>
      </c>
      <c r="O572" s="110" t="s">
        <v>2647</v>
      </c>
      <c r="P572" s="4"/>
      <c r="Q572" s="8">
        <v>14</v>
      </c>
      <c r="R572" s="8" t="s">
        <v>2636</v>
      </c>
      <c r="X572" s="13">
        <v>37.059399999999997</v>
      </c>
      <c r="Y572" s="25">
        <v>80.740499999999997</v>
      </c>
      <c r="Z572" s="21">
        <v>1353</v>
      </c>
      <c r="AB572" s="8" t="s">
        <v>2645</v>
      </c>
    </row>
    <row r="573" spans="1:28" s="8" customFormat="1" ht="21.75" customHeight="1" x14ac:dyDescent="0.2">
      <c r="A573" s="8" t="s">
        <v>2634</v>
      </c>
      <c r="B573" s="8" t="s">
        <v>2635</v>
      </c>
      <c r="C573" s="8" t="s">
        <v>46</v>
      </c>
      <c r="D573" s="8" t="s">
        <v>2639</v>
      </c>
      <c r="E573" s="8" t="s">
        <v>280</v>
      </c>
      <c r="F573" s="8" t="s">
        <v>214</v>
      </c>
      <c r="G573" s="8" t="s">
        <v>2638</v>
      </c>
      <c r="H573" s="3" t="s">
        <v>40</v>
      </c>
      <c r="I573" s="4">
        <v>10.799999999999999</v>
      </c>
      <c r="J573" s="4" t="s">
        <v>5763</v>
      </c>
      <c r="K573" s="4" t="s">
        <v>4480</v>
      </c>
      <c r="L573" s="14">
        <v>35</v>
      </c>
      <c r="M573" s="14"/>
      <c r="N573" s="14">
        <v>2600</v>
      </c>
      <c r="O573" s="110" t="s">
        <v>2648</v>
      </c>
      <c r="P573" s="4"/>
      <c r="Q573" s="8">
        <v>11.6</v>
      </c>
      <c r="R573" s="8" t="s">
        <v>2636</v>
      </c>
      <c r="X573" s="13">
        <v>37.068600000000004</v>
      </c>
      <c r="Y573" s="25">
        <v>80.727900000000005</v>
      </c>
      <c r="Z573" s="21">
        <v>1348</v>
      </c>
    </row>
    <row r="574" spans="1:28" s="8" customFormat="1" ht="21.75" customHeight="1" x14ac:dyDescent="0.2">
      <c r="A574" s="8" t="s">
        <v>2634</v>
      </c>
      <c r="B574" s="8" t="s">
        <v>2635</v>
      </c>
      <c r="C574" s="8" t="s">
        <v>46</v>
      </c>
      <c r="D574" s="8" t="s">
        <v>2639</v>
      </c>
      <c r="E574" s="8" t="s">
        <v>280</v>
      </c>
      <c r="F574" s="8" t="s">
        <v>214</v>
      </c>
      <c r="G574" s="8" t="s">
        <v>2638</v>
      </c>
      <c r="H574" s="3" t="s">
        <v>40</v>
      </c>
      <c r="I574" s="4">
        <v>6.5</v>
      </c>
      <c r="J574" s="4" t="s">
        <v>5763</v>
      </c>
      <c r="K574" s="4" t="s">
        <v>4480</v>
      </c>
      <c r="L574" s="14">
        <v>35</v>
      </c>
      <c r="M574" s="14"/>
      <c r="N574" s="14">
        <v>2600</v>
      </c>
      <c r="O574" s="110" t="s">
        <v>2649</v>
      </c>
      <c r="P574" s="4"/>
      <c r="Q574" s="8">
        <v>7.3</v>
      </c>
      <c r="R574" s="8" t="s">
        <v>2636</v>
      </c>
      <c r="X574" s="13">
        <f>37+4.862/60</f>
        <v>37.08103333333333</v>
      </c>
      <c r="Y574" s="25">
        <f>80+43.388/60</f>
        <v>80.723133333333337</v>
      </c>
      <c r="Z574" s="21">
        <v>1343</v>
      </c>
    </row>
    <row r="575" spans="1:28" s="8" customFormat="1" ht="21.75" customHeight="1" x14ac:dyDescent="0.2">
      <c r="A575" s="8" t="s">
        <v>2634</v>
      </c>
      <c r="B575" s="8" t="s">
        <v>2635</v>
      </c>
      <c r="C575" s="8" t="s">
        <v>46</v>
      </c>
      <c r="D575" s="8" t="s">
        <v>2640</v>
      </c>
      <c r="E575" s="8" t="s">
        <v>280</v>
      </c>
      <c r="F575" s="8" t="s">
        <v>212</v>
      </c>
      <c r="G575" s="8" t="s">
        <v>2637</v>
      </c>
      <c r="H575" s="3" t="s">
        <v>41</v>
      </c>
      <c r="I575" s="4">
        <v>22.15</v>
      </c>
      <c r="J575" s="4" t="s">
        <v>5763</v>
      </c>
      <c r="K575" s="4" t="s">
        <v>4480</v>
      </c>
      <c r="L575" s="14">
        <v>35</v>
      </c>
      <c r="M575" s="14"/>
      <c r="N575" s="14">
        <v>2600</v>
      </c>
      <c r="O575" s="110" t="s">
        <v>2641</v>
      </c>
      <c r="P575" s="4"/>
      <c r="Q575" s="8">
        <v>23.7</v>
      </c>
      <c r="R575" s="8" t="s">
        <v>2636</v>
      </c>
      <c r="X575" s="13">
        <v>36.989699999999999</v>
      </c>
      <c r="Y575" s="25">
        <v>80.7226</v>
      </c>
      <c r="Z575" s="21">
        <v>1371</v>
      </c>
      <c r="AA575" s="8" t="s">
        <v>2642</v>
      </c>
      <c r="AB575" s="8" t="s">
        <v>2644</v>
      </c>
    </row>
    <row r="576" spans="1:28" s="8" customFormat="1" ht="21.75" customHeight="1" x14ac:dyDescent="0.2">
      <c r="A576" s="8" t="s">
        <v>2634</v>
      </c>
      <c r="B576" s="8" t="s">
        <v>2635</v>
      </c>
      <c r="C576" s="8" t="s">
        <v>46</v>
      </c>
      <c r="D576" s="8" t="s">
        <v>2640</v>
      </c>
      <c r="E576" s="8" t="s">
        <v>280</v>
      </c>
      <c r="F576" s="8" t="s">
        <v>212</v>
      </c>
      <c r="G576" s="8" t="s">
        <v>2637</v>
      </c>
      <c r="H576" s="3" t="s">
        <v>41</v>
      </c>
      <c r="I576" s="4">
        <v>15.25</v>
      </c>
      <c r="J576" s="4" t="s">
        <v>5763</v>
      </c>
      <c r="K576" s="4" t="s">
        <v>4480</v>
      </c>
      <c r="L576" s="14">
        <v>35</v>
      </c>
      <c r="M576" s="14"/>
      <c r="N576" s="14">
        <v>2600</v>
      </c>
      <c r="O576" s="110" t="s">
        <v>2647</v>
      </c>
      <c r="P576" s="4"/>
      <c r="Q576" s="8">
        <v>16.8</v>
      </c>
      <c r="R576" s="8" t="s">
        <v>2636</v>
      </c>
      <c r="X576" s="13">
        <v>37</v>
      </c>
      <c r="Y576" s="25">
        <v>80.716200000000001</v>
      </c>
      <c r="Z576" s="21">
        <v>1360</v>
      </c>
      <c r="AB576" s="8" t="s">
        <v>2645</v>
      </c>
    </row>
    <row r="577" spans="1:28" s="8" customFormat="1" ht="21.75" customHeight="1" x14ac:dyDescent="0.2">
      <c r="A577" s="8" t="s">
        <v>2634</v>
      </c>
      <c r="B577" s="8" t="s">
        <v>2635</v>
      </c>
      <c r="C577" s="8" t="s">
        <v>46</v>
      </c>
      <c r="D577" s="8" t="s">
        <v>2640</v>
      </c>
      <c r="E577" s="8" t="s">
        <v>280</v>
      </c>
      <c r="F577" s="8" t="s">
        <v>212</v>
      </c>
      <c r="G577" s="8" t="s">
        <v>2637</v>
      </c>
      <c r="H577" s="3" t="s">
        <v>41</v>
      </c>
      <c r="I577" s="4">
        <v>10.649999999999999</v>
      </c>
      <c r="J577" s="4" t="s">
        <v>5763</v>
      </c>
      <c r="K577" s="4" t="s">
        <v>4480</v>
      </c>
      <c r="L577" s="14">
        <v>35</v>
      </c>
      <c r="M577" s="14"/>
      <c r="N577" s="14">
        <v>2600</v>
      </c>
      <c r="O577" s="110" t="s">
        <v>2648</v>
      </c>
      <c r="P577" s="4"/>
      <c r="Q577" s="8">
        <v>12.2</v>
      </c>
      <c r="R577" s="8" t="s">
        <v>2636</v>
      </c>
      <c r="X577" s="13">
        <v>37.005699999999997</v>
      </c>
      <c r="Y577" s="25">
        <v>80.688000000000002</v>
      </c>
      <c r="Z577" s="21">
        <v>1358</v>
      </c>
    </row>
    <row r="578" spans="1:28" s="8" customFormat="1" ht="21.75" customHeight="1" x14ac:dyDescent="0.2">
      <c r="A578" s="8" t="s">
        <v>2634</v>
      </c>
      <c r="B578" s="8" t="s">
        <v>2635</v>
      </c>
      <c r="C578" s="8" t="s">
        <v>46</v>
      </c>
      <c r="D578" s="8" t="s">
        <v>2640</v>
      </c>
      <c r="E578" s="8" t="s">
        <v>280</v>
      </c>
      <c r="F578" s="8" t="s">
        <v>212</v>
      </c>
      <c r="G578" s="8" t="s">
        <v>2637</v>
      </c>
      <c r="H578" s="3" t="s">
        <v>41</v>
      </c>
      <c r="I578" s="4">
        <v>8.25</v>
      </c>
      <c r="J578" s="4" t="s">
        <v>5763</v>
      </c>
      <c r="K578" s="4" t="s">
        <v>4480</v>
      </c>
      <c r="L578" s="14">
        <v>35</v>
      </c>
      <c r="M578" s="14"/>
      <c r="N578" s="14">
        <v>2600</v>
      </c>
      <c r="O578" s="110" t="s">
        <v>2649</v>
      </c>
      <c r="P578" s="4"/>
      <c r="Q578" s="8">
        <v>9.8000000000000007</v>
      </c>
      <c r="R578" s="8" t="s">
        <v>2636</v>
      </c>
      <c r="X578" s="13">
        <f>37+0.663/60</f>
        <v>37.011049999999997</v>
      </c>
      <c r="Y578" s="25">
        <f>80+40.166/60</f>
        <v>80.66943333333333</v>
      </c>
      <c r="Z578" s="21">
        <v>1355</v>
      </c>
    </row>
    <row r="579" spans="1:28" ht="21.75" customHeight="1" x14ac:dyDescent="0.2">
      <c r="A579" s="7" t="s">
        <v>679</v>
      </c>
      <c r="B579" s="7" t="s">
        <v>680</v>
      </c>
      <c r="C579" s="7" t="s">
        <v>46</v>
      </c>
      <c r="D579" s="7" t="s">
        <v>745</v>
      </c>
      <c r="E579" s="7" t="s">
        <v>749</v>
      </c>
      <c r="F579" s="7" t="s">
        <v>214</v>
      </c>
      <c r="G579" s="7" t="s">
        <v>746</v>
      </c>
      <c r="H579" s="1" t="s">
        <v>747</v>
      </c>
      <c r="I579" s="7">
        <v>2</v>
      </c>
      <c r="J579" s="7" t="s">
        <v>5764</v>
      </c>
      <c r="K579" s="7" t="s">
        <v>5713</v>
      </c>
      <c r="O579" s="45" t="s">
        <v>754</v>
      </c>
      <c r="Q579" s="7" t="s">
        <v>751</v>
      </c>
      <c r="R579" s="7" t="s">
        <v>753</v>
      </c>
      <c r="X579" s="5">
        <v>36.816200000000002</v>
      </c>
      <c r="Y579" s="5">
        <v>-118.1494</v>
      </c>
      <c r="Z579" s="6">
        <v>1164</v>
      </c>
      <c r="AB579" s="139" t="s">
        <v>756</v>
      </c>
    </row>
    <row r="580" spans="1:28" ht="21.75" customHeight="1" x14ac:dyDescent="0.2">
      <c r="A580" s="7" t="s">
        <v>679</v>
      </c>
      <c r="B580" s="7" t="s">
        <v>680</v>
      </c>
      <c r="C580" s="7" t="s">
        <v>46</v>
      </c>
      <c r="D580" s="7" t="s">
        <v>745</v>
      </c>
      <c r="E580" s="7" t="s">
        <v>398</v>
      </c>
      <c r="F580" s="7" t="s">
        <v>214</v>
      </c>
      <c r="G580" s="7" t="s">
        <v>750</v>
      </c>
      <c r="H580" s="1" t="s">
        <v>748</v>
      </c>
      <c r="I580" s="7">
        <v>2.4</v>
      </c>
      <c r="J580" s="7" t="s">
        <v>5764</v>
      </c>
      <c r="K580" s="7" t="s">
        <v>5713</v>
      </c>
      <c r="O580" s="45" t="s">
        <v>754</v>
      </c>
      <c r="Q580" s="7" t="s">
        <v>752</v>
      </c>
      <c r="R580" s="7" t="s">
        <v>753</v>
      </c>
      <c r="X580" s="5">
        <v>36.816200000000002</v>
      </c>
      <c r="Y580" s="5">
        <v>-118.1494</v>
      </c>
      <c r="Z580" s="6">
        <v>1164</v>
      </c>
      <c r="AA580" s="7" t="s">
        <v>755</v>
      </c>
      <c r="AB580" s="139"/>
    </row>
    <row r="581" spans="1:28" s="8" customFormat="1" ht="21.75" customHeight="1" x14ac:dyDescent="0.2">
      <c r="A581" s="8" t="s">
        <v>5796</v>
      </c>
      <c r="B581" s="8" t="s">
        <v>764</v>
      </c>
      <c r="C581" s="8" t="s">
        <v>765</v>
      </c>
      <c r="D581" s="8" t="s">
        <v>766</v>
      </c>
      <c r="E581" s="8" t="s">
        <v>769</v>
      </c>
      <c r="F581" s="8" t="s">
        <v>214</v>
      </c>
      <c r="G581" s="8" t="s">
        <v>768</v>
      </c>
      <c r="H581" s="3" t="s">
        <v>767</v>
      </c>
      <c r="I581" s="8">
        <v>28</v>
      </c>
      <c r="J581" s="8" t="s">
        <v>5767</v>
      </c>
      <c r="K581" s="8" t="s">
        <v>4480</v>
      </c>
      <c r="L581" s="14">
        <v>218</v>
      </c>
      <c r="M581" s="14"/>
      <c r="N581" s="14"/>
      <c r="O581" s="110" t="s">
        <v>770</v>
      </c>
      <c r="P581" s="4"/>
      <c r="Q581" s="8">
        <v>28</v>
      </c>
      <c r="R581" s="8" t="s">
        <v>771</v>
      </c>
      <c r="X581" s="13">
        <f>37+8/60</f>
        <v>37.133333333333333</v>
      </c>
      <c r="Y581" s="13">
        <f>-(2+22/60)</f>
        <v>-2.3666666666666667</v>
      </c>
      <c r="Z581" s="14">
        <v>655</v>
      </c>
      <c r="AA581" s="8" t="s">
        <v>772</v>
      </c>
      <c r="AB581" s="8" t="s">
        <v>773</v>
      </c>
    </row>
    <row r="582" spans="1:28" ht="21.75" customHeight="1" x14ac:dyDescent="0.2">
      <c r="A582" s="7" t="s">
        <v>996</v>
      </c>
      <c r="B582" s="7" t="s">
        <v>997</v>
      </c>
      <c r="C582" s="7" t="s">
        <v>46</v>
      </c>
      <c r="E582" s="7" t="s">
        <v>33</v>
      </c>
      <c r="F582" s="7" t="s">
        <v>212</v>
      </c>
      <c r="G582" s="7" t="s">
        <v>998</v>
      </c>
      <c r="H582" s="1" t="s">
        <v>999</v>
      </c>
      <c r="I582" s="7">
        <v>0.66</v>
      </c>
      <c r="J582" s="7" t="s">
        <v>4367</v>
      </c>
      <c r="K582" s="7" t="s">
        <v>5713</v>
      </c>
      <c r="O582" s="45" t="s">
        <v>1001</v>
      </c>
      <c r="R582" s="7" t="s">
        <v>1000</v>
      </c>
      <c r="U582" s="7" t="s">
        <v>128</v>
      </c>
      <c r="X582" s="5">
        <v>35.258099999999999</v>
      </c>
      <c r="Y582" s="5">
        <v>-111.6734</v>
      </c>
      <c r="Z582" s="6">
        <v>2261</v>
      </c>
      <c r="AB582" s="7" t="s">
        <v>1002</v>
      </c>
    </row>
    <row r="583" spans="1:28" s="8" customFormat="1" ht="21.75" customHeight="1" x14ac:dyDescent="0.2">
      <c r="A583" s="8" t="s">
        <v>1003</v>
      </c>
      <c r="B583" s="8" t="s">
        <v>1004</v>
      </c>
      <c r="C583" s="8" t="s">
        <v>116</v>
      </c>
      <c r="D583" s="8" t="s">
        <v>94</v>
      </c>
      <c r="E583" s="8" t="s">
        <v>33</v>
      </c>
      <c r="F583" s="8" t="s">
        <v>212</v>
      </c>
      <c r="G583" s="8" t="s">
        <v>1013</v>
      </c>
      <c r="H583" s="3" t="s">
        <v>1005</v>
      </c>
      <c r="I583" s="4">
        <v>5</v>
      </c>
      <c r="J583" s="4" t="s">
        <v>4367</v>
      </c>
      <c r="K583" s="4" t="s">
        <v>5765</v>
      </c>
      <c r="L583" s="14">
        <v>825</v>
      </c>
      <c r="M583" s="14"/>
      <c r="N583" s="14"/>
      <c r="O583" s="110"/>
      <c r="P583" s="4"/>
      <c r="R583" s="8" t="s">
        <v>1012</v>
      </c>
      <c r="W583" s="8" t="s">
        <v>94</v>
      </c>
      <c r="X583" s="13">
        <v>-27.9255</v>
      </c>
      <c r="Y583" s="13">
        <v>31.584099999999999</v>
      </c>
      <c r="Z583" s="14">
        <v>507</v>
      </c>
      <c r="AA583" s="8" t="s">
        <v>1006</v>
      </c>
      <c r="AB583" s="8" t="s">
        <v>1007</v>
      </c>
    </row>
    <row r="584" spans="1:28" s="8" customFormat="1" ht="21.75" customHeight="1" x14ac:dyDescent="0.2">
      <c r="A584" s="8" t="s">
        <v>1003</v>
      </c>
      <c r="B584" s="8" t="s">
        <v>1004</v>
      </c>
      <c r="C584" s="8" t="s">
        <v>116</v>
      </c>
      <c r="D584" s="8" t="s">
        <v>94</v>
      </c>
      <c r="E584" s="8" t="s">
        <v>33</v>
      </c>
      <c r="F584" s="8" t="s">
        <v>212</v>
      </c>
      <c r="G584" s="8" t="s">
        <v>1014</v>
      </c>
      <c r="H584" s="3" t="s">
        <v>1008</v>
      </c>
      <c r="I584" s="4">
        <f>15*0.3048</f>
        <v>4.5720000000000001</v>
      </c>
      <c r="J584" s="4" t="s">
        <v>4367</v>
      </c>
      <c r="K584" s="4" t="s">
        <v>5765</v>
      </c>
      <c r="L584" s="14">
        <v>825</v>
      </c>
      <c r="M584" s="14"/>
      <c r="N584" s="14"/>
      <c r="O584" s="110"/>
      <c r="P584" s="4"/>
      <c r="R584" s="8" t="s">
        <v>1012</v>
      </c>
      <c r="W584" s="8" t="s">
        <v>94</v>
      </c>
      <c r="X584" s="13">
        <v>-27.926500000000001</v>
      </c>
      <c r="Y584" s="13">
        <v>31.582599999999999</v>
      </c>
      <c r="Z584" s="14">
        <v>504</v>
      </c>
      <c r="AA584" s="27" t="s">
        <v>1009</v>
      </c>
      <c r="AB584" s="8" t="s">
        <v>1016</v>
      </c>
    </row>
    <row r="585" spans="1:28" s="8" customFormat="1" ht="21.75" customHeight="1" x14ac:dyDescent="0.2">
      <c r="A585" s="8" t="s">
        <v>1003</v>
      </c>
      <c r="B585" s="8" t="s">
        <v>1004</v>
      </c>
      <c r="C585" s="8" t="s">
        <v>116</v>
      </c>
      <c r="D585" s="8" t="s">
        <v>94</v>
      </c>
      <c r="E585" s="8" t="s">
        <v>263</v>
      </c>
      <c r="F585" s="8" t="s">
        <v>212</v>
      </c>
      <c r="G585" s="8" t="s">
        <v>1015</v>
      </c>
      <c r="H585" s="3" t="s">
        <v>1010</v>
      </c>
      <c r="I585" s="8">
        <v>0.94</v>
      </c>
      <c r="J585" s="4" t="s">
        <v>4367</v>
      </c>
      <c r="K585" s="4" t="s">
        <v>5765</v>
      </c>
      <c r="L585" s="14">
        <v>825</v>
      </c>
      <c r="M585" s="14"/>
      <c r="N585" s="14"/>
      <c r="O585" s="110"/>
      <c r="Q585" s="4">
        <v>0.91</v>
      </c>
      <c r="R585" s="8" t="s">
        <v>1012</v>
      </c>
      <c r="W585" s="8" t="s">
        <v>94</v>
      </c>
      <c r="X585" s="13">
        <v>-27.926600000000001</v>
      </c>
      <c r="Y585" s="13">
        <v>31.584</v>
      </c>
      <c r="Z585" s="14">
        <v>471</v>
      </c>
      <c r="AA585" s="132" t="s">
        <v>1011</v>
      </c>
      <c r="AB585" s="8" t="s">
        <v>1016</v>
      </c>
    </row>
    <row r="586" spans="1:28" s="8" customFormat="1" ht="21.75" customHeight="1" x14ac:dyDescent="0.2">
      <c r="A586" s="8" t="s">
        <v>1003</v>
      </c>
      <c r="B586" s="8" t="s">
        <v>1004</v>
      </c>
      <c r="C586" s="8" t="s">
        <v>116</v>
      </c>
      <c r="D586" s="8" t="s">
        <v>94</v>
      </c>
      <c r="E586" s="8" t="s">
        <v>263</v>
      </c>
      <c r="F586" s="8" t="s">
        <v>212</v>
      </c>
      <c r="G586" s="8" t="s">
        <v>1015</v>
      </c>
      <c r="H586" s="3" t="s">
        <v>1010</v>
      </c>
      <c r="I586" s="8">
        <v>1.55</v>
      </c>
      <c r="J586" s="4" t="s">
        <v>4367</v>
      </c>
      <c r="K586" s="4" t="s">
        <v>5765</v>
      </c>
      <c r="L586" s="14">
        <v>825</v>
      </c>
      <c r="M586" s="14"/>
      <c r="N586" s="14"/>
      <c r="O586" s="110"/>
      <c r="Q586" s="4">
        <v>1.52</v>
      </c>
      <c r="R586" s="8" t="s">
        <v>1012</v>
      </c>
      <c r="W586" s="8" t="s">
        <v>94</v>
      </c>
      <c r="X586" s="13">
        <v>-27.926200000000001</v>
      </c>
      <c r="Y586" s="13">
        <v>31.584900000000001</v>
      </c>
      <c r="Z586" s="14">
        <v>494</v>
      </c>
      <c r="AA586" s="133"/>
      <c r="AB586" s="8" t="s">
        <v>1016</v>
      </c>
    </row>
    <row r="587" spans="1:28" ht="21.75" customHeight="1" x14ac:dyDescent="0.2">
      <c r="A587" s="7" t="s">
        <v>757</v>
      </c>
      <c r="B587" s="7" t="s">
        <v>758</v>
      </c>
      <c r="C587" s="7" t="s">
        <v>760</v>
      </c>
      <c r="E587" s="7" t="s">
        <v>263</v>
      </c>
      <c r="F587" s="7" t="s">
        <v>212</v>
      </c>
      <c r="H587" s="1" t="s">
        <v>761</v>
      </c>
      <c r="I587" s="7">
        <v>0.7</v>
      </c>
      <c r="J587" s="7" t="s">
        <v>5766</v>
      </c>
      <c r="K587" s="7" t="s">
        <v>5753</v>
      </c>
      <c r="L587" s="6">
        <v>1927</v>
      </c>
      <c r="R587" s="7" t="s">
        <v>762</v>
      </c>
      <c r="X587" s="5">
        <v>23.133330000000001</v>
      </c>
      <c r="Y587" s="5">
        <v>112.58333</v>
      </c>
      <c r="Z587" s="6">
        <v>97</v>
      </c>
      <c r="AA587" s="7" t="s">
        <v>763</v>
      </c>
      <c r="AB587" s="7" t="s">
        <v>759</v>
      </c>
    </row>
    <row r="588" spans="1:28" s="8" customFormat="1" ht="21.75" customHeight="1" x14ac:dyDescent="0.2">
      <c r="A588" s="8" t="s">
        <v>4106</v>
      </c>
      <c r="B588" s="8" t="s">
        <v>4107</v>
      </c>
      <c r="C588" s="8" t="s">
        <v>46</v>
      </c>
      <c r="D588" s="8" t="s">
        <v>4109</v>
      </c>
      <c r="E588" s="8" t="s">
        <v>33</v>
      </c>
      <c r="F588" s="8" t="s">
        <v>214</v>
      </c>
      <c r="G588" s="8" t="s">
        <v>4114</v>
      </c>
      <c r="H588" s="3" t="s">
        <v>4113</v>
      </c>
      <c r="I588" s="8">
        <v>1.04</v>
      </c>
      <c r="J588" s="8" t="s">
        <v>4367</v>
      </c>
      <c r="K588" s="8" t="s">
        <v>4480</v>
      </c>
      <c r="L588" s="14">
        <v>360</v>
      </c>
      <c r="M588" s="14" t="s">
        <v>4116</v>
      </c>
      <c r="N588" s="14" t="s">
        <v>4115</v>
      </c>
      <c r="O588" s="110" t="s">
        <v>4117</v>
      </c>
      <c r="P588" s="4"/>
      <c r="R588" s="8" t="s">
        <v>2538</v>
      </c>
      <c r="W588" s="8" t="s">
        <v>4112</v>
      </c>
      <c r="X588" s="13">
        <v>39.0015</v>
      </c>
      <c r="Y588" s="13">
        <v>109.1421</v>
      </c>
      <c r="Z588" s="14">
        <v>1317</v>
      </c>
      <c r="AA588" s="132" t="s">
        <v>4118</v>
      </c>
      <c r="AB588" s="138" t="s">
        <v>4108</v>
      </c>
    </row>
    <row r="589" spans="1:28" s="8" customFormat="1" ht="21.75" customHeight="1" x14ac:dyDescent="0.2">
      <c r="A589" s="8" t="s">
        <v>4106</v>
      </c>
      <c r="B589" s="8" t="s">
        <v>4107</v>
      </c>
      <c r="C589" s="8" t="s">
        <v>46</v>
      </c>
      <c r="D589" s="8" t="s">
        <v>4110</v>
      </c>
      <c r="E589" s="8" t="s">
        <v>33</v>
      </c>
      <c r="F589" s="8" t="s">
        <v>214</v>
      </c>
      <c r="G589" s="8" t="s">
        <v>4114</v>
      </c>
      <c r="H589" s="3" t="s">
        <v>4113</v>
      </c>
      <c r="I589" s="8">
        <v>1.02</v>
      </c>
      <c r="J589" s="8" t="s">
        <v>4367</v>
      </c>
      <c r="K589" s="8" t="s">
        <v>4480</v>
      </c>
      <c r="L589" s="14">
        <v>360</v>
      </c>
      <c r="M589" s="14" t="s">
        <v>4116</v>
      </c>
      <c r="N589" s="14" t="s">
        <v>4115</v>
      </c>
      <c r="O589" s="110" t="s">
        <v>2641</v>
      </c>
      <c r="P589" s="4"/>
      <c r="R589" s="8" t="s">
        <v>2538</v>
      </c>
      <c r="W589" s="8" t="s">
        <v>4112</v>
      </c>
      <c r="X589" s="8">
        <v>39.003500000000003</v>
      </c>
      <c r="Y589" s="13">
        <v>109.14149999999999</v>
      </c>
      <c r="Z589" s="14">
        <v>1320</v>
      </c>
      <c r="AA589" s="137"/>
      <c r="AB589" s="138"/>
    </row>
    <row r="590" spans="1:28" s="8" customFormat="1" ht="21.75" customHeight="1" x14ac:dyDescent="0.2">
      <c r="A590" s="8" t="s">
        <v>4106</v>
      </c>
      <c r="B590" s="8" t="s">
        <v>4107</v>
      </c>
      <c r="C590" s="8" t="s">
        <v>46</v>
      </c>
      <c r="D590" s="8" t="s">
        <v>4111</v>
      </c>
      <c r="E590" s="8" t="s">
        <v>33</v>
      </c>
      <c r="F590" s="8" t="s">
        <v>214</v>
      </c>
      <c r="G590" s="8" t="s">
        <v>4114</v>
      </c>
      <c r="H590" s="3" t="s">
        <v>4113</v>
      </c>
      <c r="I590" s="8">
        <v>0.86</v>
      </c>
      <c r="J590" s="8" t="s">
        <v>4367</v>
      </c>
      <c r="K590" s="8" t="s">
        <v>4480</v>
      </c>
      <c r="L590" s="14">
        <v>360</v>
      </c>
      <c r="M590" s="14" t="s">
        <v>4116</v>
      </c>
      <c r="N590" s="14" t="s">
        <v>4115</v>
      </c>
      <c r="O590" s="110" t="s">
        <v>2649</v>
      </c>
      <c r="P590" s="4"/>
      <c r="R590" s="8" t="s">
        <v>2538</v>
      </c>
      <c r="W590" s="8" t="s">
        <v>4112</v>
      </c>
      <c r="X590" s="13">
        <v>39.000500000000002</v>
      </c>
      <c r="Y590" s="13">
        <v>109.1431</v>
      </c>
      <c r="Z590" s="14">
        <v>1315</v>
      </c>
      <c r="AA590" s="133"/>
      <c r="AB590" s="138"/>
    </row>
    <row r="591" spans="1:28" ht="21.75" customHeight="1" x14ac:dyDescent="0.2">
      <c r="A591" s="7" t="s">
        <v>774</v>
      </c>
      <c r="B591" s="7" t="s">
        <v>783</v>
      </c>
      <c r="C591" s="7" t="s">
        <v>784</v>
      </c>
      <c r="D591" s="7" t="s">
        <v>775</v>
      </c>
      <c r="E591" s="7" t="s">
        <v>33</v>
      </c>
      <c r="F591" s="7" t="s">
        <v>214</v>
      </c>
      <c r="G591" s="7" t="s">
        <v>785</v>
      </c>
      <c r="H591" s="1" t="s">
        <v>786</v>
      </c>
      <c r="I591" s="2" t="s">
        <v>823</v>
      </c>
      <c r="J591" s="2" t="s">
        <v>4367</v>
      </c>
      <c r="K591" s="2" t="s">
        <v>5769</v>
      </c>
      <c r="O591" s="45" t="s">
        <v>985</v>
      </c>
      <c r="R591" s="7" t="s">
        <v>984</v>
      </c>
      <c r="U591" s="7" t="s">
        <v>983</v>
      </c>
      <c r="V591" s="7" t="s">
        <v>982</v>
      </c>
      <c r="X591" s="5">
        <v>34.389600000000002</v>
      </c>
      <c r="Y591" s="5">
        <v>-118.08159999999999</v>
      </c>
      <c r="Z591" s="6">
        <f>4965*0.3048</f>
        <v>1513.3320000000001</v>
      </c>
      <c r="AA591" s="134" t="s">
        <v>836</v>
      </c>
      <c r="AB591" s="139" t="s">
        <v>854</v>
      </c>
    </row>
    <row r="592" spans="1:28" ht="21.75" customHeight="1" x14ac:dyDescent="0.2">
      <c r="A592" s="7" t="s">
        <v>774</v>
      </c>
      <c r="B592" s="7" t="s">
        <v>783</v>
      </c>
      <c r="C592" s="7" t="s">
        <v>784</v>
      </c>
      <c r="D592" s="7" t="s">
        <v>776</v>
      </c>
      <c r="E592" s="7" t="s">
        <v>33</v>
      </c>
      <c r="F592" s="7" t="s">
        <v>214</v>
      </c>
      <c r="G592" s="7" t="s">
        <v>785</v>
      </c>
      <c r="H592" s="1" t="s">
        <v>786</v>
      </c>
      <c r="I592" s="2">
        <v>7.62</v>
      </c>
      <c r="J592" s="2" t="s">
        <v>5768</v>
      </c>
      <c r="K592" s="2" t="s">
        <v>5769</v>
      </c>
      <c r="O592" s="45" t="s">
        <v>994</v>
      </c>
      <c r="R592" s="7" t="s">
        <v>995</v>
      </c>
      <c r="X592" s="5">
        <v>34.186399999999999</v>
      </c>
      <c r="Y592" s="5">
        <v>-117.1777</v>
      </c>
      <c r="Z592" s="6">
        <f>2608*0.3048</f>
        <v>794.91840000000002</v>
      </c>
      <c r="AA592" s="135"/>
      <c r="AB592" s="139"/>
    </row>
    <row r="593" spans="1:28" ht="21.75" customHeight="1" x14ac:dyDescent="0.2">
      <c r="A593" s="7" t="s">
        <v>774</v>
      </c>
      <c r="B593" s="7" t="s">
        <v>783</v>
      </c>
      <c r="C593" s="7" t="s">
        <v>784</v>
      </c>
      <c r="D593" s="7" t="s">
        <v>775</v>
      </c>
      <c r="E593" s="7" t="s">
        <v>263</v>
      </c>
      <c r="F593" s="7" t="s">
        <v>214</v>
      </c>
      <c r="G593" s="7" t="s">
        <v>787</v>
      </c>
      <c r="H593" s="1" t="s">
        <v>788</v>
      </c>
      <c r="I593" s="2" t="s">
        <v>824</v>
      </c>
      <c r="J593" s="2" t="s">
        <v>4367</v>
      </c>
      <c r="K593" s="2" t="s">
        <v>5769</v>
      </c>
      <c r="O593" s="45" t="s">
        <v>985</v>
      </c>
      <c r="R593" s="7" t="s">
        <v>984</v>
      </c>
      <c r="U593" s="7" t="s">
        <v>983</v>
      </c>
      <c r="V593" s="7" t="s">
        <v>982</v>
      </c>
      <c r="X593" s="5">
        <v>34.389600000000002</v>
      </c>
      <c r="Y593" s="5">
        <v>-118.08159999999999</v>
      </c>
      <c r="Z593" s="6">
        <f>4965*0.3048</f>
        <v>1513.3320000000001</v>
      </c>
      <c r="AA593" s="134" t="s">
        <v>837</v>
      </c>
      <c r="AB593" s="139"/>
    </row>
    <row r="594" spans="1:28" ht="21.75" customHeight="1" x14ac:dyDescent="0.2">
      <c r="A594" s="7" t="s">
        <v>774</v>
      </c>
      <c r="B594" s="7" t="s">
        <v>783</v>
      </c>
      <c r="C594" s="7" t="s">
        <v>784</v>
      </c>
      <c r="D594" s="7" t="s">
        <v>776</v>
      </c>
      <c r="E594" s="7" t="s">
        <v>263</v>
      </c>
      <c r="F594" s="7" t="s">
        <v>214</v>
      </c>
      <c r="G594" s="7" t="s">
        <v>787</v>
      </c>
      <c r="H594" s="1" t="s">
        <v>788</v>
      </c>
      <c r="I594" s="2">
        <v>5.1816000000000004</v>
      </c>
      <c r="J594" s="2" t="s">
        <v>5768</v>
      </c>
      <c r="K594" s="2" t="s">
        <v>5769</v>
      </c>
      <c r="O594" s="45" t="s">
        <v>994</v>
      </c>
      <c r="R594" s="7" t="s">
        <v>995</v>
      </c>
      <c r="X594" s="5">
        <v>34.186399999999999</v>
      </c>
      <c r="Y594" s="5">
        <v>-117.1777</v>
      </c>
      <c r="Z594" s="6">
        <f>2608*0.3048</f>
        <v>794.91840000000002</v>
      </c>
      <c r="AA594" s="135"/>
      <c r="AB594" s="139"/>
    </row>
    <row r="595" spans="1:28" ht="21.75" customHeight="1" x14ac:dyDescent="0.2">
      <c r="A595" s="7" t="s">
        <v>774</v>
      </c>
      <c r="B595" s="7" t="s">
        <v>783</v>
      </c>
      <c r="C595" s="7" t="s">
        <v>784</v>
      </c>
      <c r="D595" s="7" t="s">
        <v>777</v>
      </c>
      <c r="E595" s="7" t="s">
        <v>263</v>
      </c>
      <c r="F595" s="7" t="s">
        <v>214</v>
      </c>
      <c r="G595" s="7" t="s">
        <v>789</v>
      </c>
      <c r="H595" s="1" t="s">
        <v>790</v>
      </c>
      <c r="I595" s="2" t="s">
        <v>825</v>
      </c>
      <c r="J595" s="2" t="s">
        <v>4367</v>
      </c>
      <c r="K595" s="2" t="s">
        <v>5769</v>
      </c>
      <c r="R595" s="7" t="s">
        <v>988</v>
      </c>
      <c r="U595" s="7" t="s">
        <v>989</v>
      </c>
      <c r="V595" s="7">
        <v>0.45</v>
      </c>
      <c r="X595" s="5">
        <v>34.224899999999998</v>
      </c>
      <c r="Y595" s="5">
        <v>-118.1095</v>
      </c>
      <c r="Z595" s="6">
        <f>4500*0.3048</f>
        <v>1371.6000000000001</v>
      </c>
      <c r="AA595" s="134" t="s">
        <v>838</v>
      </c>
      <c r="AB595" s="139"/>
    </row>
    <row r="596" spans="1:28" ht="21.75" customHeight="1" x14ac:dyDescent="0.2">
      <c r="A596" s="7" t="s">
        <v>774</v>
      </c>
      <c r="B596" s="7" t="s">
        <v>783</v>
      </c>
      <c r="C596" s="7" t="s">
        <v>784</v>
      </c>
      <c r="D596" s="7" t="s">
        <v>778</v>
      </c>
      <c r="E596" s="7" t="s">
        <v>263</v>
      </c>
      <c r="F596" s="7" t="s">
        <v>214</v>
      </c>
      <c r="G596" s="7" t="s">
        <v>789</v>
      </c>
      <c r="H596" s="1" t="s">
        <v>790</v>
      </c>
      <c r="I596" s="2">
        <v>3.6576000000000004</v>
      </c>
      <c r="J596" s="2" t="s">
        <v>5768</v>
      </c>
      <c r="K596" s="2" t="s">
        <v>5769</v>
      </c>
      <c r="O596" s="45" t="s">
        <v>994</v>
      </c>
      <c r="R596" s="7" t="s">
        <v>995</v>
      </c>
      <c r="U596" s="7" t="s">
        <v>856</v>
      </c>
      <c r="X596" s="5">
        <v>34.305500000000002</v>
      </c>
      <c r="Y596" s="5">
        <v>-118.261</v>
      </c>
      <c r="Z596" s="6">
        <f>1965*0.3048</f>
        <v>598.93200000000002</v>
      </c>
      <c r="AA596" s="135"/>
      <c r="AB596" s="139"/>
    </row>
    <row r="597" spans="1:28" ht="21.75" customHeight="1" x14ac:dyDescent="0.2">
      <c r="A597" s="7" t="s">
        <v>774</v>
      </c>
      <c r="B597" s="7" t="s">
        <v>783</v>
      </c>
      <c r="C597" s="7" t="s">
        <v>784</v>
      </c>
      <c r="D597" s="7" t="s">
        <v>779</v>
      </c>
      <c r="E597" s="7" t="s">
        <v>263</v>
      </c>
      <c r="F597" s="7" t="s">
        <v>821</v>
      </c>
      <c r="G597" s="7" t="s">
        <v>791</v>
      </c>
      <c r="H597" s="1" t="s">
        <v>792</v>
      </c>
      <c r="I597" s="2" t="s">
        <v>826</v>
      </c>
      <c r="J597" s="2" t="s">
        <v>4367</v>
      </c>
      <c r="K597" s="2" t="s">
        <v>5769</v>
      </c>
      <c r="O597" s="45" t="s">
        <v>990</v>
      </c>
      <c r="R597" s="7" t="s">
        <v>993</v>
      </c>
      <c r="U597" s="7" t="s">
        <v>991</v>
      </c>
      <c r="V597" s="7" t="s">
        <v>992</v>
      </c>
      <c r="X597" s="5">
        <v>34.226900000000001</v>
      </c>
      <c r="Y597" s="5">
        <v>-118.159983</v>
      </c>
      <c r="Z597" s="6">
        <f>2500*0.3048</f>
        <v>762</v>
      </c>
      <c r="AA597" s="7" t="s">
        <v>839</v>
      </c>
      <c r="AB597" s="139"/>
    </row>
    <row r="598" spans="1:28" ht="21.75" customHeight="1" x14ac:dyDescent="0.2">
      <c r="A598" s="7" t="s">
        <v>774</v>
      </c>
      <c r="B598" s="7" t="s">
        <v>783</v>
      </c>
      <c r="C598" s="7" t="s">
        <v>784</v>
      </c>
      <c r="D598" s="7" t="s">
        <v>778</v>
      </c>
      <c r="E598" s="7" t="s">
        <v>263</v>
      </c>
      <c r="F598" s="7" t="s">
        <v>212</v>
      </c>
      <c r="G598" s="7" t="s">
        <v>793</v>
      </c>
      <c r="H598" s="1" t="s">
        <v>5738</v>
      </c>
      <c r="I598" s="2">
        <v>7.3152000000000008</v>
      </c>
      <c r="J598" s="2" t="s">
        <v>5768</v>
      </c>
      <c r="K598" s="2" t="s">
        <v>5769</v>
      </c>
      <c r="O598" s="45" t="s">
        <v>994</v>
      </c>
      <c r="R598" s="7" t="s">
        <v>995</v>
      </c>
      <c r="U598" s="7" t="s">
        <v>856</v>
      </c>
      <c r="X598" s="5">
        <v>34.305500000000002</v>
      </c>
      <c r="Y598" s="5">
        <v>-118.261</v>
      </c>
      <c r="Z598" s="6">
        <f>1965*0.3048</f>
        <v>598.93200000000002</v>
      </c>
      <c r="AA598" s="7" t="s">
        <v>840</v>
      </c>
      <c r="AB598" s="139"/>
    </row>
    <row r="599" spans="1:28" ht="21.75" customHeight="1" x14ac:dyDescent="0.2">
      <c r="A599" s="7" t="s">
        <v>774</v>
      </c>
      <c r="B599" s="7" t="s">
        <v>783</v>
      </c>
      <c r="C599" s="7" t="s">
        <v>784</v>
      </c>
      <c r="D599" s="7" t="s">
        <v>779</v>
      </c>
      <c r="E599" s="7" t="s">
        <v>263</v>
      </c>
      <c r="F599" s="7" t="s">
        <v>214</v>
      </c>
      <c r="G599" s="7" t="s">
        <v>794</v>
      </c>
      <c r="H599" s="1" t="s">
        <v>795</v>
      </c>
      <c r="I599" s="2" t="s">
        <v>827</v>
      </c>
      <c r="J599" s="2" t="s">
        <v>4367</v>
      </c>
      <c r="K599" s="2" t="s">
        <v>5769</v>
      </c>
      <c r="O599" s="45" t="s">
        <v>990</v>
      </c>
      <c r="R599" s="7" t="s">
        <v>993</v>
      </c>
      <c r="U599" s="7" t="s">
        <v>991</v>
      </c>
      <c r="V599" s="7" t="s">
        <v>992</v>
      </c>
      <c r="X599" s="5">
        <v>34.226900000000001</v>
      </c>
      <c r="Y599" s="5">
        <v>-118.159983</v>
      </c>
      <c r="Z599" s="6">
        <f>2500*0.3048</f>
        <v>762</v>
      </c>
      <c r="AA599" s="134" t="s">
        <v>841</v>
      </c>
      <c r="AB599" s="139"/>
    </row>
    <row r="600" spans="1:28" ht="21.75" customHeight="1" x14ac:dyDescent="0.2">
      <c r="A600" s="7" t="s">
        <v>774</v>
      </c>
      <c r="B600" s="7" t="s">
        <v>783</v>
      </c>
      <c r="C600" s="7" t="s">
        <v>784</v>
      </c>
      <c r="D600" s="7" t="s">
        <v>778</v>
      </c>
      <c r="E600" s="7" t="s">
        <v>263</v>
      </c>
      <c r="F600" s="7" t="s">
        <v>214</v>
      </c>
      <c r="G600" s="7" t="s">
        <v>794</v>
      </c>
      <c r="H600" s="1" t="s">
        <v>795</v>
      </c>
      <c r="I600" s="2">
        <v>8.5343999999999998</v>
      </c>
      <c r="J600" s="2" t="s">
        <v>5768</v>
      </c>
      <c r="K600" s="2" t="s">
        <v>5769</v>
      </c>
      <c r="O600" s="45" t="s">
        <v>994</v>
      </c>
      <c r="R600" s="7" t="s">
        <v>995</v>
      </c>
      <c r="U600" s="7" t="s">
        <v>856</v>
      </c>
      <c r="X600" s="5">
        <v>34.305500000000002</v>
      </c>
      <c r="Y600" s="5">
        <v>-118.261</v>
      </c>
      <c r="Z600" s="6">
        <f>1965*0.3048</f>
        <v>598.93200000000002</v>
      </c>
      <c r="AA600" s="135"/>
      <c r="AB600" s="139"/>
    </row>
    <row r="601" spans="1:28" ht="21.75" customHeight="1" x14ac:dyDescent="0.2">
      <c r="A601" s="7" t="s">
        <v>774</v>
      </c>
      <c r="B601" s="7" t="s">
        <v>783</v>
      </c>
      <c r="C601" s="7" t="s">
        <v>784</v>
      </c>
      <c r="D601" s="7" t="s">
        <v>780</v>
      </c>
      <c r="E601" s="7" t="s">
        <v>263</v>
      </c>
      <c r="F601" s="7" t="s">
        <v>214</v>
      </c>
      <c r="G601" s="7" t="s">
        <v>796</v>
      </c>
      <c r="H601" s="1" t="s">
        <v>797</v>
      </c>
      <c r="I601" s="2" t="s">
        <v>828</v>
      </c>
      <c r="J601" s="2" t="s">
        <v>4367</v>
      </c>
      <c r="K601" s="2" t="s">
        <v>5769</v>
      </c>
      <c r="R601" s="7" t="s">
        <v>986</v>
      </c>
      <c r="U601" s="7" t="s">
        <v>987</v>
      </c>
      <c r="V601" s="7">
        <v>0.91</v>
      </c>
      <c r="X601" s="5">
        <v>34.196899999999999</v>
      </c>
      <c r="Y601" s="5">
        <v>-118.0831</v>
      </c>
      <c r="Z601" s="6">
        <f>3300*0.3048</f>
        <v>1005.84</v>
      </c>
      <c r="AA601" s="7" t="s">
        <v>842</v>
      </c>
      <c r="AB601" s="139"/>
    </row>
    <row r="602" spans="1:28" ht="21.75" customHeight="1" x14ac:dyDescent="0.2">
      <c r="A602" s="7" t="s">
        <v>774</v>
      </c>
      <c r="B602" s="7" t="s">
        <v>783</v>
      </c>
      <c r="C602" s="7" t="s">
        <v>784</v>
      </c>
      <c r="D602" s="7" t="s">
        <v>779</v>
      </c>
      <c r="E602" s="7" t="s">
        <v>263</v>
      </c>
      <c r="F602" s="7" t="s">
        <v>214</v>
      </c>
      <c r="G602" s="7" t="s">
        <v>798</v>
      </c>
      <c r="H602" s="1" t="s">
        <v>799</v>
      </c>
      <c r="I602" s="2" t="s">
        <v>829</v>
      </c>
      <c r="J602" s="2" t="s">
        <v>4367</v>
      </c>
      <c r="K602" s="2" t="s">
        <v>5769</v>
      </c>
      <c r="O602" s="45" t="s">
        <v>990</v>
      </c>
      <c r="R602" s="7" t="s">
        <v>993</v>
      </c>
      <c r="U602" s="7" t="s">
        <v>991</v>
      </c>
      <c r="V602" s="7" t="s">
        <v>992</v>
      </c>
      <c r="X602" s="5">
        <v>34.226900000000001</v>
      </c>
      <c r="Y602" s="5">
        <v>-118.159983</v>
      </c>
      <c r="Z602" s="6">
        <f>2500*0.3048</f>
        <v>762</v>
      </c>
      <c r="AA602" s="7" t="s">
        <v>843</v>
      </c>
      <c r="AB602" s="139"/>
    </row>
    <row r="603" spans="1:28" ht="21.75" customHeight="1" x14ac:dyDescent="0.2">
      <c r="A603" s="7" t="s">
        <v>774</v>
      </c>
      <c r="B603" s="7" t="s">
        <v>783</v>
      </c>
      <c r="C603" s="7" t="s">
        <v>784</v>
      </c>
      <c r="D603" s="7" t="s">
        <v>775</v>
      </c>
      <c r="E603" s="7" t="s">
        <v>263</v>
      </c>
      <c r="F603" s="7" t="s">
        <v>214</v>
      </c>
      <c r="G603" s="7" t="s">
        <v>800</v>
      </c>
      <c r="H603" s="1" t="s">
        <v>801</v>
      </c>
      <c r="I603" s="2" t="s">
        <v>829</v>
      </c>
      <c r="J603" s="2" t="s">
        <v>4367</v>
      </c>
      <c r="K603" s="2" t="s">
        <v>5769</v>
      </c>
      <c r="O603" s="45" t="s">
        <v>985</v>
      </c>
      <c r="R603" s="7" t="s">
        <v>984</v>
      </c>
      <c r="U603" s="7" t="s">
        <v>983</v>
      </c>
      <c r="V603" s="7" t="s">
        <v>982</v>
      </c>
      <c r="X603" s="5">
        <v>34.389600000000002</v>
      </c>
      <c r="Y603" s="5">
        <v>-118.08159999999999</v>
      </c>
      <c r="Z603" s="6">
        <f>4965*0.3048</f>
        <v>1513.3320000000001</v>
      </c>
      <c r="AA603" s="7" t="s">
        <v>844</v>
      </c>
      <c r="AB603" s="139"/>
    </row>
    <row r="604" spans="1:28" ht="21.75" customHeight="1" x14ac:dyDescent="0.2">
      <c r="A604" s="7" t="s">
        <v>774</v>
      </c>
      <c r="B604" s="7" t="s">
        <v>783</v>
      </c>
      <c r="C604" s="7" t="s">
        <v>784</v>
      </c>
      <c r="D604" s="7" t="s">
        <v>779</v>
      </c>
      <c r="E604" s="7" t="s">
        <v>263</v>
      </c>
      <c r="F604" s="7" t="s">
        <v>214</v>
      </c>
      <c r="G604" s="7" t="s">
        <v>802</v>
      </c>
      <c r="H604" s="1" t="s">
        <v>803</v>
      </c>
      <c r="I604" s="2" t="s">
        <v>830</v>
      </c>
      <c r="J604" s="2" t="s">
        <v>4367</v>
      </c>
      <c r="K604" s="2" t="s">
        <v>5769</v>
      </c>
      <c r="O604" s="45" t="s">
        <v>990</v>
      </c>
      <c r="R604" s="7" t="s">
        <v>993</v>
      </c>
      <c r="U604" s="7" t="s">
        <v>991</v>
      </c>
      <c r="V604" s="7" t="s">
        <v>992</v>
      </c>
      <c r="X604" s="5">
        <v>34.226900000000001</v>
      </c>
      <c r="Y604" s="5">
        <v>-118.159983</v>
      </c>
      <c r="Z604" s="6">
        <f>2500*0.3048</f>
        <v>762</v>
      </c>
      <c r="AA604" s="7" t="s">
        <v>845</v>
      </c>
    </row>
    <row r="605" spans="1:28" ht="21.75" customHeight="1" x14ac:dyDescent="0.2">
      <c r="A605" s="7" t="s">
        <v>774</v>
      </c>
      <c r="B605" s="7" t="s">
        <v>783</v>
      </c>
      <c r="C605" s="7" t="s">
        <v>784</v>
      </c>
      <c r="D605" s="7" t="s">
        <v>775</v>
      </c>
      <c r="E605" s="7" t="s">
        <v>263</v>
      </c>
      <c r="F605" s="7" t="s">
        <v>214</v>
      </c>
      <c r="G605" s="7" t="s">
        <v>804</v>
      </c>
      <c r="H605" s="1" t="s">
        <v>805</v>
      </c>
      <c r="I605" s="2" t="s">
        <v>831</v>
      </c>
      <c r="J605" s="2" t="s">
        <v>4367</v>
      </c>
      <c r="K605" s="2" t="s">
        <v>5769</v>
      </c>
      <c r="O605" s="45" t="s">
        <v>985</v>
      </c>
      <c r="R605" s="7" t="s">
        <v>984</v>
      </c>
      <c r="U605" s="7" t="s">
        <v>983</v>
      </c>
      <c r="V605" s="7" t="s">
        <v>982</v>
      </c>
      <c r="X605" s="5">
        <v>34.389600000000002</v>
      </c>
      <c r="Y605" s="5">
        <v>-118.08159999999999</v>
      </c>
      <c r="Z605" s="6">
        <f>4965*0.3048</f>
        <v>1513.3320000000001</v>
      </c>
      <c r="AA605" s="7" t="s">
        <v>846</v>
      </c>
    </row>
    <row r="606" spans="1:28" ht="21.75" customHeight="1" x14ac:dyDescent="0.2">
      <c r="A606" s="7" t="s">
        <v>774</v>
      </c>
      <c r="B606" s="7" t="s">
        <v>783</v>
      </c>
      <c r="C606" s="7" t="s">
        <v>784</v>
      </c>
      <c r="D606" s="7" t="s">
        <v>781</v>
      </c>
      <c r="E606" s="7" t="s">
        <v>263</v>
      </c>
      <c r="F606" s="7" t="s">
        <v>806</v>
      </c>
      <c r="G606" s="7" t="s">
        <v>807</v>
      </c>
      <c r="H606" s="1" t="s">
        <v>808</v>
      </c>
      <c r="I606" s="2" t="s">
        <v>832</v>
      </c>
      <c r="J606" s="2" t="s">
        <v>4367</v>
      </c>
      <c r="K606" s="2" t="s">
        <v>5769</v>
      </c>
      <c r="O606" s="45" t="s">
        <v>858</v>
      </c>
      <c r="R606" s="7" t="s">
        <v>980</v>
      </c>
      <c r="U606" s="7" t="s">
        <v>981</v>
      </c>
      <c r="V606" s="7" t="s">
        <v>857</v>
      </c>
      <c r="X606" s="5">
        <v>34.272599999999997</v>
      </c>
      <c r="Y606" s="5">
        <v>-118.18640000000001</v>
      </c>
      <c r="Z606" s="6">
        <f>3600*0.3048</f>
        <v>1097.28</v>
      </c>
      <c r="AA606" s="7" t="s">
        <v>847</v>
      </c>
    </row>
    <row r="607" spans="1:28" ht="21.75" customHeight="1" x14ac:dyDescent="0.2">
      <c r="A607" s="7" t="s">
        <v>774</v>
      </c>
      <c r="B607" s="7" t="s">
        <v>783</v>
      </c>
      <c r="C607" s="7" t="s">
        <v>784</v>
      </c>
      <c r="D607" s="7" t="s">
        <v>781</v>
      </c>
      <c r="E607" s="7" t="s">
        <v>263</v>
      </c>
      <c r="F607" s="7" t="s">
        <v>806</v>
      </c>
      <c r="G607" s="7" t="s">
        <v>809</v>
      </c>
      <c r="H607" s="1" t="s">
        <v>810</v>
      </c>
      <c r="I607" s="2" t="s">
        <v>829</v>
      </c>
      <c r="J607" s="2" t="s">
        <v>4367</v>
      </c>
      <c r="K607" s="2" t="s">
        <v>5769</v>
      </c>
      <c r="O607" s="45" t="s">
        <v>858</v>
      </c>
      <c r="R607" s="7" t="s">
        <v>980</v>
      </c>
      <c r="U607" s="7" t="s">
        <v>981</v>
      </c>
      <c r="V607" s="7" t="s">
        <v>857</v>
      </c>
      <c r="X607" s="5">
        <v>34.272599999999997</v>
      </c>
      <c r="Y607" s="5">
        <v>-118.18640000000001</v>
      </c>
      <c r="Z607" s="6">
        <f>3600*0.3048</f>
        <v>1097.28</v>
      </c>
      <c r="AA607" s="7" t="s">
        <v>848</v>
      </c>
    </row>
    <row r="608" spans="1:28" ht="21.75" customHeight="1" x14ac:dyDescent="0.2">
      <c r="A608" s="7" t="s">
        <v>774</v>
      </c>
      <c r="B608" s="7" t="s">
        <v>783</v>
      </c>
      <c r="C608" s="7" t="s">
        <v>784</v>
      </c>
      <c r="D608" s="7" t="s">
        <v>781</v>
      </c>
      <c r="E608" s="7" t="s">
        <v>263</v>
      </c>
      <c r="F608" s="7" t="s">
        <v>806</v>
      </c>
      <c r="G608" s="7" t="s">
        <v>811</v>
      </c>
      <c r="H608" s="1" t="s">
        <v>812</v>
      </c>
      <c r="I608" s="2" t="s">
        <v>833</v>
      </c>
      <c r="J608" s="2" t="s">
        <v>4367</v>
      </c>
      <c r="K608" s="2" t="s">
        <v>5769</v>
      </c>
      <c r="O608" s="45" t="s">
        <v>858</v>
      </c>
      <c r="R608" s="7" t="s">
        <v>980</v>
      </c>
      <c r="U608" s="7" t="s">
        <v>981</v>
      </c>
      <c r="V608" s="7" t="s">
        <v>857</v>
      </c>
      <c r="X608" s="5">
        <v>34.272599999999997</v>
      </c>
      <c r="Y608" s="5">
        <v>-118.18640000000001</v>
      </c>
      <c r="Z608" s="6">
        <f>3600*0.3048</f>
        <v>1097.28</v>
      </c>
      <c r="AA608" s="7" t="s">
        <v>849</v>
      </c>
    </row>
    <row r="609" spans="1:28" ht="21.75" customHeight="1" x14ac:dyDescent="0.2">
      <c r="A609" s="7" t="s">
        <v>774</v>
      </c>
      <c r="B609" s="7" t="s">
        <v>783</v>
      </c>
      <c r="C609" s="7" t="s">
        <v>784</v>
      </c>
      <c r="D609" s="7" t="s">
        <v>779</v>
      </c>
      <c r="E609" s="7" t="s">
        <v>822</v>
      </c>
      <c r="F609" s="7" t="s">
        <v>806</v>
      </c>
      <c r="G609" s="7" t="s">
        <v>813</v>
      </c>
      <c r="H609" s="1" t="s">
        <v>814</v>
      </c>
      <c r="I609" s="2" t="s">
        <v>834</v>
      </c>
      <c r="J609" s="2" t="s">
        <v>4367</v>
      </c>
      <c r="K609" s="2" t="s">
        <v>5769</v>
      </c>
      <c r="O609" s="45" t="s">
        <v>990</v>
      </c>
      <c r="R609" s="7" t="s">
        <v>993</v>
      </c>
      <c r="U609" s="7" t="s">
        <v>991</v>
      </c>
      <c r="V609" s="7" t="s">
        <v>992</v>
      </c>
      <c r="X609" s="5">
        <v>34.226900000000001</v>
      </c>
      <c r="Y609" s="5">
        <v>-118.159983</v>
      </c>
      <c r="Z609" s="6">
        <f>2500*0.3048</f>
        <v>762</v>
      </c>
      <c r="AA609" s="7" t="s">
        <v>850</v>
      </c>
    </row>
    <row r="610" spans="1:28" ht="21.75" customHeight="1" x14ac:dyDescent="0.2">
      <c r="A610" s="7" t="s">
        <v>774</v>
      </c>
      <c r="B610" s="7" t="s">
        <v>783</v>
      </c>
      <c r="C610" s="7" t="s">
        <v>784</v>
      </c>
      <c r="D610" s="7" t="s">
        <v>781</v>
      </c>
      <c r="E610" s="7" t="s">
        <v>263</v>
      </c>
      <c r="F610" s="7" t="s">
        <v>806</v>
      </c>
      <c r="G610" s="7" t="s">
        <v>815</v>
      </c>
      <c r="H610" s="1" t="s">
        <v>816</v>
      </c>
      <c r="I610" s="2" t="s">
        <v>831</v>
      </c>
      <c r="J610" s="2" t="s">
        <v>4367</v>
      </c>
      <c r="K610" s="2" t="s">
        <v>5769</v>
      </c>
      <c r="O610" s="45" t="s">
        <v>858</v>
      </c>
      <c r="R610" s="7" t="s">
        <v>980</v>
      </c>
      <c r="U610" s="7" t="s">
        <v>981</v>
      </c>
      <c r="V610" s="7" t="s">
        <v>857</v>
      </c>
      <c r="X610" s="5">
        <v>34.272599999999997</v>
      </c>
      <c r="Y610" s="5">
        <v>-118.18640000000001</v>
      </c>
      <c r="Z610" s="6">
        <f>3600*0.3048</f>
        <v>1097.28</v>
      </c>
      <c r="AA610" s="7" t="s">
        <v>851</v>
      </c>
    </row>
    <row r="611" spans="1:28" ht="21.75" customHeight="1" x14ac:dyDescent="0.2">
      <c r="A611" s="7" t="s">
        <v>774</v>
      </c>
      <c r="B611" s="7" t="s">
        <v>783</v>
      </c>
      <c r="C611" s="7" t="s">
        <v>784</v>
      </c>
      <c r="D611" s="7" t="s">
        <v>782</v>
      </c>
      <c r="E611" s="7" t="s">
        <v>263</v>
      </c>
      <c r="F611" s="7" t="s">
        <v>806</v>
      </c>
      <c r="G611" s="7" t="s">
        <v>817</v>
      </c>
      <c r="H611" s="1" t="s">
        <v>818</v>
      </c>
      <c r="I611" s="2" t="s">
        <v>835</v>
      </c>
      <c r="J611" s="2" t="s">
        <v>4367</v>
      </c>
      <c r="K611" s="2" t="s">
        <v>5769</v>
      </c>
      <c r="O611" s="45" t="s">
        <v>978</v>
      </c>
      <c r="R611" s="7" t="s">
        <v>979</v>
      </c>
      <c r="S611" s="7" t="s">
        <v>977</v>
      </c>
      <c r="T611" s="7" t="s">
        <v>855</v>
      </c>
      <c r="X611" s="5">
        <v>34.234099999999998</v>
      </c>
      <c r="Y611" s="5">
        <v>-117.7312</v>
      </c>
      <c r="Z611" s="6">
        <f>2500*0.3048</f>
        <v>762</v>
      </c>
      <c r="AA611" s="7" t="s">
        <v>852</v>
      </c>
    </row>
    <row r="612" spans="1:28" ht="21.75" customHeight="1" x14ac:dyDescent="0.2">
      <c r="A612" s="7" t="s">
        <v>774</v>
      </c>
      <c r="B612" s="7" t="s">
        <v>783</v>
      </c>
      <c r="C612" s="7" t="s">
        <v>784</v>
      </c>
      <c r="D612" s="7" t="s">
        <v>777</v>
      </c>
      <c r="E612" s="7" t="s">
        <v>398</v>
      </c>
      <c r="F612" s="7" t="s">
        <v>806</v>
      </c>
      <c r="G612" s="7" t="s">
        <v>819</v>
      </c>
      <c r="H612" s="1" t="s">
        <v>820</v>
      </c>
      <c r="I612" s="2" t="s">
        <v>832</v>
      </c>
      <c r="J612" s="2" t="s">
        <v>4367</v>
      </c>
      <c r="K612" s="2" t="s">
        <v>5769</v>
      </c>
      <c r="R612" s="7" t="s">
        <v>988</v>
      </c>
      <c r="U612" s="7" t="s">
        <v>989</v>
      </c>
      <c r="V612" s="7">
        <v>0.45</v>
      </c>
      <c r="X612" s="5">
        <v>34.224899999999998</v>
      </c>
      <c r="Y612" s="5">
        <v>-118.1095</v>
      </c>
      <c r="Z612" s="6">
        <f>4500*0.3048</f>
        <v>1371.6000000000001</v>
      </c>
      <c r="AA612" s="7" t="s">
        <v>853</v>
      </c>
    </row>
    <row r="613" spans="1:28" s="8" customFormat="1" ht="21.75" customHeight="1" x14ac:dyDescent="0.2">
      <c r="A613" s="8" t="s">
        <v>7372</v>
      </c>
      <c r="B613" s="8" t="s">
        <v>7373</v>
      </c>
      <c r="C613" s="8" t="s">
        <v>5258</v>
      </c>
      <c r="D613" s="8" t="s">
        <v>7376</v>
      </c>
      <c r="E613" s="8" t="s">
        <v>280</v>
      </c>
      <c r="F613" s="8" t="s">
        <v>212</v>
      </c>
      <c r="G613" s="8" t="s">
        <v>7375</v>
      </c>
      <c r="H613" s="3" t="s">
        <v>7374</v>
      </c>
      <c r="I613" s="4" t="s">
        <v>4891</v>
      </c>
      <c r="J613" s="4" t="s">
        <v>7380</v>
      </c>
      <c r="K613" s="4" t="s">
        <v>4410</v>
      </c>
      <c r="L613" s="14">
        <v>850</v>
      </c>
      <c r="M613" s="14"/>
      <c r="N613" s="14"/>
      <c r="O613" s="110"/>
      <c r="P613" s="4"/>
      <c r="R613" s="8" t="s">
        <v>7378</v>
      </c>
      <c r="X613" s="13">
        <f>43+40/60</f>
        <v>43.666666666666664</v>
      </c>
      <c r="Y613" s="13">
        <f>-(86+9/60)</f>
        <v>-86.15</v>
      </c>
      <c r="Z613" s="14">
        <v>264</v>
      </c>
      <c r="AA613" s="132" t="s">
        <v>7382</v>
      </c>
      <c r="AB613" s="8" t="s">
        <v>7381</v>
      </c>
    </row>
    <row r="614" spans="1:28" s="8" customFormat="1" ht="21.75" customHeight="1" x14ac:dyDescent="0.2">
      <c r="A614" s="8" t="s">
        <v>7372</v>
      </c>
      <c r="B614" s="8" t="s">
        <v>7373</v>
      </c>
      <c r="C614" s="8" t="s">
        <v>5258</v>
      </c>
      <c r="D614" s="8" t="s">
        <v>7377</v>
      </c>
      <c r="E614" s="8" t="s">
        <v>280</v>
      </c>
      <c r="F614" s="8" t="s">
        <v>212</v>
      </c>
      <c r="G614" s="8" t="s">
        <v>7375</v>
      </c>
      <c r="H614" s="3" t="s">
        <v>7374</v>
      </c>
      <c r="I614" s="4" t="s">
        <v>4891</v>
      </c>
      <c r="J614" s="4" t="s">
        <v>7380</v>
      </c>
      <c r="K614" s="4" t="s">
        <v>4410</v>
      </c>
      <c r="L614" s="14">
        <v>810</v>
      </c>
      <c r="M614" s="14"/>
      <c r="N614" s="14"/>
      <c r="O614" s="110"/>
      <c r="P614" s="4"/>
      <c r="R614" s="8" t="s">
        <v>7379</v>
      </c>
      <c r="X614" s="13">
        <f>44+23/60</f>
        <v>44.383333333333333</v>
      </c>
      <c r="Y614" s="13">
        <f>-(85+50/60)</f>
        <v>-85.833333333333329</v>
      </c>
      <c r="Z614" s="14">
        <v>302</v>
      </c>
      <c r="AA614" s="133"/>
    </row>
    <row r="615" spans="1:28" ht="21.75" customHeight="1" x14ac:dyDescent="0.2">
      <c r="A615" s="7" t="s">
        <v>976</v>
      </c>
      <c r="B615" s="7" t="s">
        <v>1080</v>
      </c>
      <c r="C615" s="7" t="s">
        <v>760</v>
      </c>
      <c r="D615" s="7" t="s">
        <v>1081</v>
      </c>
      <c r="E615" s="7" t="s">
        <v>33</v>
      </c>
      <c r="F615" s="7" t="s">
        <v>212</v>
      </c>
      <c r="G615" s="7" t="s">
        <v>1083</v>
      </c>
      <c r="H615" s="1" t="s">
        <v>19</v>
      </c>
      <c r="I615" s="2">
        <v>4.32</v>
      </c>
      <c r="J615" s="2" t="s">
        <v>4367</v>
      </c>
      <c r="K615" s="2" t="s">
        <v>5770</v>
      </c>
      <c r="R615" s="7" t="s">
        <v>1084</v>
      </c>
      <c r="X615" s="5">
        <v>30.494</v>
      </c>
      <c r="Y615" s="5">
        <v>-86.707099999999997</v>
      </c>
      <c r="Z615" s="6">
        <v>24</v>
      </c>
      <c r="AA615" s="134" t="s">
        <v>1088</v>
      </c>
      <c r="AB615" s="7" t="s">
        <v>1086</v>
      </c>
    </row>
    <row r="616" spans="1:28" ht="21.75" customHeight="1" x14ac:dyDescent="0.2">
      <c r="A616" s="7" t="s">
        <v>976</v>
      </c>
      <c r="B616" s="7" t="s">
        <v>1080</v>
      </c>
      <c r="C616" s="7" t="s">
        <v>760</v>
      </c>
      <c r="D616" s="7" t="s">
        <v>1081</v>
      </c>
      <c r="E616" s="7" t="s">
        <v>33</v>
      </c>
      <c r="F616" s="7" t="s">
        <v>212</v>
      </c>
      <c r="G616" s="7" t="s">
        <v>1083</v>
      </c>
      <c r="H616" s="1" t="s">
        <v>19</v>
      </c>
      <c r="I616" s="2">
        <v>1.91</v>
      </c>
      <c r="J616" s="2" t="s">
        <v>4367</v>
      </c>
      <c r="K616" s="2" t="s">
        <v>5770</v>
      </c>
      <c r="R616" s="7" t="s">
        <v>1084</v>
      </c>
      <c r="X616" s="5">
        <v>30.4984</v>
      </c>
      <c r="Y616" s="5">
        <v>-86.700500000000005</v>
      </c>
      <c r="Z616" s="6">
        <v>32</v>
      </c>
      <c r="AA616" s="136"/>
      <c r="AB616" s="7" t="s">
        <v>1087</v>
      </c>
    </row>
    <row r="617" spans="1:28" ht="21.75" customHeight="1" x14ac:dyDescent="0.2">
      <c r="A617" s="7" t="s">
        <v>976</v>
      </c>
      <c r="B617" s="7" t="s">
        <v>1080</v>
      </c>
      <c r="C617" s="7" t="s">
        <v>760</v>
      </c>
      <c r="D617" s="7" t="s">
        <v>1082</v>
      </c>
      <c r="E617" s="7" t="s">
        <v>33</v>
      </c>
      <c r="F617" s="7" t="s">
        <v>212</v>
      </c>
      <c r="G617" s="7" t="s">
        <v>1083</v>
      </c>
      <c r="H617" s="1" t="s">
        <v>19</v>
      </c>
      <c r="I617" s="2">
        <v>0.74</v>
      </c>
      <c r="J617" s="2" t="s">
        <v>4367</v>
      </c>
      <c r="K617" s="2" t="s">
        <v>5770</v>
      </c>
      <c r="Q617" s="7">
        <v>0.71</v>
      </c>
      <c r="R617" s="7" t="s">
        <v>1084</v>
      </c>
      <c r="X617" s="5">
        <v>30.491</v>
      </c>
      <c r="Y617" s="5">
        <v>-86.702299999999994</v>
      </c>
      <c r="Z617" s="6">
        <v>13</v>
      </c>
      <c r="AA617" s="135"/>
      <c r="AB617" s="7" t="s">
        <v>1085</v>
      </c>
    </row>
    <row r="618" spans="1:28" s="8" customFormat="1" ht="21.75" customHeight="1" x14ac:dyDescent="0.2">
      <c r="A618" s="8" t="s">
        <v>4508</v>
      </c>
      <c r="B618" s="8" t="s">
        <v>4537</v>
      </c>
      <c r="C618" s="8" t="s">
        <v>4538</v>
      </c>
      <c r="D618" s="8" t="s">
        <v>4539</v>
      </c>
      <c r="E618" s="8" t="s">
        <v>263</v>
      </c>
      <c r="F618" s="8" t="s">
        <v>175</v>
      </c>
      <c r="H618" s="3" t="s">
        <v>4509</v>
      </c>
      <c r="I618" s="4" t="s">
        <v>4519</v>
      </c>
      <c r="J618" s="4" t="s">
        <v>4367</v>
      </c>
      <c r="K618" s="4" t="s">
        <v>4410</v>
      </c>
      <c r="L618" s="14">
        <v>1700</v>
      </c>
      <c r="M618" s="14" t="s">
        <v>4534</v>
      </c>
      <c r="N618" s="14"/>
      <c r="O618" s="110"/>
      <c r="P618" s="4"/>
      <c r="R618" s="8" t="s">
        <v>4535</v>
      </c>
      <c r="U618" s="8" t="s">
        <v>4536</v>
      </c>
      <c r="X618" s="13">
        <v>-33.947899999999997</v>
      </c>
      <c r="Y618" s="13">
        <v>18.921800000000001</v>
      </c>
      <c r="Z618" s="14">
        <v>400</v>
      </c>
      <c r="AA618" s="8" t="s">
        <v>4528</v>
      </c>
      <c r="AB618" s="8" t="s">
        <v>4524</v>
      </c>
    </row>
    <row r="619" spans="1:28" s="8" customFormat="1" ht="21.75" customHeight="1" x14ac:dyDescent="0.2">
      <c r="A619" s="8" t="s">
        <v>4508</v>
      </c>
      <c r="B619" s="8" t="s">
        <v>4537</v>
      </c>
      <c r="C619" s="8" t="s">
        <v>4538</v>
      </c>
      <c r="D619" s="8" t="s">
        <v>4539</v>
      </c>
      <c r="E619" s="8" t="s">
        <v>263</v>
      </c>
      <c r="F619" s="8" t="s">
        <v>175</v>
      </c>
      <c r="H619" s="3" t="s">
        <v>4510</v>
      </c>
      <c r="I619" s="4" t="s">
        <v>4519</v>
      </c>
      <c r="J619" s="4" t="s">
        <v>4367</v>
      </c>
      <c r="K619" s="4" t="s">
        <v>4410</v>
      </c>
      <c r="L619" s="14">
        <v>1700</v>
      </c>
      <c r="M619" s="14" t="s">
        <v>4534</v>
      </c>
      <c r="N619" s="14"/>
      <c r="O619" s="110"/>
      <c r="P619" s="4"/>
      <c r="R619" s="8" t="s">
        <v>4535</v>
      </c>
      <c r="U619" s="8" t="s">
        <v>4536</v>
      </c>
      <c r="X619" s="13">
        <v>-33.947899999999997</v>
      </c>
      <c r="Y619" s="13">
        <v>18.921800000000001</v>
      </c>
      <c r="Z619" s="14">
        <v>400</v>
      </c>
      <c r="AA619" s="8" t="s">
        <v>4528</v>
      </c>
      <c r="AB619" s="8" t="s">
        <v>4520</v>
      </c>
    </row>
    <row r="620" spans="1:28" s="8" customFormat="1" ht="21.75" customHeight="1" x14ac:dyDescent="0.2">
      <c r="A620" s="8" t="s">
        <v>4508</v>
      </c>
      <c r="B620" s="8" t="s">
        <v>4537</v>
      </c>
      <c r="C620" s="8" t="s">
        <v>4538</v>
      </c>
      <c r="D620" s="8" t="s">
        <v>4539</v>
      </c>
      <c r="E620" s="8" t="s">
        <v>263</v>
      </c>
      <c r="F620" s="8" t="s">
        <v>4525</v>
      </c>
      <c r="H620" s="3" t="s">
        <v>4511</v>
      </c>
      <c r="I620" s="4" t="s">
        <v>3126</v>
      </c>
      <c r="J620" s="4" t="s">
        <v>4367</v>
      </c>
      <c r="K620" s="4" t="s">
        <v>4410</v>
      </c>
      <c r="L620" s="14">
        <v>1700</v>
      </c>
      <c r="M620" s="14" t="s">
        <v>4534</v>
      </c>
      <c r="N620" s="14"/>
      <c r="O620" s="110"/>
      <c r="P620" s="4"/>
      <c r="R620" s="8" t="s">
        <v>4535</v>
      </c>
      <c r="U620" s="8" t="s">
        <v>4536</v>
      </c>
      <c r="X620" s="13">
        <v>-33.947899999999997</v>
      </c>
      <c r="Y620" s="13">
        <v>18.921800000000001</v>
      </c>
      <c r="Z620" s="14">
        <v>400</v>
      </c>
      <c r="AA620" s="8" t="s">
        <v>4529</v>
      </c>
    </row>
    <row r="621" spans="1:28" s="8" customFormat="1" ht="21.75" customHeight="1" x14ac:dyDescent="0.2">
      <c r="A621" s="8" t="s">
        <v>4508</v>
      </c>
      <c r="B621" s="8" t="s">
        <v>4537</v>
      </c>
      <c r="C621" s="8" t="s">
        <v>4538</v>
      </c>
      <c r="D621" s="8" t="s">
        <v>4539</v>
      </c>
      <c r="E621" s="8" t="s">
        <v>263</v>
      </c>
      <c r="F621" s="8" t="s">
        <v>4525</v>
      </c>
      <c r="H621" s="3" t="s">
        <v>4512</v>
      </c>
      <c r="I621" s="4">
        <v>0.4</v>
      </c>
      <c r="J621" s="4" t="s">
        <v>4367</v>
      </c>
      <c r="K621" s="4" t="s">
        <v>4410</v>
      </c>
      <c r="L621" s="14">
        <v>1700</v>
      </c>
      <c r="M621" s="14" t="s">
        <v>4534</v>
      </c>
      <c r="N621" s="14"/>
      <c r="O621" s="110"/>
      <c r="P621" s="4"/>
      <c r="R621" s="8" t="s">
        <v>4535</v>
      </c>
      <c r="U621" s="8" t="s">
        <v>4536</v>
      </c>
      <c r="X621" s="13">
        <v>-33.947899999999997</v>
      </c>
      <c r="Y621" s="13">
        <v>18.921800000000001</v>
      </c>
      <c r="Z621" s="14">
        <v>400</v>
      </c>
      <c r="AA621" s="8" t="s">
        <v>4528</v>
      </c>
      <c r="AB621" s="8" t="s">
        <v>4520</v>
      </c>
    </row>
    <row r="622" spans="1:28" s="8" customFormat="1" ht="21.75" customHeight="1" x14ac:dyDescent="0.2">
      <c r="A622" s="8" t="s">
        <v>4508</v>
      </c>
      <c r="B622" s="8" t="s">
        <v>4537</v>
      </c>
      <c r="C622" s="8" t="s">
        <v>4538</v>
      </c>
      <c r="D622" s="8" t="s">
        <v>4539</v>
      </c>
      <c r="E622" s="8" t="s">
        <v>263</v>
      </c>
      <c r="F622" s="8" t="s">
        <v>4525</v>
      </c>
      <c r="H622" s="3" t="s">
        <v>4513</v>
      </c>
      <c r="I622" s="4">
        <v>1.5</v>
      </c>
      <c r="J622" s="4" t="s">
        <v>4367</v>
      </c>
      <c r="K622" s="4" t="s">
        <v>4410</v>
      </c>
      <c r="L622" s="14">
        <v>1700</v>
      </c>
      <c r="M622" s="14" t="s">
        <v>4534</v>
      </c>
      <c r="N622" s="14"/>
      <c r="O622" s="110"/>
      <c r="P622" s="4"/>
      <c r="R622" s="8" t="s">
        <v>4535</v>
      </c>
      <c r="U622" s="8" t="s">
        <v>4536</v>
      </c>
      <c r="X622" s="13">
        <v>-33.947899999999997</v>
      </c>
      <c r="Y622" s="13">
        <v>18.921800000000001</v>
      </c>
      <c r="Z622" s="14">
        <v>400</v>
      </c>
      <c r="AA622" s="8" t="s">
        <v>4528</v>
      </c>
      <c r="AB622" s="8" t="s">
        <v>4520</v>
      </c>
    </row>
    <row r="623" spans="1:28" s="8" customFormat="1" ht="21.75" customHeight="1" x14ac:dyDescent="0.2">
      <c r="A623" s="8" t="s">
        <v>4508</v>
      </c>
      <c r="B623" s="8" t="s">
        <v>4537</v>
      </c>
      <c r="C623" s="8" t="s">
        <v>4538</v>
      </c>
      <c r="D623" s="8" t="s">
        <v>4539</v>
      </c>
      <c r="E623" s="8" t="s">
        <v>263</v>
      </c>
      <c r="F623" s="8" t="s">
        <v>4525</v>
      </c>
      <c r="H623" s="3" t="s">
        <v>4514</v>
      </c>
      <c r="I623" s="4">
        <v>1.5</v>
      </c>
      <c r="J623" s="4" t="s">
        <v>4367</v>
      </c>
      <c r="K623" s="4" t="s">
        <v>4410</v>
      </c>
      <c r="L623" s="14">
        <v>1700</v>
      </c>
      <c r="M623" s="14" t="s">
        <v>4534</v>
      </c>
      <c r="N623" s="14"/>
      <c r="O623" s="110"/>
      <c r="P623" s="4"/>
      <c r="R623" s="8" t="s">
        <v>4535</v>
      </c>
      <c r="U623" s="8" t="s">
        <v>4536</v>
      </c>
      <c r="X623" s="13">
        <v>-33.947899999999997</v>
      </c>
      <c r="Y623" s="13">
        <v>18.921800000000001</v>
      </c>
      <c r="Z623" s="14">
        <v>400</v>
      </c>
      <c r="AA623" s="8" t="s">
        <v>4529</v>
      </c>
    </row>
    <row r="624" spans="1:28" s="8" customFormat="1" ht="21.75" customHeight="1" x14ac:dyDescent="0.2">
      <c r="A624" s="8" t="s">
        <v>4508</v>
      </c>
      <c r="B624" s="8" t="s">
        <v>4537</v>
      </c>
      <c r="C624" s="8" t="s">
        <v>4538</v>
      </c>
      <c r="D624" s="8" t="s">
        <v>4539</v>
      </c>
      <c r="E624" s="8" t="s">
        <v>263</v>
      </c>
      <c r="F624" s="8" t="s">
        <v>4526</v>
      </c>
      <c r="H624" s="3" t="s">
        <v>4515</v>
      </c>
      <c r="I624" s="4">
        <v>1.45</v>
      </c>
      <c r="J624" s="4" t="s">
        <v>4367</v>
      </c>
      <c r="K624" s="4" t="s">
        <v>4410</v>
      </c>
      <c r="L624" s="14">
        <v>1700</v>
      </c>
      <c r="M624" s="14" t="s">
        <v>4534</v>
      </c>
      <c r="N624" s="14"/>
      <c r="O624" s="110"/>
      <c r="P624" s="4"/>
      <c r="R624" s="8" t="s">
        <v>4535</v>
      </c>
      <c r="U624" s="8" t="s">
        <v>4536</v>
      </c>
      <c r="X624" s="13">
        <v>-33.947899999999997</v>
      </c>
      <c r="Y624" s="13">
        <v>18.921800000000001</v>
      </c>
      <c r="Z624" s="14">
        <v>400</v>
      </c>
      <c r="AA624" s="8" t="s">
        <v>4530</v>
      </c>
      <c r="AB624" s="8" t="s">
        <v>4521</v>
      </c>
    </row>
    <row r="625" spans="1:28" s="8" customFormat="1" ht="21.75" customHeight="1" x14ac:dyDescent="0.2">
      <c r="A625" s="8" t="s">
        <v>4508</v>
      </c>
      <c r="B625" s="8" t="s">
        <v>4537</v>
      </c>
      <c r="C625" s="8" t="s">
        <v>4538</v>
      </c>
      <c r="D625" s="8" t="s">
        <v>4539</v>
      </c>
      <c r="E625" s="8" t="s">
        <v>263</v>
      </c>
      <c r="F625" s="8" t="s">
        <v>4526</v>
      </c>
      <c r="H625" s="3" t="s">
        <v>4516</v>
      </c>
      <c r="I625" s="4">
        <v>0.4</v>
      </c>
      <c r="J625" s="4" t="s">
        <v>4367</v>
      </c>
      <c r="K625" s="4" t="s">
        <v>4410</v>
      </c>
      <c r="L625" s="14">
        <v>1700</v>
      </c>
      <c r="M625" s="14" t="s">
        <v>4534</v>
      </c>
      <c r="N625" s="14"/>
      <c r="O625" s="110"/>
      <c r="P625" s="4"/>
      <c r="R625" s="8" t="s">
        <v>4535</v>
      </c>
      <c r="U625" s="8" t="s">
        <v>4536</v>
      </c>
      <c r="X625" s="13">
        <v>-33.947899999999997</v>
      </c>
      <c r="Y625" s="13">
        <v>18.921800000000001</v>
      </c>
      <c r="Z625" s="14">
        <v>400</v>
      </c>
      <c r="AA625" s="8" t="s">
        <v>4531</v>
      </c>
      <c r="AB625" s="8" t="s">
        <v>4520</v>
      </c>
    </row>
    <row r="626" spans="1:28" s="8" customFormat="1" ht="21.75" customHeight="1" x14ac:dyDescent="0.2">
      <c r="A626" s="8" t="s">
        <v>4508</v>
      </c>
      <c r="B626" s="8" t="s">
        <v>4537</v>
      </c>
      <c r="C626" s="8" t="s">
        <v>4538</v>
      </c>
      <c r="D626" s="8" t="s">
        <v>4539</v>
      </c>
      <c r="E626" s="8" t="s">
        <v>398</v>
      </c>
      <c r="F626" s="8" t="s">
        <v>4527</v>
      </c>
      <c r="H626" s="3" t="s">
        <v>4517</v>
      </c>
      <c r="I626" s="4">
        <v>0.2</v>
      </c>
      <c r="J626" s="4" t="s">
        <v>4367</v>
      </c>
      <c r="K626" s="4" t="s">
        <v>4410</v>
      </c>
      <c r="L626" s="14">
        <v>1700</v>
      </c>
      <c r="M626" s="14" t="s">
        <v>4534</v>
      </c>
      <c r="N626" s="14"/>
      <c r="O626" s="110"/>
      <c r="P626" s="4"/>
      <c r="R626" s="8" t="s">
        <v>4535</v>
      </c>
      <c r="U626" s="8" t="s">
        <v>4536</v>
      </c>
      <c r="X626" s="13">
        <v>-33.947899999999997</v>
      </c>
      <c r="Y626" s="13">
        <v>18.921800000000001</v>
      </c>
      <c r="Z626" s="14">
        <v>400</v>
      </c>
      <c r="AA626" s="8" t="s">
        <v>4533</v>
      </c>
      <c r="AB626" s="8" t="s">
        <v>4522</v>
      </c>
    </row>
    <row r="627" spans="1:28" s="8" customFormat="1" ht="21.75" customHeight="1" x14ac:dyDescent="0.2">
      <c r="A627" s="8" t="s">
        <v>4508</v>
      </c>
      <c r="B627" s="8" t="s">
        <v>4537</v>
      </c>
      <c r="C627" s="8" t="s">
        <v>4538</v>
      </c>
      <c r="D627" s="8" t="s">
        <v>4539</v>
      </c>
      <c r="E627" s="8" t="s">
        <v>398</v>
      </c>
      <c r="F627" s="8" t="s">
        <v>4527</v>
      </c>
      <c r="H627" s="3" t="s">
        <v>4518</v>
      </c>
      <c r="I627" s="4">
        <v>0.88</v>
      </c>
      <c r="J627" s="4" t="s">
        <v>4367</v>
      </c>
      <c r="K627" s="4" t="s">
        <v>4410</v>
      </c>
      <c r="L627" s="14">
        <v>1700</v>
      </c>
      <c r="M627" s="14" t="s">
        <v>4534</v>
      </c>
      <c r="N627" s="14"/>
      <c r="O627" s="110"/>
      <c r="P627" s="4"/>
      <c r="R627" s="8" t="s">
        <v>4535</v>
      </c>
      <c r="U627" s="8" t="s">
        <v>4536</v>
      </c>
      <c r="X627" s="13">
        <v>-33.947899999999997</v>
      </c>
      <c r="Y627" s="13">
        <v>18.921800000000001</v>
      </c>
      <c r="Z627" s="14">
        <v>400</v>
      </c>
      <c r="AA627" s="8" t="s">
        <v>4532</v>
      </c>
      <c r="AB627" s="8" t="s">
        <v>4523</v>
      </c>
    </row>
    <row r="628" spans="1:28" ht="21.75" customHeight="1" x14ac:dyDescent="0.2">
      <c r="A628" s="7" t="s">
        <v>1089</v>
      </c>
      <c r="B628" s="7" t="s">
        <v>1090</v>
      </c>
      <c r="C628" s="7" t="s">
        <v>1091</v>
      </c>
      <c r="E628" s="7" t="s">
        <v>263</v>
      </c>
      <c r="F628" s="7" t="s">
        <v>212</v>
      </c>
      <c r="G628" s="7" t="s">
        <v>1099</v>
      </c>
      <c r="H628" s="1" t="s">
        <v>1093</v>
      </c>
      <c r="I628" s="7">
        <v>1.5</v>
      </c>
      <c r="J628" s="7" t="s">
        <v>4746</v>
      </c>
      <c r="K628" s="7" t="s">
        <v>4410</v>
      </c>
      <c r="L628" s="6">
        <v>400</v>
      </c>
      <c r="R628" s="7" t="s">
        <v>1012</v>
      </c>
      <c r="X628" s="5">
        <v>-22.397400000000001</v>
      </c>
      <c r="Y628" s="5">
        <v>21.720800000000001</v>
      </c>
      <c r="Z628" s="6">
        <v>1088</v>
      </c>
      <c r="AA628" s="134" t="s">
        <v>1097</v>
      </c>
      <c r="AB628" s="139" t="s">
        <v>1095</v>
      </c>
    </row>
    <row r="629" spans="1:28" ht="21.75" customHeight="1" x14ac:dyDescent="0.2">
      <c r="A629" s="7" t="s">
        <v>1089</v>
      </c>
      <c r="B629" s="7" t="s">
        <v>1090</v>
      </c>
      <c r="C629" s="7" t="s">
        <v>1091</v>
      </c>
      <c r="E629" s="7" t="s">
        <v>398</v>
      </c>
      <c r="F629" s="7" t="s">
        <v>62</v>
      </c>
      <c r="I629" s="7">
        <v>1.1000000000000001</v>
      </c>
      <c r="J629" s="7" t="s">
        <v>4746</v>
      </c>
      <c r="K629" s="7" t="s">
        <v>4410</v>
      </c>
      <c r="L629" s="6">
        <v>400</v>
      </c>
      <c r="R629" s="7" t="s">
        <v>1012</v>
      </c>
      <c r="X629" s="5">
        <v>-22.397400000000001</v>
      </c>
      <c r="Y629" s="5">
        <v>21.720800000000001</v>
      </c>
      <c r="Z629" s="6">
        <v>1088</v>
      </c>
      <c r="AA629" s="136"/>
      <c r="AB629" s="139"/>
    </row>
    <row r="630" spans="1:28" ht="21.75" customHeight="1" x14ac:dyDescent="0.2">
      <c r="A630" s="7" t="s">
        <v>1089</v>
      </c>
      <c r="B630" s="7" t="s">
        <v>1090</v>
      </c>
      <c r="C630" s="7" t="s">
        <v>1092</v>
      </c>
      <c r="E630" s="7" t="s">
        <v>263</v>
      </c>
      <c r="F630" s="7" t="s">
        <v>212</v>
      </c>
      <c r="G630" s="7" t="s">
        <v>1098</v>
      </c>
      <c r="H630" s="1" t="s">
        <v>1094</v>
      </c>
      <c r="I630" s="7">
        <v>1.6</v>
      </c>
      <c r="J630" s="7" t="s">
        <v>4746</v>
      </c>
      <c r="K630" s="7" t="s">
        <v>4410</v>
      </c>
      <c r="L630" s="6">
        <v>365</v>
      </c>
      <c r="R630" s="7" t="s">
        <v>1012</v>
      </c>
      <c r="X630" s="5">
        <v>-24.0029</v>
      </c>
      <c r="Y630" s="5">
        <v>21.861699999999999</v>
      </c>
      <c r="Z630" s="6">
        <v>1123</v>
      </c>
      <c r="AA630" s="136"/>
      <c r="AB630" s="139" t="s">
        <v>1096</v>
      </c>
    </row>
    <row r="631" spans="1:28" ht="21.75" customHeight="1" x14ac:dyDescent="0.2">
      <c r="A631" s="7" t="s">
        <v>1089</v>
      </c>
      <c r="B631" s="7" t="s">
        <v>1090</v>
      </c>
      <c r="C631" s="7" t="s">
        <v>1092</v>
      </c>
      <c r="E631" s="7" t="s">
        <v>398</v>
      </c>
      <c r="F631" s="7" t="s">
        <v>62</v>
      </c>
      <c r="I631" s="7">
        <v>1</v>
      </c>
      <c r="J631" s="7" t="s">
        <v>4746</v>
      </c>
      <c r="K631" s="7" t="s">
        <v>4410</v>
      </c>
      <c r="L631" s="6">
        <v>365</v>
      </c>
      <c r="R631" s="7" t="s">
        <v>1012</v>
      </c>
      <c r="X631" s="5">
        <v>-24.0029</v>
      </c>
      <c r="Y631" s="5">
        <v>21.861699999999999</v>
      </c>
      <c r="Z631" s="6">
        <v>1123</v>
      </c>
      <c r="AA631" s="135"/>
      <c r="AB631" s="139"/>
    </row>
    <row r="632" spans="1:28" s="82" customFormat="1" ht="21.75" customHeight="1" x14ac:dyDescent="0.2">
      <c r="A632" s="82" t="s">
        <v>7819</v>
      </c>
      <c r="B632" s="82" t="s">
        <v>7820</v>
      </c>
      <c r="C632" s="82" t="s">
        <v>7823</v>
      </c>
      <c r="E632" s="82" t="s">
        <v>275</v>
      </c>
      <c r="F632" s="82" t="s">
        <v>7818</v>
      </c>
      <c r="G632" s="82" t="s">
        <v>7810</v>
      </c>
      <c r="H632" s="83" t="s">
        <v>7809</v>
      </c>
      <c r="I632" s="84">
        <f>36*0.0254</f>
        <v>0.91439999999999999</v>
      </c>
      <c r="J632" s="82" t="s">
        <v>7830</v>
      </c>
      <c r="K632" s="82" t="s">
        <v>4480</v>
      </c>
      <c r="L632" s="85">
        <f>15*25.4</f>
        <v>381</v>
      </c>
      <c r="M632" s="85"/>
      <c r="N632" s="85"/>
      <c r="O632" s="116" t="s">
        <v>7831</v>
      </c>
      <c r="P632" s="84"/>
      <c r="R632" s="82" t="s">
        <v>7821</v>
      </c>
      <c r="X632" s="86">
        <v>43.922699999999999</v>
      </c>
      <c r="Y632" s="86">
        <v>-116.47280000000001</v>
      </c>
      <c r="Z632" s="85">
        <f>2600*0.3048</f>
        <v>792.48</v>
      </c>
      <c r="AA632" s="108" t="s">
        <v>7822</v>
      </c>
    </row>
    <row r="633" spans="1:28" s="82" customFormat="1" ht="21.75" customHeight="1" x14ac:dyDescent="0.2">
      <c r="A633" s="82" t="s">
        <v>7819</v>
      </c>
      <c r="B633" s="82" t="s">
        <v>7820</v>
      </c>
      <c r="C633" s="82" t="s">
        <v>7823</v>
      </c>
      <c r="E633" s="82" t="s">
        <v>275</v>
      </c>
      <c r="F633" s="82" t="s">
        <v>7818</v>
      </c>
      <c r="G633" s="82" t="s">
        <v>7824</v>
      </c>
      <c r="H633" s="83" t="s">
        <v>7825</v>
      </c>
      <c r="I633" s="84">
        <f>40*0.0254</f>
        <v>1.016</v>
      </c>
      <c r="J633" s="82" t="s">
        <v>7830</v>
      </c>
      <c r="K633" s="82" t="s">
        <v>4480</v>
      </c>
      <c r="L633" s="85">
        <f t="shared" ref="L633:L635" si="3">15*25.4</f>
        <v>381</v>
      </c>
      <c r="M633" s="85"/>
      <c r="N633" s="85"/>
      <c r="O633" s="116" t="s">
        <v>7831</v>
      </c>
      <c r="P633" s="84"/>
      <c r="R633" s="82" t="s">
        <v>7821</v>
      </c>
      <c r="X633" s="86">
        <v>43.922699999999999</v>
      </c>
      <c r="Y633" s="86">
        <v>-116.47280000000001</v>
      </c>
      <c r="Z633" s="85">
        <f t="shared" ref="Z633:Z635" si="4">2600*0.3048</f>
        <v>792.48</v>
      </c>
      <c r="AA633" s="108" t="s">
        <v>7822</v>
      </c>
    </row>
    <row r="634" spans="1:28" s="82" customFormat="1" ht="21.75" customHeight="1" x14ac:dyDescent="0.2">
      <c r="A634" s="82" t="s">
        <v>7819</v>
      </c>
      <c r="B634" s="82" t="s">
        <v>7820</v>
      </c>
      <c r="C634" s="82" t="s">
        <v>7823</v>
      </c>
      <c r="E634" s="82" t="s">
        <v>398</v>
      </c>
      <c r="F634" s="82" t="s">
        <v>62</v>
      </c>
      <c r="G634" s="82" t="s">
        <v>7829</v>
      </c>
      <c r="H634" s="83" t="s">
        <v>7826</v>
      </c>
      <c r="I634" s="84">
        <f>29*0.0254</f>
        <v>0.73659999999999992</v>
      </c>
      <c r="J634" s="82" t="s">
        <v>7830</v>
      </c>
      <c r="K634" s="82" t="s">
        <v>4480</v>
      </c>
      <c r="L634" s="85">
        <f t="shared" si="3"/>
        <v>381</v>
      </c>
      <c r="M634" s="85"/>
      <c r="N634" s="85"/>
      <c r="O634" s="116" t="s">
        <v>7831</v>
      </c>
      <c r="P634" s="84"/>
      <c r="R634" s="82" t="s">
        <v>7821</v>
      </c>
      <c r="X634" s="86">
        <v>43.922699999999999</v>
      </c>
      <c r="Y634" s="86">
        <v>-116.47280000000001</v>
      </c>
      <c r="Z634" s="85">
        <f t="shared" si="4"/>
        <v>792.48</v>
      </c>
      <c r="AA634" s="108" t="s">
        <v>7822</v>
      </c>
    </row>
    <row r="635" spans="1:28" s="82" customFormat="1" ht="21.75" customHeight="1" x14ac:dyDescent="0.2">
      <c r="A635" s="82" t="s">
        <v>7819</v>
      </c>
      <c r="B635" s="82" t="s">
        <v>7820</v>
      </c>
      <c r="C635" s="82" t="s">
        <v>7823</v>
      </c>
      <c r="E635" s="82" t="s">
        <v>398</v>
      </c>
      <c r="F635" s="82" t="s">
        <v>62</v>
      </c>
      <c r="G635" s="82" t="s">
        <v>7828</v>
      </c>
      <c r="H635" s="83" t="s">
        <v>7827</v>
      </c>
      <c r="I635" s="84">
        <f>32*0.0254</f>
        <v>0.81279999999999997</v>
      </c>
      <c r="J635" s="82" t="s">
        <v>7830</v>
      </c>
      <c r="K635" s="82" t="s">
        <v>4480</v>
      </c>
      <c r="L635" s="85">
        <f t="shared" si="3"/>
        <v>381</v>
      </c>
      <c r="M635" s="85"/>
      <c r="N635" s="85"/>
      <c r="O635" s="116" t="s">
        <v>7831</v>
      </c>
      <c r="P635" s="84"/>
      <c r="R635" s="82" t="s">
        <v>7821</v>
      </c>
      <c r="X635" s="86">
        <v>43.922699999999999</v>
      </c>
      <c r="Y635" s="86">
        <v>-116.47280000000001</v>
      </c>
      <c r="Z635" s="85">
        <f t="shared" si="4"/>
        <v>792.48</v>
      </c>
      <c r="AA635" s="108" t="s">
        <v>7822</v>
      </c>
    </row>
    <row r="636" spans="1:28" ht="21.75" customHeight="1" x14ac:dyDescent="0.2">
      <c r="A636" s="7" t="s">
        <v>4641</v>
      </c>
      <c r="B636" s="7" t="s">
        <v>4642</v>
      </c>
      <c r="C636" s="7" t="s">
        <v>4661</v>
      </c>
      <c r="E636" s="7" t="s">
        <v>263</v>
      </c>
      <c r="F636" s="7" t="s">
        <v>4644</v>
      </c>
      <c r="H636" s="1" t="s">
        <v>4648</v>
      </c>
      <c r="I636" s="7" t="s">
        <v>4654</v>
      </c>
      <c r="J636" s="7" t="s">
        <v>4367</v>
      </c>
      <c r="K636" s="7" t="s">
        <v>4410</v>
      </c>
      <c r="L636" s="6">
        <v>350</v>
      </c>
      <c r="O636" s="45" t="s">
        <v>4643</v>
      </c>
      <c r="R636" s="7" t="s">
        <v>4646</v>
      </c>
      <c r="U636" s="7" t="s">
        <v>4645</v>
      </c>
      <c r="V636" s="7">
        <v>0.63</v>
      </c>
      <c r="X636" s="5">
        <v>-33.0685</v>
      </c>
      <c r="Y636" s="5">
        <v>-70.999899999999997</v>
      </c>
      <c r="Z636" s="6">
        <v>1073</v>
      </c>
      <c r="AA636" s="7" t="s">
        <v>4662</v>
      </c>
      <c r="AB636" s="7" t="s">
        <v>4649</v>
      </c>
    </row>
    <row r="637" spans="1:28" ht="21.75" customHeight="1" x14ac:dyDescent="0.2">
      <c r="A637" s="7" t="s">
        <v>4641</v>
      </c>
      <c r="B637" s="7" t="s">
        <v>4642</v>
      </c>
      <c r="C637" s="7" t="s">
        <v>4661</v>
      </c>
      <c r="E637" s="7" t="s">
        <v>263</v>
      </c>
      <c r="F637" s="7" t="s">
        <v>4644</v>
      </c>
      <c r="H637" s="1" t="s">
        <v>4650</v>
      </c>
      <c r="I637" s="7" t="s">
        <v>4652</v>
      </c>
      <c r="J637" s="7" t="s">
        <v>4367</v>
      </c>
      <c r="K637" s="7" t="s">
        <v>4410</v>
      </c>
      <c r="L637" s="6">
        <v>350</v>
      </c>
      <c r="O637" s="45" t="s">
        <v>4643</v>
      </c>
      <c r="R637" s="7" t="s">
        <v>4646</v>
      </c>
      <c r="U637" s="7" t="s">
        <v>4645</v>
      </c>
      <c r="V637" s="7">
        <v>0.63</v>
      </c>
      <c r="X637" s="5">
        <v>-33.0685</v>
      </c>
      <c r="Y637" s="5">
        <v>-70.999899999999997</v>
      </c>
      <c r="Z637" s="6">
        <v>1073</v>
      </c>
      <c r="AA637" s="73" t="s">
        <v>4663</v>
      </c>
    </row>
    <row r="638" spans="1:28" ht="21.75" customHeight="1" x14ac:dyDescent="0.2">
      <c r="A638" s="7" t="s">
        <v>4641</v>
      </c>
      <c r="B638" s="7" t="s">
        <v>4642</v>
      </c>
      <c r="C638" s="7" t="s">
        <v>4661</v>
      </c>
      <c r="E638" s="7" t="s">
        <v>263</v>
      </c>
      <c r="F638" s="7" t="s">
        <v>4644</v>
      </c>
      <c r="H638" s="1" t="s">
        <v>4651</v>
      </c>
      <c r="I638" s="7" t="s">
        <v>4652</v>
      </c>
      <c r="J638" s="7" t="s">
        <v>4367</v>
      </c>
      <c r="K638" s="7" t="s">
        <v>4410</v>
      </c>
      <c r="L638" s="6">
        <v>350</v>
      </c>
      <c r="O638" s="45" t="s">
        <v>4643</v>
      </c>
      <c r="R638" s="7" t="s">
        <v>4646</v>
      </c>
      <c r="U638" s="7" t="s">
        <v>4645</v>
      </c>
      <c r="V638" s="7">
        <v>0.63</v>
      </c>
      <c r="X638" s="5">
        <v>-33.0685</v>
      </c>
      <c r="Y638" s="5">
        <v>-70.999899999999997</v>
      </c>
      <c r="Z638" s="6">
        <v>1073</v>
      </c>
      <c r="AA638" s="73" t="s">
        <v>4664</v>
      </c>
    </row>
    <row r="639" spans="1:28" ht="21.75" customHeight="1" x14ac:dyDescent="0.2">
      <c r="A639" s="7" t="s">
        <v>4641</v>
      </c>
      <c r="B639" s="7" t="s">
        <v>4642</v>
      </c>
      <c r="C639" s="7" t="s">
        <v>4661</v>
      </c>
      <c r="E639" s="7" t="s">
        <v>263</v>
      </c>
      <c r="F639" s="7" t="s">
        <v>4644</v>
      </c>
      <c r="H639" s="1" t="s">
        <v>4653</v>
      </c>
      <c r="I639" s="7" t="s">
        <v>4654</v>
      </c>
      <c r="J639" s="7" t="s">
        <v>4367</v>
      </c>
      <c r="K639" s="7" t="s">
        <v>4410</v>
      </c>
      <c r="L639" s="6">
        <v>350</v>
      </c>
      <c r="O639" s="45" t="s">
        <v>4643</v>
      </c>
      <c r="R639" s="7" t="s">
        <v>4646</v>
      </c>
      <c r="U639" s="7" t="s">
        <v>4645</v>
      </c>
      <c r="V639" s="7">
        <v>0.63</v>
      </c>
      <c r="X639" s="5">
        <v>-33.0685</v>
      </c>
      <c r="Y639" s="5">
        <v>-70.999899999999997</v>
      </c>
      <c r="Z639" s="6">
        <v>1073</v>
      </c>
      <c r="AA639" s="73"/>
      <c r="AB639" s="7" t="s">
        <v>4649</v>
      </c>
    </row>
    <row r="640" spans="1:28" ht="21.75" customHeight="1" x14ac:dyDescent="0.2">
      <c r="A640" s="7" t="s">
        <v>4641</v>
      </c>
      <c r="B640" s="7" t="s">
        <v>4642</v>
      </c>
      <c r="C640" s="7" t="s">
        <v>4661</v>
      </c>
      <c r="E640" s="7" t="s">
        <v>263</v>
      </c>
      <c r="F640" s="7" t="s">
        <v>4644</v>
      </c>
      <c r="H640" s="1" t="s">
        <v>4655</v>
      </c>
      <c r="I640" s="7">
        <v>0.2</v>
      </c>
      <c r="J640" s="7" t="s">
        <v>4367</v>
      </c>
      <c r="K640" s="7" t="s">
        <v>4410</v>
      </c>
      <c r="L640" s="6">
        <v>350</v>
      </c>
      <c r="O640" s="45" t="s">
        <v>4643</v>
      </c>
      <c r="R640" s="7" t="s">
        <v>4646</v>
      </c>
      <c r="U640" s="7" t="s">
        <v>4645</v>
      </c>
      <c r="V640" s="7">
        <v>0.63</v>
      </c>
      <c r="X640" s="5">
        <v>-33.0685</v>
      </c>
      <c r="Y640" s="5">
        <v>-70.999899999999997</v>
      </c>
      <c r="Z640" s="6">
        <v>1073</v>
      </c>
      <c r="AA640" s="134" t="s">
        <v>4647</v>
      </c>
    </row>
    <row r="641" spans="1:28" ht="21.75" customHeight="1" x14ac:dyDescent="0.2">
      <c r="A641" s="7" t="s">
        <v>4641</v>
      </c>
      <c r="B641" s="7" t="s">
        <v>4642</v>
      </c>
      <c r="C641" s="7" t="s">
        <v>4661</v>
      </c>
      <c r="E641" s="7" t="s">
        <v>263</v>
      </c>
      <c r="F641" s="7" t="s">
        <v>4644</v>
      </c>
      <c r="H641" s="1" t="s">
        <v>4656</v>
      </c>
      <c r="I641" s="7">
        <v>0.4</v>
      </c>
      <c r="J641" s="7" t="s">
        <v>4367</v>
      </c>
      <c r="K641" s="7" t="s">
        <v>4410</v>
      </c>
      <c r="L641" s="6">
        <v>350</v>
      </c>
      <c r="O641" s="45" t="s">
        <v>4643</v>
      </c>
      <c r="R641" s="7" t="s">
        <v>4646</v>
      </c>
      <c r="U641" s="7" t="s">
        <v>4645</v>
      </c>
      <c r="V641" s="7">
        <v>0.63</v>
      </c>
      <c r="X641" s="5">
        <v>-33.0685</v>
      </c>
      <c r="Y641" s="5">
        <v>-70.999899999999997</v>
      </c>
      <c r="Z641" s="6">
        <v>1073</v>
      </c>
      <c r="AA641" s="136"/>
    </row>
    <row r="642" spans="1:28" ht="21.75" customHeight="1" x14ac:dyDescent="0.2">
      <c r="A642" s="7" t="s">
        <v>4641</v>
      </c>
      <c r="B642" s="7" t="s">
        <v>4642</v>
      </c>
      <c r="C642" s="7" t="s">
        <v>4661</v>
      </c>
      <c r="E642" s="7" t="s">
        <v>263</v>
      </c>
      <c r="F642" s="7" t="s">
        <v>4644</v>
      </c>
      <c r="H642" s="1" t="s">
        <v>4657</v>
      </c>
      <c r="I642" s="7">
        <v>0.2</v>
      </c>
      <c r="J642" s="7" t="s">
        <v>4367</v>
      </c>
      <c r="K642" s="7" t="s">
        <v>4410</v>
      </c>
      <c r="L642" s="6">
        <v>350</v>
      </c>
      <c r="O642" s="45" t="s">
        <v>4643</v>
      </c>
      <c r="R642" s="7" t="s">
        <v>4646</v>
      </c>
      <c r="U642" s="7" t="s">
        <v>4645</v>
      </c>
      <c r="V642" s="7">
        <v>0.63</v>
      </c>
      <c r="X642" s="5">
        <v>-33.0685</v>
      </c>
      <c r="Y642" s="5">
        <v>-70.999899999999997</v>
      </c>
      <c r="Z642" s="6">
        <v>1073</v>
      </c>
      <c r="AA642" s="136"/>
    </row>
    <row r="643" spans="1:28" ht="21.75" customHeight="1" x14ac:dyDescent="0.2">
      <c r="A643" s="7" t="s">
        <v>4641</v>
      </c>
      <c r="B643" s="7" t="s">
        <v>4642</v>
      </c>
      <c r="C643" s="7" t="s">
        <v>4661</v>
      </c>
      <c r="E643" s="7" t="s">
        <v>263</v>
      </c>
      <c r="F643" s="7" t="s">
        <v>4644</v>
      </c>
      <c r="H643" s="1" t="s">
        <v>4658</v>
      </c>
      <c r="I643" s="7" t="s">
        <v>4654</v>
      </c>
      <c r="J643" s="7" t="s">
        <v>4367</v>
      </c>
      <c r="K643" s="7" t="s">
        <v>4410</v>
      </c>
      <c r="L643" s="6">
        <v>350</v>
      </c>
      <c r="O643" s="45" t="s">
        <v>4643</v>
      </c>
      <c r="R643" s="7" t="s">
        <v>4646</v>
      </c>
      <c r="U643" s="7" t="s">
        <v>4645</v>
      </c>
      <c r="V643" s="7">
        <v>0.63</v>
      </c>
      <c r="X643" s="5">
        <v>-33.0685</v>
      </c>
      <c r="Y643" s="5">
        <v>-70.999899999999997</v>
      </c>
      <c r="Z643" s="6">
        <v>1073</v>
      </c>
      <c r="AA643" s="136"/>
      <c r="AB643" s="7" t="s">
        <v>4649</v>
      </c>
    </row>
    <row r="644" spans="1:28" ht="21.75" customHeight="1" x14ac:dyDescent="0.2">
      <c r="A644" s="7" t="s">
        <v>4641</v>
      </c>
      <c r="B644" s="7" t="s">
        <v>4642</v>
      </c>
      <c r="C644" s="7" t="s">
        <v>4661</v>
      </c>
      <c r="E644" s="7" t="s">
        <v>263</v>
      </c>
      <c r="F644" s="7" t="s">
        <v>4644</v>
      </c>
      <c r="H644" s="1" t="s">
        <v>4659</v>
      </c>
      <c r="I644" s="7">
        <v>0.2</v>
      </c>
      <c r="J644" s="7" t="s">
        <v>4367</v>
      </c>
      <c r="K644" s="7" t="s">
        <v>4410</v>
      </c>
      <c r="L644" s="6">
        <v>350</v>
      </c>
      <c r="O644" s="45" t="s">
        <v>4643</v>
      </c>
      <c r="R644" s="7" t="s">
        <v>4646</v>
      </c>
      <c r="U644" s="7" t="s">
        <v>4645</v>
      </c>
      <c r="V644" s="7">
        <v>0.63</v>
      </c>
      <c r="X644" s="5">
        <v>-33.0685</v>
      </c>
      <c r="Y644" s="5">
        <v>-70.999899999999997</v>
      </c>
      <c r="Z644" s="6">
        <v>1073</v>
      </c>
      <c r="AA644" s="136"/>
    </row>
    <row r="645" spans="1:28" ht="21.75" customHeight="1" x14ac:dyDescent="0.2">
      <c r="A645" s="7" t="s">
        <v>4641</v>
      </c>
      <c r="B645" s="7" t="s">
        <v>4642</v>
      </c>
      <c r="C645" s="7" t="s">
        <v>4661</v>
      </c>
      <c r="E645" s="7" t="s">
        <v>263</v>
      </c>
      <c r="F645" s="7" t="s">
        <v>4644</v>
      </c>
      <c r="H645" s="1" t="s">
        <v>4660</v>
      </c>
      <c r="I645" s="7">
        <v>0.3</v>
      </c>
      <c r="J645" s="7" t="s">
        <v>4367</v>
      </c>
      <c r="K645" s="7" t="s">
        <v>4410</v>
      </c>
      <c r="L645" s="6">
        <v>350</v>
      </c>
      <c r="O645" s="45" t="s">
        <v>4643</v>
      </c>
      <c r="R645" s="7" t="s">
        <v>4646</v>
      </c>
      <c r="U645" s="7" t="s">
        <v>4645</v>
      </c>
      <c r="V645" s="7">
        <v>0.63</v>
      </c>
      <c r="X645" s="5">
        <v>-33.0685</v>
      </c>
      <c r="Y645" s="5">
        <v>-70.999899999999997</v>
      </c>
      <c r="Z645" s="6">
        <v>1073</v>
      </c>
      <c r="AA645" s="135"/>
    </row>
    <row r="646" spans="1:28" s="8" customFormat="1" ht="21.75" customHeight="1" x14ac:dyDescent="0.2">
      <c r="A646" s="8" t="s">
        <v>3022</v>
      </c>
      <c r="B646" s="8" t="s">
        <v>3029</v>
      </c>
      <c r="C646" s="8" t="s">
        <v>3031</v>
      </c>
      <c r="D646" s="8" t="s">
        <v>3026</v>
      </c>
      <c r="E646" s="8" t="s">
        <v>280</v>
      </c>
      <c r="F646" s="8" t="s">
        <v>212</v>
      </c>
      <c r="G646" s="8" t="s">
        <v>3037</v>
      </c>
      <c r="H646" s="3" t="s">
        <v>3034</v>
      </c>
      <c r="I646" s="8">
        <v>2.6</v>
      </c>
      <c r="J646" s="8" t="s">
        <v>4367</v>
      </c>
      <c r="K646" s="8" t="s">
        <v>5713</v>
      </c>
      <c r="L646" s="14">
        <v>650</v>
      </c>
      <c r="M646" s="14" t="s">
        <v>3023</v>
      </c>
      <c r="N646" s="14"/>
      <c r="O646" s="110" t="s">
        <v>3024</v>
      </c>
      <c r="P646" s="4"/>
      <c r="R646" s="8" t="s">
        <v>3025</v>
      </c>
      <c r="X646" s="13">
        <v>-18.641300000000001</v>
      </c>
      <c r="Y646" s="13">
        <v>27.032800000000002</v>
      </c>
      <c r="Z646" s="14">
        <v>1065</v>
      </c>
      <c r="AA646" s="19" t="s">
        <v>3046</v>
      </c>
      <c r="AB646" s="8" t="s">
        <v>3041</v>
      </c>
    </row>
    <row r="647" spans="1:28" s="8" customFormat="1" ht="21.75" customHeight="1" x14ac:dyDescent="0.2">
      <c r="A647" s="8" t="s">
        <v>3022</v>
      </c>
      <c r="B647" s="8" t="s">
        <v>3029</v>
      </c>
      <c r="C647" s="8" t="s">
        <v>3031</v>
      </c>
      <c r="D647" s="8" t="s">
        <v>3026</v>
      </c>
      <c r="E647" s="8" t="s">
        <v>280</v>
      </c>
      <c r="F647" s="8" t="s">
        <v>212</v>
      </c>
      <c r="G647" s="8" t="s">
        <v>3038</v>
      </c>
      <c r="H647" s="3" t="s">
        <v>3033</v>
      </c>
      <c r="I647" s="8">
        <v>1.7</v>
      </c>
      <c r="J647" s="8" t="s">
        <v>4367</v>
      </c>
      <c r="K647" s="8" t="s">
        <v>5713</v>
      </c>
      <c r="L647" s="14">
        <v>650</v>
      </c>
      <c r="M647" s="14" t="s">
        <v>3023</v>
      </c>
      <c r="N647" s="14"/>
      <c r="O647" s="110" t="s">
        <v>3024</v>
      </c>
      <c r="P647" s="4"/>
      <c r="R647" s="8" t="s">
        <v>3025</v>
      </c>
      <c r="X647" s="13">
        <v>-18.641300000000001</v>
      </c>
      <c r="Y647" s="13">
        <v>27.032800000000002</v>
      </c>
      <c r="Z647" s="14">
        <v>1065</v>
      </c>
      <c r="AA647" s="19" t="s">
        <v>3047</v>
      </c>
      <c r="AB647" s="8" t="s">
        <v>3042</v>
      </c>
    </row>
    <row r="648" spans="1:28" s="8" customFormat="1" ht="21.75" customHeight="1" x14ac:dyDescent="0.2">
      <c r="A648" s="8" t="s">
        <v>3022</v>
      </c>
      <c r="B648" s="8" t="s">
        <v>3029</v>
      </c>
      <c r="C648" s="8" t="s">
        <v>3031</v>
      </c>
      <c r="D648" s="8" t="s">
        <v>3026</v>
      </c>
      <c r="E648" s="8" t="s">
        <v>280</v>
      </c>
      <c r="F648" s="8" t="s">
        <v>212</v>
      </c>
      <c r="G648" s="8" t="s">
        <v>3030</v>
      </c>
      <c r="H648" s="3" t="s">
        <v>3028</v>
      </c>
      <c r="I648" s="8">
        <v>2.1</v>
      </c>
      <c r="J648" s="8" t="s">
        <v>4367</v>
      </c>
      <c r="K648" s="8" t="s">
        <v>5713</v>
      </c>
      <c r="L648" s="14">
        <v>650</v>
      </c>
      <c r="M648" s="14" t="s">
        <v>3023</v>
      </c>
      <c r="N648" s="14"/>
      <c r="O648" s="110" t="s">
        <v>3024</v>
      </c>
      <c r="P648" s="4"/>
      <c r="R648" s="8" t="s">
        <v>3025</v>
      </c>
      <c r="X648" s="13">
        <v>-18.641300000000001</v>
      </c>
      <c r="Y648" s="13">
        <v>27.032800000000002</v>
      </c>
      <c r="Z648" s="14">
        <v>1065</v>
      </c>
      <c r="AA648" s="19" t="s">
        <v>3048</v>
      </c>
      <c r="AB648" s="8" t="s">
        <v>3043</v>
      </c>
    </row>
    <row r="649" spans="1:28" s="8" customFormat="1" ht="21.75" customHeight="1" x14ac:dyDescent="0.2">
      <c r="A649" s="8" t="s">
        <v>3022</v>
      </c>
      <c r="B649" s="8" t="s">
        <v>3029</v>
      </c>
      <c r="C649" s="8" t="s">
        <v>3031</v>
      </c>
      <c r="D649" s="8" t="s">
        <v>3027</v>
      </c>
      <c r="E649" s="8" t="s">
        <v>280</v>
      </c>
      <c r="F649" s="8" t="s">
        <v>214</v>
      </c>
      <c r="G649" s="8" t="s">
        <v>3039</v>
      </c>
      <c r="H649" s="3" t="s">
        <v>3035</v>
      </c>
      <c r="I649" s="8">
        <v>0.9</v>
      </c>
      <c r="J649" s="8" t="s">
        <v>4367</v>
      </c>
      <c r="K649" s="8" t="s">
        <v>5713</v>
      </c>
      <c r="L649" s="14">
        <v>650</v>
      </c>
      <c r="M649" s="14" t="s">
        <v>3023</v>
      </c>
      <c r="N649" s="14"/>
      <c r="O649" s="110" t="s">
        <v>2648</v>
      </c>
      <c r="P649" s="4"/>
      <c r="R649" s="8" t="s">
        <v>3025</v>
      </c>
      <c r="X649" s="13">
        <v>-18.6434</v>
      </c>
      <c r="Y649" s="13">
        <v>27.0336</v>
      </c>
      <c r="Z649" s="14">
        <v>1050</v>
      </c>
      <c r="AA649" s="19" t="s">
        <v>3049</v>
      </c>
      <c r="AB649" s="8" t="s">
        <v>3044</v>
      </c>
    </row>
    <row r="650" spans="1:28" s="8" customFormat="1" ht="21.75" customHeight="1" x14ac:dyDescent="0.2">
      <c r="A650" s="8" t="s">
        <v>3022</v>
      </c>
      <c r="B650" s="8" t="s">
        <v>3029</v>
      </c>
      <c r="C650" s="8" t="s">
        <v>3031</v>
      </c>
      <c r="D650" s="8" t="s">
        <v>3027</v>
      </c>
      <c r="E650" s="8" t="s">
        <v>280</v>
      </c>
      <c r="F650" s="8" t="s">
        <v>214</v>
      </c>
      <c r="G650" s="8" t="s">
        <v>3040</v>
      </c>
      <c r="H650" s="8" t="s">
        <v>3036</v>
      </c>
      <c r="I650" s="8">
        <v>1.25</v>
      </c>
      <c r="J650" s="8" t="s">
        <v>4367</v>
      </c>
      <c r="K650" s="8" t="s">
        <v>5713</v>
      </c>
      <c r="L650" s="14">
        <v>650</v>
      </c>
      <c r="M650" s="14" t="s">
        <v>3023</v>
      </c>
      <c r="N650" s="14"/>
      <c r="O650" s="110" t="s">
        <v>2648</v>
      </c>
      <c r="P650" s="4"/>
      <c r="R650" s="8" t="s">
        <v>3025</v>
      </c>
      <c r="X650" s="13">
        <v>-18.6434</v>
      </c>
      <c r="Y650" s="13">
        <v>27.0336</v>
      </c>
      <c r="Z650" s="14">
        <v>1050</v>
      </c>
      <c r="AA650" s="19"/>
      <c r="AB650" s="8" t="s">
        <v>3045</v>
      </c>
    </row>
    <row r="651" spans="1:28" s="8" customFormat="1" ht="21.75" customHeight="1" x14ac:dyDescent="0.2">
      <c r="A651" s="8" t="s">
        <v>3022</v>
      </c>
      <c r="B651" s="8" t="s">
        <v>3029</v>
      </c>
      <c r="C651" s="8" t="s">
        <v>3031</v>
      </c>
      <c r="D651" s="8" t="s">
        <v>3027</v>
      </c>
      <c r="E651" s="8" t="s">
        <v>280</v>
      </c>
      <c r="F651" s="8" t="s">
        <v>214</v>
      </c>
      <c r="G651" s="8" t="s">
        <v>3032</v>
      </c>
      <c r="H651" s="3" t="s">
        <v>1348</v>
      </c>
      <c r="I651" s="8">
        <v>1.2</v>
      </c>
      <c r="J651" s="8" t="s">
        <v>4367</v>
      </c>
      <c r="K651" s="8" t="s">
        <v>5713</v>
      </c>
      <c r="L651" s="14">
        <v>650</v>
      </c>
      <c r="M651" s="14" t="s">
        <v>3023</v>
      </c>
      <c r="N651" s="14"/>
      <c r="O651" s="110" t="s">
        <v>2648</v>
      </c>
      <c r="P651" s="4"/>
      <c r="R651" s="8" t="s">
        <v>3025</v>
      </c>
      <c r="X651" s="13">
        <v>-18.6434</v>
      </c>
      <c r="Y651" s="13">
        <v>27.0336</v>
      </c>
      <c r="Z651" s="14">
        <v>1050</v>
      </c>
      <c r="AA651" s="19"/>
    </row>
    <row r="652" spans="1:28" ht="21.75" customHeight="1" x14ac:dyDescent="0.2">
      <c r="A652" s="7" t="s">
        <v>1100</v>
      </c>
      <c r="B652" s="7" t="s">
        <v>1101</v>
      </c>
      <c r="C652" s="7" t="s">
        <v>861</v>
      </c>
      <c r="D652" s="7" t="s">
        <v>1102</v>
      </c>
      <c r="E652" s="7" t="s">
        <v>33</v>
      </c>
      <c r="F652" s="7" t="s">
        <v>212</v>
      </c>
      <c r="G652" s="7" t="s">
        <v>122</v>
      </c>
      <c r="H652" s="1" t="s">
        <v>142</v>
      </c>
      <c r="I652" s="2">
        <v>3.5052000000000003</v>
      </c>
      <c r="J652" s="2" t="s">
        <v>4367</v>
      </c>
      <c r="K652" s="2" t="s">
        <v>5713</v>
      </c>
      <c r="O652" s="45" t="s">
        <v>1109</v>
      </c>
      <c r="Q652" s="2">
        <f>11.5*0.3048</f>
        <v>3.5052000000000003</v>
      </c>
      <c r="R652" s="7" t="s">
        <v>1106</v>
      </c>
      <c r="X652" s="5">
        <v>51.021099999999997</v>
      </c>
      <c r="Y652" s="5">
        <v>-115.071</v>
      </c>
      <c r="Z652" s="6">
        <v>1486</v>
      </c>
      <c r="AA652" s="7" t="s">
        <v>1112</v>
      </c>
      <c r="AB652" s="7" t="s">
        <v>1115</v>
      </c>
    </row>
    <row r="653" spans="1:28" ht="21.75" customHeight="1" x14ac:dyDescent="0.2">
      <c r="A653" s="7" t="s">
        <v>1100</v>
      </c>
      <c r="B653" s="7" t="s">
        <v>1101</v>
      </c>
      <c r="C653" s="7" t="s">
        <v>861</v>
      </c>
      <c r="D653" s="7" t="s">
        <v>1103</v>
      </c>
      <c r="E653" s="7" t="s">
        <v>33</v>
      </c>
      <c r="F653" s="7" t="s">
        <v>212</v>
      </c>
      <c r="G653" s="7" t="s">
        <v>122</v>
      </c>
      <c r="H653" s="1" t="s">
        <v>142</v>
      </c>
      <c r="I653" s="2">
        <v>1.524</v>
      </c>
      <c r="J653" s="2" t="s">
        <v>4367</v>
      </c>
      <c r="K653" s="2" t="s">
        <v>5713</v>
      </c>
      <c r="O653" s="45" t="s">
        <v>1110</v>
      </c>
      <c r="Q653" s="2">
        <f>5*0.3048</f>
        <v>1.524</v>
      </c>
      <c r="R653" s="7" t="s">
        <v>1107</v>
      </c>
      <c r="X653" s="5">
        <v>51.027700000000003</v>
      </c>
      <c r="Y653" s="5">
        <v>-115.0377</v>
      </c>
      <c r="Z653" s="6">
        <v>1411</v>
      </c>
      <c r="AA653" s="7" t="s">
        <v>1114</v>
      </c>
      <c r="AB653" s="7" t="s">
        <v>1116</v>
      </c>
    </row>
    <row r="654" spans="1:28" ht="21.75" customHeight="1" x14ac:dyDescent="0.2">
      <c r="A654" s="7" t="s">
        <v>1100</v>
      </c>
      <c r="B654" s="7" t="s">
        <v>1101</v>
      </c>
      <c r="C654" s="7" t="s">
        <v>861</v>
      </c>
      <c r="D654" s="7" t="s">
        <v>1104</v>
      </c>
      <c r="E654" s="7" t="s">
        <v>33</v>
      </c>
      <c r="F654" s="7" t="s">
        <v>212</v>
      </c>
      <c r="G654" s="7" t="s">
        <v>122</v>
      </c>
      <c r="H654" s="1" t="s">
        <v>142</v>
      </c>
      <c r="I654" s="2">
        <v>0.70104</v>
      </c>
      <c r="J654" s="2" t="s">
        <v>4367</v>
      </c>
      <c r="K654" s="2" t="s">
        <v>5713</v>
      </c>
      <c r="O654" s="45" t="s">
        <v>1111</v>
      </c>
      <c r="Q654" s="2">
        <f>1.5*0.3048</f>
        <v>0.45720000000000005</v>
      </c>
      <c r="R654" s="7" t="s">
        <v>1108</v>
      </c>
      <c r="X654" s="5">
        <v>50.994</v>
      </c>
      <c r="Y654" s="5">
        <v>-115.0765</v>
      </c>
      <c r="Z654" s="6">
        <v>1385</v>
      </c>
      <c r="AA654" s="7" t="s">
        <v>1113</v>
      </c>
      <c r="AB654" s="7" t="s">
        <v>1117</v>
      </c>
    </row>
    <row r="655" spans="1:28" s="8" customFormat="1" ht="21.75" customHeight="1" x14ac:dyDescent="0.2">
      <c r="A655" s="8" t="s">
        <v>1118</v>
      </c>
      <c r="B655" s="8" t="s">
        <v>1119</v>
      </c>
      <c r="C655" s="8" t="s">
        <v>94</v>
      </c>
      <c r="E655" s="8" t="s">
        <v>263</v>
      </c>
      <c r="F655" s="8" t="s">
        <v>212</v>
      </c>
      <c r="G655" s="8" t="s">
        <v>1120</v>
      </c>
      <c r="H655" s="3" t="s">
        <v>1121</v>
      </c>
      <c r="I655" s="4">
        <f>20*0.3048</f>
        <v>6.0960000000000001</v>
      </c>
      <c r="J655" s="4" t="s">
        <v>4433</v>
      </c>
      <c r="K655" s="4" t="s">
        <v>4410</v>
      </c>
      <c r="L655" s="14"/>
      <c r="M655" s="14"/>
      <c r="N655" s="14"/>
      <c r="O655" s="110"/>
      <c r="P655" s="4"/>
      <c r="R655" s="8" t="s">
        <v>1173</v>
      </c>
      <c r="U655" s="8" t="s">
        <v>1172</v>
      </c>
      <c r="V655" s="8">
        <v>5</v>
      </c>
      <c r="X655" s="13">
        <v>-1.2186999999999999</v>
      </c>
      <c r="Y655" s="13">
        <v>36.643599999999999</v>
      </c>
      <c r="Z655" s="14">
        <v>2073</v>
      </c>
      <c r="AA655" s="8" t="s">
        <v>1174</v>
      </c>
      <c r="AB655" s="8" t="s">
        <v>1177</v>
      </c>
    </row>
    <row r="656" spans="1:28" s="8" customFormat="1" ht="21.75" customHeight="1" x14ac:dyDescent="0.2">
      <c r="A656" s="8" t="s">
        <v>1118</v>
      </c>
      <c r="B656" s="8" t="s">
        <v>1119</v>
      </c>
      <c r="C656" s="8" t="s">
        <v>94</v>
      </c>
      <c r="E656" s="8" t="s">
        <v>33</v>
      </c>
      <c r="F656" s="8" t="s">
        <v>212</v>
      </c>
      <c r="G656" s="8" t="s">
        <v>1122</v>
      </c>
      <c r="H656" s="3" t="s">
        <v>1123</v>
      </c>
      <c r="I656" s="4">
        <f>20*0.3048</f>
        <v>6.0960000000000001</v>
      </c>
      <c r="J656" s="4" t="s">
        <v>4433</v>
      </c>
      <c r="K656" s="4" t="s">
        <v>4410</v>
      </c>
      <c r="L656" s="14"/>
      <c r="M656" s="14"/>
      <c r="N656" s="14"/>
      <c r="O656" s="110"/>
      <c r="P656" s="4"/>
      <c r="R656" s="8" t="s">
        <v>1173</v>
      </c>
      <c r="U656" s="8" t="s">
        <v>1172</v>
      </c>
      <c r="V656" s="8">
        <v>5</v>
      </c>
      <c r="X656" s="13">
        <v>-1.2186999999999999</v>
      </c>
      <c r="Y656" s="13">
        <v>36.643599999999999</v>
      </c>
      <c r="Z656" s="14">
        <v>2073</v>
      </c>
      <c r="AA656" s="8" t="s">
        <v>1175</v>
      </c>
      <c r="AB656" s="138" t="s">
        <v>7013</v>
      </c>
    </row>
    <row r="657" spans="1:29" s="8" customFormat="1" ht="21.75" customHeight="1" x14ac:dyDescent="0.2">
      <c r="A657" s="8" t="s">
        <v>1118</v>
      </c>
      <c r="B657" s="8" t="s">
        <v>1119</v>
      </c>
      <c r="C657" s="8" t="s">
        <v>94</v>
      </c>
      <c r="E657" s="8" t="s">
        <v>33</v>
      </c>
      <c r="F657" s="8" t="s">
        <v>212</v>
      </c>
      <c r="G657" s="8" t="s">
        <v>1124</v>
      </c>
      <c r="H657" s="3" t="s">
        <v>1125</v>
      </c>
      <c r="I657" s="4">
        <f>25*0.3048</f>
        <v>7.62</v>
      </c>
      <c r="J657" s="4" t="s">
        <v>4433</v>
      </c>
      <c r="K657" s="4" t="s">
        <v>4410</v>
      </c>
      <c r="L657" s="14"/>
      <c r="M657" s="14"/>
      <c r="N657" s="14"/>
      <c r="O657" s="110"/>
      <c r="P657" s="4"/>
      <c r="R657" s="8" t="s">
        <v>1173</v>
      </c>
      <c r="U657" s="8" t="s">
        <v>1172</v>
      </c>
      <c r="V657" s="8">
        <v>5</v>
      </c>
      <c r="X657" s="13">
        <v>-1.2186999999999999</v>
      </c>
      <c r="Y657" s="13">
        <v>36.643599999999999</v>
      </c>
      <c r="Z657" s="14">
        <v>2073</v>
      </c>
      <c r="AA657" s="8" t="s">
        <v>1176</v>
      </c>
      <c r="AB657" s="138"/>
    </row>
    <row r="658" spans="1:29" s="8" customFormat="1" ht="21.75" customHeight="1" x14ac:dyDescent="0.2">
      <c r="A658" s="8" t="s">
        <v>1118</v>
      </c>
      <c r="B658" s="8" t="s">
        <v>1119</v>
      </c>
      <c r="C658" s="8" t="s">
        <v>94</v>
      </c>
      <c r="E658" s="8" t="s">
        <v>33</v>
      </c>
      <c r="F658" s="8" t="s">
        <v>212</v>
      </c>
      <c r="G658" s="8" t="s">
        <v>1126</v>
      </c>
      <c r="H658" s="3" t="s">
        <v>1127</v>
      </c>
      <c r="I658" s="4">
        <f>25*0.3048</f>
        <v>7.62</v>
      </c>
      <c r="J658" s="4" t="s">
        <v>4433</v>
      </c>
      <c r="K658" s="4" t="s">
        <v>4410</v>
      </c>
      <c r="L658" s="14"/>
      <c r="M658" s="14"/>
      <c r="N658" s="14"/>
      <c r="O658" s="110"/>
      <c r="P658" s="4"/>
      <c r="R658" s="8" t="s">
        <v>1173</v>
      </c>
      <c r="U658" s="8" t="s">
        <v>1172</v>
      </c>
      <c r="V658" s="8">
        <v>5</v>
      </c>
      <c r="X658" s="13">
        <v>-1.2186999999999999</v>
      </c>
      <c r="Y658" s="13">
        <v>36.643599999999999</v>
      </c>
      <c r="Z658" s="14">
        <v>2073</v>
      </c>
      <c r="AB658" s="138"/>
    </row>
    <row r="659" spans="1:29" ht="21.75" customHeight="1" x14ac:dyDescent="0.2">
      <c r="A659" s="7" t="s">
        <v>4665</v>
      </c>
      <c r="B659" s="7" t="s">
        <v>4701</v>
      </c>
      <c r="C659" s="7" t="s">
        <v>4704</v>
      </c>
      <c r="D659" s="7" t="s">
        <v>4683</v>
      </c>
      <c r="E659" s="7" t="s">
        <v>280</v>
      </c>
      <c r="F659" s="7" t="s">
        <v>212</v>
      </c>
      <c r="G659" s="7" t="s">
        <v>4670</v>
      </c>
      <c r="H659" s="1" t="s">
        <v>4678</v>
      </c>
      <c r="I659" s="2">
        <v>4.9000000000000004</v>
      </c>
      <c r="J659" s="2" t="s">
        <v>4674</v>
      </c>
      <c r="K659" s="2" t="s">
        <v>4675</v>
      </c>
      <c r="L659" s="6">
        <f>47.5*25.4</f>
        <v>1206.5</v>
      </c>
      <c r="M659" s="6" t="s">
        <v>4667</v>
      </c>
      <c r="O659" s="45" t="s">
        <v>4669</v>
      </c>
      <c r="P659" s="2" t="s">
        <v>4668</v>
      </c>
      <c r="Q659" s="7">
        <v>5</v>
      </c>
      <c r="R659" s="7" t="s">
        <v>4666</v>
      </c>
      <c r="W659" s="7" t="s">
        <v>4726</v>
      </c>
      <c r="X659" s="5">
        <v>25.983699999999999</v>
      </c>
      <c r="Y659" s="5">
        <v>85.680400000000006</v>
      </c>
      <c r="Z659" s="6">
        <v>58</v>
      </c>
      <c r="AA659" s="7" t="s">
        <v>4673</v>
      </c>
      <c r="AB659" s="134" t="s">
        <v>4727</v>
      </c>
      <c r="AC659" s="7" t="s">
        <v>4672</v>
      </c>
    </row>
    <row r="660" spans="1:29" ht="21.75" customHeight="1" x14ac:dyDescent="0.2">
      <c r="A660" s="7" t="s">
        <v>4665</v>
      </c>
      <c r="B660" s="7" t="s">
        <v>4701</v>
      </c>
      <c r="C660" s="7" t="s">
        <v>4704</v>
      </c>
      <c r="D660" s="7" t="s">
        <v>4683</v>
      </c>
      <c r="E660" s="7" t="s">
        <v>280</v>
      </c>
      <c r="F660" s="7" t="s">
        <v>212</v>
      </c>
      <c r="G660" s="7" t="s">
        <v>4676</v>
      </c>
      <c r="H660" s="1" t="s">
        <v>4671</v>
      </c>
      <c r="I660" s="2">
        <v>4.7</v>
      </c>
      <c r="J660" s="2" t="s">
        <v>4674</v>
      </c>
      <c r="K660" s="2" t="s">
        <v>4675</v>
      </c>
      <c r="L660" s="6">
        <f>47.5*25.4</f>
        <v>1206.5</v>
      </c>
      <c r="M660" s="6" t="s">
        <v>4667</v>
      </c>
      <c r="O660" s="45" t="s">
        <v>4669</v>
      </c>
      <c r="P660" s="2" t="s">
        <v>4668</v>
      </c>
      <c r="Q660" s="7">
        <v>5</v>
      </c>
      <c r="R660" s="7" t="s">
        <v>4666</v>
      </c>
      <c r="W660" s="7" t="s">
        <v>4726</v>
      </c>
      <c r="X660" s="5">
        <v>25.983699999999999</v>
      </c>
      <c r="Y660" s="5">
        <v>85.680400000000006</v>
      </c>
      <c r="Z660" s="6">
        <v>58</v>
      </c>
      <c r="AA660" s="7" t="s">
        <v>4677</v>
      </c>
      <c r="AB660" s="136"/>
      <c r="AC660" s="7" t="s">
        <v>4681</v>
      </c>
    </row>
    <row r="661" spans="1:29" ht="21.75" customHeight="1" x14ac:dyDescent="0.2">
      <c r="A661" s="7" t="s">
        <v>4665</v>
      </c>
      <c r="B661" s="7" t="s">
        <v>4701</v>
      </c>
      <c r="C661" s="7" t="s">
        <v>4704</v>
      </c>
      <c r="D661" s="7" t="s">
        <v>4683</v>
      </c>
      <c r="E661" s="7" t="s">
        <v>280</v>
      </c>
      <c r="F661" s="7" t="s">
        <v>212</v>
      </c>
      <c r="G661" s="7" t="s">
        <v>4679</v>
      </c>
      <c r="H661" s="1" t="s">
        <v>4680</v>
      </c>
      <c r="I661" s="2">
        <v>4.29</v>
      </c>
      <c r="J661" s="2" t="s">
        <v>4674</v>
      </c>
      <c r="K661" s="2" t="s">
        <v>4675</v>
      </c>
      <c r="L661" s="6">
        <f>47.5*25.4</f>
        <v>1206.5</v>
      </c>
      <c r="M661" s="6" t="s">
        <v>4667</v>
      </c>
      <c r="O661" s="45" t="s">
        <v>4669</v>
      </c>
      <c r="P661" s="2" t="s">
        <v>4668</v>
      </c>
      <c r="Q661" s="7">
        <v>5</v>
      </c>
      <c r="R661" s="7" t="s">
        <v>4666</v>
      </c>
      <c r="W661" s="7" t="s">
        <v>4726</v>
      </c>
      <c r="X661" s="5">
        <v>25.983699999999999</v>
      </c>
      <c r="Y661" s="5">
        <v>85.680400000000006</v>
      </c>
      <c r="Z661" s="6">
        <v>58</v>
      </c>
      <c r="AA661" s="7" t="s">
        <v>4685</v>
      </c>
      <c r="AB661" s="136"/>
      <c r="AC661" s="7" t="s">
        <v>4682</v>
      </c>
    </row>
    <row r="662" spans="1:29" ht="21.75" customHeight="1" x14ac:dyDescent="0.2">
      <c r="A662" s="7" t="s">
        <v>4665</v>
      </c>
      <c r="B662" s="7" t="s">
        <v>4701</v>
      </c>
      <c r="C662" s="7" t="s">
        <v>4704</v>
      </c>
      <c r="D662" s="7" t="s">
        <v>4683</v>
      </c>
      <c r="E662" s="7" t="s">
        <v>263</v>
      </c>
      <c r="F662" s="7" t="s">
        <v>212</v>
      </c>
      <c r="G662" s="7" t="s">
        <v>4684</v>
      </c>
      <c r="H662" s="7" t="s">
        <v>4687</v>
      </c>
      <c r="I662" s="2">
        <v>4.7</v>
      </c>
      <c r="J662" s="2" t="s">
        <v>4674</v>
      </c>
      <c r="K662" s="2" t="s">
        <v>4675</v>
      </c>
      <c r="L662" s="6">
        <f>47.5*25.4</f>
        <v>1206.5</v>
      </c>
      <c r="M662" s="6" t="s">
        <v>4667</v>
      </c>
      <c r="O662" s="45" t="s">
        <v>4669</v>
      </c>
      <c r="P662" s="2" t="s">
        <v>4668</v>
      </c>
      <c r="Q662" s="7">
        <v>5</v>
      </c>
      <c r="R662" s="7" t="s">
        <v>4666</v>
      </c>
      <c r="W662" s="7" t="s">
        <v>4726</v>
      </c>
      <c r="X662" s="5">
        <v>25.983699999999999</v>
      </c>
      <c r="Y662" s="5">
        <v>85.680400000000006</v>
      </c>
      <c r="Z662" s="6">
        <v>58</v>
      </c>
      <c r="AA662" s="7" t="s">
        <v>5959</v>
      </c>
      <c r="AB662" s="136"/>
      <c r="AC662" s="7" t="s">
        <v>4695</v>
      </c>
    </row>
    <row r="663" spans="1:29" ht="21.75" customHeight="1" x14ac:dyDescent="0.2">
      <c r="A663" s="7" t="s">
        <v>4665</v>
      </c>
      <c r="B663" s="7" t="s">
        <v>4701</v>
      </c>
      <c r="C663" s="7" t="s">
        <v>4704</v>
      </c>
      <c r="D663" s="7" t="s">
        <v>4683</v>
      </c>
      <c r="E663" s="7" t="s">
        <v>263</v>
      </c>
      <c r="F663" s="7" t="s">
        <v>212</v>
      </c>
      <c r="G663" s="7" t="s">
        <v>4688</v>
      </c>
      <c r="H663" s="1" t="s">
        <v>4686</v>
      </c>
      <c r="I663" s="2">
        <v>4.4000000000000004</v>
      </c>
      <c r="J663" s="2" t="s">
        <v>4674</v>
      </c>
      <c r="K663" s="2" t="s">
        <v>4675</v>
      </c>
      <c r="L663" s="6">
        <f>47.5*25.4</f>
        <v>1206.5</v>
      </c>
      <c r="M663" s="6" t="s">
        <v>4667</v>
      </c>
      <c r="O663" s="45" t="s">
        <v>4669</v>
      </c>
      <c r="P663" s="2" t="s">
        <v>4668</v>
      </c>
      <c r="Q663" s="7">
        <v>5</v>
      </c>
      <c r="R663" s="7" t="s">
        <v>4666</v>
      </c>
      <c r="W663" s="7" t="s">
        <v>4726</v>
      </c>
      <c r="X663" s="5">
        <v>25.983699999999999</v>
      </c>
      <c r="Y663" s="5">
        <v>85.680400000000006</v>
      </c>
      <c r="Z663" s="6">
        <v>58</v>
      </c>
      <c r="AA663" s="7" t="s">
        <v>4696</v>
      </c>
      <c r="AB663" s="136"/>
      <c r="AC663" s="7" t="s">
        <v>4697</v>
      </c>
    </row>
    <row r="664" spans="1:29" ht="21.75" customHeight="1" x14ac:dyDescent="0.2">
      <c r="A664" s="7" t="s">
        <v>4665</v>
      </c>
      <c r="B664" s="7" t="s">
        <v>4701</v>
      </c>
      <c r="C664" s="7" t="s">
        <v>4704</v>
      </c>
      <c r="D664" s="7" t="s">
        <v>4683</v>
      </c>
      <c r="E664" s="7" t="s">
        <v>263</v>
      </c>
      <c r="F664" s="7" t="s">
        <v>212</v>
      </c>
      <c r="G664" s="7" t="s">
        <v>4689</v>
      </c>
      <c r="H664" s="1" t="s">
        <v>4690</v>
      </c>
      <c r="I664" s="2">
        <v>3.8</v>
      </c>
      <c r="J664" s="2" t="s">
        <v>4674</v>
      </c>
      <c r="K664" s="2" t="s">
        <v>4675</v>
      </c>
      <c r="L664" s="6">
        <f t="shared" ref="L664:L674" si="5">47.5*25.4</f>
        <v>1206.5</v>
      </c>
      <c r="M664" s="6" t="s">
        <v>4667</v>
      </c>
      <c r="O664" s="45" t="s">
        <v>4669</v>
      </c>
      <c r="P664" s="2" t="s">
        <v>4668</v>
      </c>
      <c r="Q664" s="7">
        <v>5</v>
      </c>
      <c r="R664" s="7" t="s">
        <v>4666</v>
      </c>
      <c r="W664" s="7" t="s">
        <v>4726</v>
      </c>
      <c r="X664" s="5">
        <v>25.983699999999999</v>
      </c>
      <c r="Y664" s="5">
        <v>85.680400000000006</v>
      </c>
      <c r="Z664" s="6">
        <v>58</v>
      </c>
      <c r="AA664" s="7" t="s">
        <v>4698</v>
      </c>
      <c r="AB664" s="136"/>
      <c r="AC664" s="7" t="s">
        <v>4697</v>
      </c>
    </row>
    <row r="665" spans="1:29" ht="21.75" customHeight="1" x14ac:dyDescent="0.2">
      <c r="A665" s="7" t="s">
        <v>4665</v>
      </c>
      <c r="B665" s="7" t="s">
        <v>4701</v>
      </c>
      <c r="C665" s="7" t="s">
        <v>4704</v>
      </c>
      <c r="D665" s="7" t="s">
        <v>4683</v>
      </c>
      <c r="E665" s="7" t="s">
        <v>263</v>
      </c>
      <c r="F665" s="7" t="s">
        <v>212</v>
      </c>
      <c r="G665" s="7" t="s">
        <v>4691</v>
      </c>
      <c r="H665" s="1" t="s">
        <v>4692</v>
      </c>
      <c r="I665" s="2">
        <v>2</v>
      </c>
      <c r="J665" s="2" t="s">
        <v>4674</v>
      </c>
      <c r="K665" s="2" t="s">
        <v>4675</v>
      </c>
      <c r="L665" s="6">
        <f t="shared" si="5"/>
        <v>1206.5</v>
      </c>
      <c r="M665" s="6" t="s">
        <v>4667</v>
      </c>
      <c r="O665" s="45" t="s">
        <v>4669</v>
      </c>
      <c r="P665" s="2" t="s">
        <v>4668</v>
      </c>
      <c r="Q665" s="7">
        <v>5</v>
      </c>
      <c r="R665" s="7" t="s">
        <v>4666</v>
      </c>
      <c r="W665" s="7" t="s">
        <v>4726</v>
      </c>
      <c r="X665" s="5">
        <v>25.983699999999999</v>
      </c>
      <c r="Y665" s="5">
        <v>85.680400000000006</v>
      </c>
      <c r="Z665" s="6">
        <v>58</v>
      </c>
      <c r="AA665" s="7" t="s">
        <v>4699</v>
      </c>
      <c r="AB665" s="136"/>
      <c r="AC665" s="7" t="s">
        <v>4697</v>
      </c>
    </row>
    <row r="666" spans="1:29" ht="21.75" customHeight="1" x14ac:dyDescent="0.2">
      <c r="A666" s="7" t="s">
        <v>4665</v>
      </c>
      <c r="B666" s="7" t="s">
        <v>4701</v>
      </c>
      <c r="C666" s="7" t="s">
        <v>4704</v>
      </c>
      <c r="D666" s="7" t="s">
        <v>4683</v>
      </c>
      <c r="E666" s="7" t="s">
        <v>263</v>
      </c>
      <c r="F666" s="7" t="s">
        <v>212</v>
      </c>
      <c r="G666" s="7" t="s">
        <v>4693</v>
      </c>
      <c r="H666" s="1" t="s">
        <v>4694</v>
      </c>
      <c r="I666" s="2">
        <v>4.9000000000000004</v>
      </c>
      <c r="J666" s="2" t="s">
        <v>4674</v>
      </c>
      <c r="K666" s="2" t="s">
        <v>4675</v>
      </c>
      <c r="L666" s="6">
        <f t="shared" si="5"/>
        <v>1206.5</v>
      </c>
      <c r="M666" s="6" t="s">
        <v>4667</v>
      </c>
      <c r="O666" s="45" t="s">
        <v>4669</v>
      </c>
      <c r="P666" s="2" t="s">
        <v>4668</v>
      </c>
      <c r="Q666" s="7">
        <v>5</v>
      </c>
      <c r="R666" s="7" t="s">
        <v>4666</v>
      </c>
      <c r="W666" s="7" t="s">
        <v>4726</v>
      </c>
      <c r="X666" s="5">
        <v>25.983699999999999</v>
      </c>
      <c r="Y666" s="5">
        <v>85.680400000000006</v>
      </c>
      <c r="Z666" s="6">
        <v>58</v>
      </c>
      <c r="AA666" s="7" t="s">
        <v>4700</v>
      </c>
      <c r="AB666" s="135"/>
      <c r="AC666" s="7" t="s">
        <v>4697</v>
      </c>
    </row>
    <row r="667" spans="1:29" ht="21.75" customHeight="1" x14ac:dyDescent="0.2">
      <c r="A667" s="7" t="s">
        <v>4665</v>
      </c>
      <c r="B667" s="7" t="s">
        <v>4701</v>
      </c>
      <c r="C667" s="7" t="s">
        <v>4702</v>
      </c>
      <c r="D667" s="7" t="s">
        <v>4703</v>
      </c>
      <c r="E667" s="7" t="s">
        <v>280</v>
      </c>
      <c r="F667" s="7" t="s">
        <v>212</v>
      </c>
      <c r="G667" s="7" t="s">
        <v>4706</v>
      </c>
      <c r="H667" s="1" t="s">
        <v>4705</v>
      </c>
      <c r="I667" s="2">
        <v>4.5</v>
      </c>
      <c r="J667" s="2" t="s">
        <v>4674</v>
      </c>
      <c r="K667" s="2" t="s">
        <v>4675</v>
      </c>
      <c r="L667" s="6">
        <f t="shared" si="5"/>
        <v>1206.5</v>
      </c>
      <c r="M667" s="6" t="s">
        <v>4667</v>
      </c>
      <c r="O667" s="45" t="s">
        <v>4669</v>
      </c>
      <c r="P667" s="2" t="s">
        <v>4668</v>
      </c>
      <c r="Q667" s="7">
        <v>5.2</v>
      </c>
      <c r="R667" s="7" t="s">
        <v>4666</v>
      </c>
      <c r="X667" s="5">
        <v>25.988600000000002</v>
      </c>
      <c r="Y667" s="5">
        <v>85.687899999999999</v>
      </c>
      <c r="Z667" s="6">
        <v>59</v>
      </c>
      <c r="AA667" s="7" t="s">
        <v>4707</v>
      </c>
      <c r="AB667" s="73" t="s">
        <v>4728</v>
      </c>
      <c r="AC667" s="7" t="s">
        <v>4697</v>
      </c>
    </row>
    <row r="668" spans="1:29" ht="21.75" customHeight="1" x14ac:dyDescent="0.2">
      <c r="A668" s="7" t="s">
        <v>4665</v>
      </c>
      <c r="B668" s="7" t="s">
        <v>4701</v>
      </c>
      <c r="C668" s="7" t="s">
        <v>4702</v>
      </c>
      <c r="D668" s="7" t="s">
        <v>4703</v>
      </c>
      <c r="E668" s="7" t="s">
        <v>280</v>
      </c>
      <c r="F668" s="7" t="s">
        <v>212</v>
      </c>
      <c r="G668" s="7" t="s">
        <v>4709</v>
      </c>
      <c r="H668" s="1" t="s">
        <v>4708</v>
      </c>
      <c r="I668" s="2">
        <v>5.8</v>
      </c>
      <c r="J668" s="2" t="s">
        <v>4674</v>
      </c>
      <c r="K668" s="2" t="s">
        <v>4675</v>
      </c>
      <c r="L668" s="6">
        <f t="shared" si="5"/>
        <v>1206.5</v>
      </c>
      <c r="M668" s="6" t="s">
        <v>4667</v>
      </c>
      <c r="O668" s="45" t="s">
        <v>4669</v>
      </c>
      <c r="P668" s="2" t="s">
        <v>4668</v>
      </c>
      <c r="Q668" s="7">
        <v>5.2</v>
      </c>
      <c r="R668" s="7" t="s">
        <v>4666</v>
      </c>
      <c r="X668" s="5">
        <v>25.988600000000002</v>
      </c>
      <c r="Y668" s="5">
        <v>85.687899999999999</v>
      </c>
      <c r="Z668" s="6">
        <v>59</v>
      </c>
      <c r="AA668" s="7" t="s">
        <v>4725</v>
      </c>
      <c r="AB668" s="73"/>
    </row>
    <row r="669" spans="1:29" ht="21.75" customHeight="1" x14ac:dyDescent="0.2">
      <c r="A669" s="7" t="s">
        <v>4665</v>
      </c>
      <c r="B669" s="7" t="s">
        <v>4701</v>
      </c>
      <c r="C669" s="7" t="s">
        <v>4702</v>
      </c>
      <c r="D669" s="7" t="s">
        <v>4703</v>
      </c>
      <c r="E669" s="7" t="s">
        <v>263</v>
      </c>
      <c r="F669" s="7" t="s">
        <v>212</v>
      </c>
      <c r="G669" s="7" t="s">
        <v>4711</v>
      </c>
      <c r="H669" s="1" t="s">
        <v>4710</v>
      </c>
      <c r="I669" s="2">
        <v>5.2</v>
      </c>
      <c r="J669" s="2" t="s">
        <v>4674</v>
      </c>
      <c r="K669" s="2" t="s">
        <v>4675</v>
      </c>
      <c r="L669" s="6">
        <f t="shared" si="5"/>
        <v>1206.5</v>
      </c>
      <c r="M669" s="6" t="s">
        <v>4667</v>
      </c>
      <c r="O669" s="45" t="s">
        <v>4669</v>
      </c>
      <c r="P669" s="2" t="s">
        <v>4668</v>
      </c>
      <c r="Q669" s="7">
        <v>5.2</v>
      </c>
      <c r="R669" s="7" t="s">
        <v>4666</v>
      </c>
      <c r="X669" s="5">
        <v>25.988600000000002</v>
      </c>
      <c r="Y669" s="5">
        <v>85.687899999999999</v>
      </c>
      <c r="Z669" s="6">
        <v>59</v>
      </c>
      <c r="AA669" s="7" t="s">
        <v>4712</v>
      </c>
      <c r="AB669" s="73"/>
    </row>
    <row r="670" spans="1:29" ht="21.75" customHeight="1" x14ac:dyDescent="0.2">
      <c r="A670" s="7" t="s">
        <v>4665</v>
      </c>
      <c r="B670" s="7" t="s">
        <v>4701</v>
      </c>
      <c r="C670" s="7" t="s">
        <v>4702</v>
      </c>
      <c r="D670" s="7" t="s">
        <v>4703</v>
      </c>
      <c r="E670" s="7" t="s">
        <v>280</v>
      </c>
      <c r="F670" s="7" t="s">
        <v>212</v>
      </c>
      <c r="G670" s="7" t="s">
        <v>4715</v>
      </c>
      <c r="H670" s="1" t="s">
        <v>4714</v>
      </c>
      <c r="I670" s="2">
        <v>4</v>
      </c>
      <c r="J670" s="2" t="s">
        <v>4674</v>
      </c>
      <c r="K670" s="2" t="s">
        <v>4675</v>
      </c>
      <c r="L670" s="6">
        <f t="shared" si="5"/>
        <v>1206.5</v>
      </c>
      <c r="M670" s="6" t="s">
        <v>4667</v>
      </c>
      <c r="O670" s="45" t="s">
        <v>4669</v>
      </c>
      <c r="P670" s="2" t="s">
        <v>4668</v>
      </c>
      <c r="Q670" s="7">
        <v>5.2</v>
      </c>
      <c r="R670" s="7" t="s">
        <v>4666</v>
      </c>
      <c r="X670" s="5">
        <v>25.988600000000002</v>
      </c>
      <c r="Y670" s="5">
        <v>85.687899999999999</v>
      </c>
      <c r="Z670" s="6">
        <v>59</v>
      </c>
      <c r="AA670" s="7" t="s">
        <v>4713</v>
      </c>
      <c r="AB670" s="73"/>
    </row>
    <row r="671" spans="1:29" ht="21.75" customHeight="1" x14ac:dyDescent="0.2">
      <c r="A671" s="7" t="s">
        <v>4665</v>
      </c>
      <c r="B671" s="7" t="s">
        <v>4701</v>
      </c>
      <c r="C671" s="7" t="s">
        <v>4702</v>
      </c>
      <c r="D671" s="7" t="s">
        <v>4703</v>
      </c>
      <c r="E671" s="7" t="s">
        <v>263</v>
      </c>
      <c r="F671" s="7" t="s">
        <v>212</v>
      </c>
      <c r="G671" s="7" t="s">
        <v>4717</v>
      </c>
      <c r="H671" s="1" t="s">
        <v>4716</v>
      </c>
      <c r="I671" s="2">
        <v>4.9000000000000004</v>
      </c>
      <c r="J671" s="2" t="s">
        <v>4674</v>
      </c>
      <c r="K671" s="2" t="s">
        <v>4675</v>
      </c>
      <c r="L671" s="6">
        <f t="shared" si="5"/>
        <v>1206.5</v>
      </c>
      <c r="M671" s="6" t="s">
        <v>4667</v>
      </c>
      <c r="O671" s="45" t="s">
        <v>4669</v>
      </c>
      <c r="P671" s="2" t="s">
        <v>4668</v>
      </c>
      <c r="Q671" s="7">
        <v>5.2</v>
      </c>
      <c r="R671" s="7" t="s">
        <v>4666</v>
      </c>
      <c r="X671" s="5">
        <v>25.985099999999999</v>
      </c>
      <c r="Y671" s="5">
        <v>85.691199999999995</v>
      </c>
      <c r="Z671" s="6">
        <v>59</v>
      </c>
      <c r="AA671" s="7" t="s">
        <v>4718</v>
      </c>
      <c r="AB671" s="73"/>
    </row>
    <row r="672" spans="1:29" ht="21.75" customHeight="1" x14ac:dyDescent="0.2">
      <c r="A672" s="7" t="s">
        <v>4665</v>
      </c>
      <c r="B672" s="7" t="s">
        <v>4701</v>
      </c>
      <c r="C672" s="7" t="s">
        <v>4702</v>
      </c>
      <c r="D672" s="7" t="s">
        <v>4703</v>
      </c>
      <c r="E672" s="7" t="s">
        <v>4721</v>
      </c>
      <c r="F672" s="7" t="s">
        <v>212</v>
      </c>
      <c r="G672" s="7" t="s">
        <v>4719</v>
      </c>
      <c r="H672" s="1" t="s">
        <v>4720</v>
      </c>
      <c r="I672" s="2">
        <v>5.8</v>
      </c>
      <c r="J672" s="2" t="s">
        <v>4674</v>
      </c>
      <c r="K672" s="2" t="s">
        <v>4675</v>
      </c>
      <c r="L672" s="6">
        <f t="shared" si="5"/>
        <v>1206.5</v>
      </c>
      <c r="M672" s="6" t="s">
        <v>4667</v>
      </c>
      <c r="O672" s="45" t="s">
        <v>4669</v>
      </c>
      <c r="P672" s="2" t="s">
        <v>4668</v>
      </c>
      <c r="Q672" s="7">
        <v>5.2</v>
      </c>
      <c r="R672" s="7" t="s">
        <v>4666</v>
      </c>
      <c r="X672" s="5">
        <v>25.985099999999999</v>
      </c>
      <c r="Y672" s="5">
        <v>85.691199999999995</v>
      </c>
      <c r="Z672" s="6">
        <v>59</v>
      </c>
      <c r="AA672" s="7" t="s">
        <v>4718</v>
      </c>
      <c r="AB672" s="73"/>
    </row>
    <row r="673" spans="1:28" ht="21.75" customHeight="1" x14ac:dyDescent="0.2">
      <c r="A673" s="7" t="s">
        <v>4665</v>
      </c>
      <c r="B673" s="7" t="s">
        <v>4701</v>
      </c>
      <c r="C673" s="7" t="s">
        <v>4702</v>
      </c>
      <c r="D673" s="7" t="s">
        <v>4703</v>
      </c>
      <c r="E673" s="7" t="s">
        <v>280</v>
      </c>
      <c r="F673" s="7" t="s">
        <v>212</v>
      </c>
      <c r="G673" s="7" t="s">
        <v>4722</v>
      </c>
      <c r="H673" s="1" t="s">
        <v>5151</v>
      </c>
      <c r="I673" s="2">
        <v>4</v>
      </c>
      <c r="J673" s="2" t="s">
        <v>4674</v>
      </c>
      <c r="K673" s="2" t="s">
        <v>4675</v>
      </c>
      <c r="L673" s="6">
        <f t="shared" si="5"/>
        <v>1206.5</v>
      </c>
      <c r="M673" s="6" t="s">
        <v>4667</v>
      </c>
      <c r="O673" s="45" t="s">
        <v>4669</v>
      </c>
      <c r="P673" s="2" t="s">
        <v>4668</v>
      </c>
      <c r="Q673" s="7">
        <v>5.2</v>
      </c>
      <c r="R673" s="7" t="s">
        <v>4666</v>
      </c>
      <c r="X673" s="5">
        <v>25.985099999999999</v>
      </c>
      <c r="Y673" s="5">
        <v>85.691199999999995</v>
      </c>
      <c r="Z673" s="6">
        <v>59</v>
      </c>
      <c r="AA673" s="7" t="s">
        <v>4718</v>
      </c>
      <c r="AB673" s="73"/>
    </row>
    <row r="674" spans="1:28" ht="21.75" customHeight="1" x14ac:dyDescent="0.2">
      <c r="A674" s="7" t="s">
        <v>4665</v>
      </c>
      <c r="B674" s="7" t="s">
        <v>4701</v>
      </c>
      <c r="C674" s="7" t="s">
        <v>4702</v>
      </c>
      <c r="D674" s="7" t="s">
        <v>4703</v>
      </c>
      <c r="E674" s="7" t="s">
        <v>280</v>
      </c>
      <c r="F674" s="7" t="s">
        <v>212</v>
      </c>
      <c r="G674" s="7" t="s">
        <v>4723</v>
      </c>
      <c r="H674" s="1" t="s">
        <v>4724</v>
      </c>
      <c r="I674" s="2">
        <v>5.2</v>
      </c>
      <c r="J674" s="2" t="s">
        <v>4674</v>
      </c>
      <c r="K674" s="2" t="s">
        <v>4675</v>
      </c>
      <c r="L674" s="6">
        <f t="shared" si="5"/>
        <v>1206.5</v>
      </c>
      <c r="M674" s="6" t="s">
        <v>4667</v>
      </c>
      <c r="O674" s="45" t="s">
        <v>4669</v>
      </c>
      <c r="P674" s="2" t="s">
        <v>4668</v>
      </c>
      <c r="Q674" s="7">
        <v>5.2</v>
      </c>
      <c r="R674" s="7" t="s">
        <v>4666</v>
      </c>
      <c r="X674" s="5">
        <v>25.985099999999999</v>
      </c>
      <c r="Y674" s="5">
        <v>85.691199999999995</v>
      </c>
      <c r="Z674" s="6">
        <v>59</v>
      </c>
      <c r="AA674" s="7" t="s">
        <v>4718</v>
      </c>
      <c r="AB674" s="73"/>
    </row>
    <row r="675" spans="1:28" s="8" customFormat="1" ht="21.75" customHeight="1" x14ac:dyDescent="0.2">
      <c r="A675" s="8" t="s">
        <v>6765</v>
      </c>
      <c r="B675" s="8" t="s">
        <v>6766</v>
      </c>
      <c r="C675" s="8" t="s">
        <v>6767</v>
      </c>
      <c r="D675" s="8" t="s">
        <v>6769</v>
      </c>
      <c r="E675" s="8" t="s">
        <v>263</v>
      </c>
      <c r="F675" s="8" t="s">
        <v>212</v>
      </c>
      <c r="G675" s="8" t="s">
        <v>6771</v>
      </c>
      <c r="H675" s="3" t="s">
        <v>6768</v>
      </c>
      <c r="I675" s="4" t="s">
        <v>6773</v>
      </c>
      <c r="J675" s="4" t="s">
        <v>6781</v>
      </c>
      <c r="K675" s="4" t="s">
        <v>4480</v>
      </c>
      <c r="L675" s="14"/>
      <c r="M675" s="14"/>
      <c r="N675" s="14"/>
      <c r="O675" s="110"/>
      <c r="P675" s="4"/>
      <c r="X675" s="8">
        <v>-34.273899999999998</v>
      </c>
      <c r="Y675" s="8">
        <v>115.0985</v>
      </c>
      <c r="Z675" s="8">
        <v>80</v>
      </c>
      <c r="AA675" s="8" t="s">
        <v>6775</v>
      </c>
      <c r="AB675" s="8" t="s">
        <v>6776</v>
      </c>
    </row>
    <row r="676" spans="1:28" s="8" customFormat="1" ht="21.75" customHeight="1" x14ac:dyDescent="0.2">
      <c r="A676" s="8" t="s">
        <v>6765</v>
      </c>
      <c r="B676" s="8" t="s">
        <v>6779</v>
      </c>
      <c r="C676" s="8" t="s">
        <v>116</v>
      </c>
      <c r="D676" s="8" t="s">
        <v>6778</v>
      </c>
      <c r="E676" s="8" t="s">
        <v>263</v>
      </c>
      <c r="F676" s="8" t="s">
        <v>212</v>
      </c>
      <c r="G676" s="8" t="s">
        <v>1268</v>
      </c>
      <c r="H676" s="3" t="s">
        <v>6770</v>
      </c>
      <c r="I676" s="4" t="s">
        <v>6772</v>
      </c>
      <c r="J676" s="4" t="s">
        <v>6780</v>
      </c>
      <c r="K676" s="4" t="s">
        <v>4480</v>
      </c>
      <c r="L676" s="14"/>
      <c r="M676" s="14"/>
      <c r="N676" s="14"/>
      <c r="O676" s="110" t="s">
        <v>3632</v>
      </c>
      <c r="P676" s="4" t="s">
        <v>6774</v>
      </c>
      <c r="X676" s="13">
        <v>-37.0306</v>
      </c>
      <c r="Y676" s="13">
        <v>145.13300000000001</v>
      </c>
      <c r="Z676" s="14">
        <v>150</v>
      </c>
      <c r="AA676" s="8" t="s">
        <v>6777</v>
      </c>
    </row>
    <row r="677" spans="1:28" s="77" customFormat="1" ht="21.75" customHeight="1" x14ac:dyDescent="0.2">
      <c r="A677" s="77" t="s">
        <v>7832</v>
      </c>
      <c r="B677" s="77" t="s">
        <v>7841</v>
      </c>
      <c r="C677" s="77" t="s">
        <v>7850</v>
      </c>
      <c r="E677" s="77" t="s">
        <v>7833</v>
      </c>
      <c r="F677" s="77" t="s">
        <v>7818</v>
      </c>
      <c r="G677" s="77" t="s">
        <v>7810</v>
      </c>
      <c r="H677" s="78" t="s">
        <v>7809</v>
      </c>
      <c r="I677" s="80">
        <v>2</v>
      </c>
      <c r="J677" s="80" t="s">
        <v>7849</v>
      </c>
      <c r="K677" s="77" t="s">
        <v>4410</v>
      </c>
      <c r="L677" s="79">
        <f>15*25.4</f>
        <v>381</v>
      </c>
      <c r="M677" s="79" t="s">
        <v>5167</v>
      </c>
      <c r="N677" s="79"/>
      <c r="O677" s="111" t="s">
        <v>7840</v>
      </c>
      <c r="P677" s="80"/>
      <c r="R677" s="77" t="s">
        <v>7839</v>
      </c>
      <c r="S677" s="77" t="s">
        <v>309</v>
      </c>
      <c r="T677" s="77">
        <v>1.5</v>
      </c>
      <c r="X677" s="81">
        <v>46.437800000000003</v>
      </c>
      <c r="Y677" s="81">
        <v>-117.00530000000001</v>
      </c>
      <c r="Z677" s="79">
        <v>350</v>
      </c>
      <c r="AA677" s="140" t="s">
        <v>7851</v>
      </c>
      <c r="AB677" s="140" t="s">
        <v>7848</v>
      </c>
    </row>
    <row r="678" spans="1:28" s="77" customFormat="1" ht="21.75" customHeight="1" x14ac:dyDescent="0.2">
      <c r="A678" s="77" t="s">
        <v>7832</v>
      </c>
      <c r="B678" s="77" t="s">
        <v>7841</v>
      </c>
      <c r="C678" s="77" t="s">
        <v>7850</v>
      </c>
      <c r="E678" s="77" t="s">
        <v>7833</v>
      </c>
      <c r="F678" s="77" t="s">
        <v>7818</v>
      </c>
      <c r="G678" s="77" t="s">
        <v>7842</v>
      </c>
      <c r="H678" s="78" t="s">
        <v>7834</v>
      </c>
      <c r="I678" s="80">
        <v>1.5</v>
      </c>
      <c r="J678" s="80" t="s">
        <v>7849</v>
      </c>
      <c r="K678" s="77" t="s">
        <v>4410</v>
      </c>
      <c r="L678" s="79">
        <f t="shared" ref="L678:L682" si="6">15*25.4</f>
        <v>381</v>
      </c>
      <c r="M678" s="79" t="s">
        <v>5167</v>
      </c>
      <c r="N678" s="79"/>
      <c r="O678" s="111" t="s">
        <v>7840</v>
      </c>
      <c r="P678" s="80"/>
      <c r="R678" s="77" t="s">
        <v>7839</v>
      </c>
      <c r="S678" s="77" t="s">
        <v>309</v>
      </c>
      <c r="T678" s="77">
        <v>1.5</v>
      </c>
      <c r="X678" s="81">
        <v>46.437800000000003</v>
      </c>
      <c r="Y678" s="81">
        <v>-117.00530000000001</v>
      </c>
      <c r="Z678" s="79">
        <v>350</v>
      </c>
      <c r="AA678" s="141"/>
      <c r="AB678" s="141"/>
    </row>
    <row r="679" spans="1:28" s="77" customFormat="1" ht="21.75" customHeight="1" x14ac:dyDescent="0.2">
      <c r="A679" s="77" t="s">
        <v>7832</v>
      </c>
      <c r="B679" s="77" t="s">
        <v>7841</v>
      </c>
      <c r="C679" s="77" t="s">
        <v>7850</v>
      </c>
      <c r="E679" s="77" t="s">
        <v>7845</v>
      </c>
      <c r="F679" s="77" t="s">
        <v>62</v>
      </c>
      <c r="G679" s="77" t="s">
        <v>7844</v>
      </c>
      <c r="H679" s="78" t="s">
        <v>7835</v>
      </c>
      <c r="I679" s="80">
        <v>1.5</v>
      </c>
      <c r="J679" s="80" t="s">
        <v>7849</v>
      </c>
      <c r="K679" s="77" t="s">
        <v>4410</v>
      </c>
      <c r="L679" s="79">
        <f t="shared" si="6"/>
        <v>381</v>
      </c>
      <c r="M679" s="79" t="s">
        <v>5167</v>
      </c>
      <c r="N679" s="79"/>
      <c r="O679" s="111" t="s">
        <v>7840</v>
      </c>
      <c r="P679" s="80"/>
      <c r="R679" s="77" t="s">
        <v>7839</v>
      </c>
      <c r="S679" s="77" t="s">
        <v>309</v>
      </c>
      <c r="T679" s="77">
        <v>1.5</v>
      </c>
      <c r="X679" s="81">
        <v>46.437800000000003</v>
      </c>
      <c r="Y679" s="81">
        <v>-117.00530000000001</v>
      </c>
      <c r="Z679" s="79">
        <v>350</v>
      </c>
      <c r="AA679" s="141"/>
      <c r="AB679" s="141"/>
    </row>
    <row r="680" spans="1:28" s="77" customFormat="1" ht="21.75" customHeight="1" x14ac:dyDescent="0.2">
      <c r="A680" s="77" t="s">
        <v>7832</v>
      </c>
      <c r="B680" s="77" t="s">
        <v>7841</v>
      </c>
      <c r="C680" s="77" t="s">
        <v>7850</v>
      </c>
      <c r="E680" s="77" t="s">
        <v>7845</v>
      </c>
      <c r="F680" s="77" t="s">
        <v>62</v>
      </c>
      <c r="G680" s="77" t="s">
        <v>7843</v>
      </c>
      <c r="H680" s="78" t="s">
        <v>7836</v>
      </c>
      <c r="I680" s="80">
        <v>1.5</v>
      </c>
      <c r="J680" s="80" t="s">
        <v>7849</v>
      </c>
      <c r="K680" s="77" t="s">
        <v>4410</v>
      </c>
      <c r="L680" s="79">
        <f t="shared" si="6"/>
        <v>381</v>
      </c>
      <c r="M680" s="79" t="s">
        <v>5167</v>
      </c>
      <c r="N680" s="79"/>
      <c r="O680" s="111" t="s">
        <v>7840</v>
      </c>
      <c r="P680" s="80"/>
      <c r="R680" s="77" t="s">
        <v>7839</v>
      </c>
      <c r="S680" s="77" t="s">
        <v>309</v>
      </c>
      <c r="T680" s="77">
        <v>1.5</v>
      </c>
      <c r="X680" s="81">
        <v>46.437800000000003</v>
      </c>
      <c r="Y680" s="81">
        <v>-117.00530000000001</v>
      </c>
      <c r="Z680" s="79">
        <v>350</v>
      </c>
      <c r="AA680" s="141"/>
      <c r="AB680" s="141"/>
    </row>
    <row r="681" spans="1:28" s="77" customFormat="1" ht="21.75" customHeight="1" x14ac:dyDescent="0.2">
      <c r="A681" s="77" t="s">
        <v>7832</v>
      </c>
      <c r="B681" s="77" t="s">
        <v>7841</v>
      </c>
      <c r="C681" s="77" t="s">
        <v>7850</v>
      </c>
      <c r="E681" s="77" t="s">
        <v>275</v>
      </c>
      <c r="F681" s="77" t="s">
        <v>62</v>
      </c>
      <c r="G681" s="77" t="s">
        <v>7846</v>
      </c>
      <c r="H681" s="78" t="s">
        <v>7837</v>
      </c>
      <c r="I681" s="80">
        <v>1.5</v>
      </c>
      <c r="J681" s="80" t="s">
        <v>7849</v>
      </c>
      <c r="K681" s="77" t="s">
        <v>4410</v>
      </c>
      <c r="L681" s="79">
        <f t="shared" si="6"/>
        <v>381</v>
      </c>
      <c r="M681" s="79" t="s">
        <v>5167</v>
      </c>
      <c r="N681" s="79"/>
      <c r="O681" s="111" t="s">
        <v>7840</v>
      </c>
      <c r="P681" s="80"/>
      <c r="R681" s="77" t="s">
        <v>7839</v>
      </c>
      <c r="S681" s="77" t="s">
        <v>309</v>
      </c>
      <c r="T681" s="77">
        <v>1.5</v>
      </c>
      <c r="X681" s="81">
        <v>46.437800000000003</v>
      </c>
      <c r="Y681" s="81">
        <v>-117.00530000000001</v>
      </c>
      <c r="Z681" s="79">
        <v>350</v>
      </c>
      <c r="AA681" s="141"/>
      <c r="AB681" s="141"/>
    </row>
    <row r="682" spans="1:28" s="77" customFormat="1" ht="21.75" customHeight="1" x14ac:dyDescent="0.2">
      <c r="A682" s="77" t="s">
        <v>7832</v>
      </c>
      <c r="B682" s="77" t="s">
        <v>7841</v>
      </c>
      <c r="C682" s="77" t="s">
        <v>7850</v>
      </c>
      <c r="E682" s="77" t="s">
        <v>275</v>
      </c>
      <c r="F682" s="77" t="s">
        <v>62</v>
      </c>
      <c r="G682" s="77" t="s">
        <v>7847</v>
      </c>
      <c r="H682" s="78" t="s">
        <v>7838</v>
      </c>
      <c r="I682" s="80">
        <v>1.5</v>
      </c>
      <c r="J682" s="80" t="s">
        <v>7849</v>
      </c>
      <c r="K682" s="77" t="s">
        <v>4410</v>
      </c>
      <c r="L682" s="79">
        <f t="shared" si="6"/>
        <v>381</v>
      </c>
      <c r="M682" s="79" t="s">
        <v>5167</v>
      </c>
      <c r="N682" s="79"/>
      <c r="O682" s="111" t="s">
        <v>7840</v>
      </c>
      <c r="P682" s="80"/>
      <c r="R682" s="77" t="s">
        <v>7839</v>
      </c>
      <c r="S682" s="77" t="s">
        <v>309</v>
      </c>
      <c r="T682" s="77">
        <v>1.5</v>
      </c>
      <c r="X682" s="81">
        <v>46.437800000000003</v>
      </c>
      <c r="Y682" s="81">
        <v>-117.00530000000001</v>
      </c>
      <c r="Z682" s="79">
        <v>350</v>
      </c>
      <c r="AA682" s="142"/>
      <c r="AB682" s="142"/>
    </row>
    <row r="683" spans="1:28" s="8" customFormat="1" ht="21.75" customHeight="1" x14ac:dyDescent="0.2">
      <c r="A683" s="8" t="s">
        <v>6986</v>
      </c>
      <c r="B683" s="8" t="s">
        <v>6988</v>
      </c>
      <c r="C683" s="8" t="s">
        <v>6992</v>
      </c>
      <c r="D683" s="8" t="s">
        <v>6987</v>
      </c>
      <c r="E683" s="8" t="s">
        <v>263</v>
      </c>
      <c r="F683" s="8" t="s">
        <v>212</v>
      </c>
      <c r="H683" s="3" t="s">
        <v>7011</v>
      </c>
      <c r="I683" s="4">
        <v>1.1000000000000001</v>
      </c>
      <c r="J683" s="4" t="s">
        <v>6993</v>
      </c>
      <c r="K683" s="4" t="s">
        <v>4410</v>
      </c>
      <c r="L683" s="14">
        <v>3500</v>
      </c>
      <c r="M683" s="14" t="s">
        <v>6989</v>
      </c>
      <c r="N683" s="14"/>
      <c r="O683" s="110" t="s">
        <v>6996</v>
      </c>
      <c r="P683" s="4"/>
      <c r="R683" s="8" t="s">
        <v>6991</v>
      </c>
      <c r="U683" s="8" t="s">
        <v>6990</v>
      </c>
      <c r="X683" s="13">
        <f>5+22/60</f>
        <v>5.3666666666666663</v>
      </c>
      <c r="Y683" s="13">
        <f>117+25/60</f>
        <v>117.41666666666667</v>
      </c>
      <c r="Z683" s="14">
        <v>156</v>
      </c>
      <c r="AA683" s="8" t="s">
        <v>6994</v>
      </c>
      <c r="AB683" s="8" t="s">
        <v>6995</v>
      </c>
    </row>
    <row r="684" spans="1:28" ht="21.75" customHeight="1" x14ac:dyDescent="0.2">
      <c r="A684" s="7" t="s">
        <v>1178</v>
      </c>
      <c r="B684" s="7" t="s">
        <v>1179</v>
      </c>
      <c r="C684" s="7" t="s">
        <v>1194</v>
      </c>
      <c r="D684" s="7" t="s">
        <v>1180</v>
      </c>
      <c r="E684" s="7" t="s">
        <v>263</v>
      </c>
      <c r="F684" s="7" t="s">
        <v>212</v>
      </c>
      <c r="G684" s="7" t="s">
        <v>1195</v>
      </c>
      <c r="H684" s="1" t="s">
        <v>5739</v>
      </c>
      <c r="I684" s="2">
        <v>5</v>
      </c>
      <c r="J684" s="2" t="s">
        <v>5771</v>
      </c>
      <c r="K684" s="2" t="s">
        <v>4480</v>
      </c>
      <c r="L684" s="6" t="s">
        <v>1208</v>
      </c>
      <c r="R684" s="7" t="s">
        <v>1205</v>
      </c>
      <c r="U684" s="7" t="s">
        <v>1206</v>
      </c>
      <c r="V684" s="7" t="s">
        <v>1207</v>
      </c>
      <c r="X684" s="5">
        <v>30.213699999999999</v>
      </c>
      <c r="Y684" s="5">
        <v>-97.863</v>
      </c>
      <c r="Z684" s="6">
        <v>241</v>
      </c>
      <c r="AB684" s="139" t="s">
        <v>1209</v>
      </c>
    </row>
    <row r="685" spans="1:28" ht="21.75" customHeight="1" x14ac:dyDescent="0.2">
      <c r="A685" s="7" t="s">
        <v>1178</v>
      </c>
      <c r="B685" s="7" t="s">
        <v>1179</v>
      </c>
      <c r="C685" s="7" t="s">
        <v>1194</v>
      </c>
      <c r="D685" s="7" t="s">
        <v>1181</v>
      </c>
      <c r="E685" s="7" t="s">
        <v>280</v>
      </c>
      <c r="F685" s="7" t="s">
        <v>212</v>
      </c>
      <c r="G685" s="7" t="s">
        <v>1196</v>
      </c>
      <c r="H685" s="1" t="s">
        <v>1197</v>
      </c>
      <c r="I685" s="2">
        <v>5</v>
      </c>
      <c r="J685" s="2" t="s">
        <v>5771</v>
      </c>
      <c r="K685" s="2" t="s">
        <v>4480</v>
      </c>
      <c r="L685" s="6" t="s">
        <v>1208</v>
      </c>
      <c r="R685" s="7" t="s">
        <v>1205</v>
      </c>
      <c r="U685" s="7" t="s">
        <v>1206</v>
      </c>
      <c r="V685" s="7" t="s">
        <v>1207</v>
      </c>
      <c r="X685" s="5">
        <v>30.6707</v>
      </c>
      <c r="Y685" s="5">
        <v>-97.690700000000007</v>
      </c>
      <c r="Z685" s="6">
        <v>232</v>
      </c>
      <c r="AB685" s="139"/>
    </row>
    <row r="686" spans="1:28" ht="21.75" customHeight="1" x14ac:dyDescent="0.2">
      <c r="A686" s="7" t="s">
        <v>1178</v>
      </c>
      <c r="B686" s="7" t="s">
        <v>1179</v>
      </c>
      <c r="C686" s="7" t="s">
        <v>1194</v>
      </c>
      <c r="D686" s="44" t="s">
        <v>1182</v>
      </c>
      <c r="E686" s="7" t="s">
        <v>280</v>
      </c>
      <c r="F686" s="7" t="s">
        <v>212</v>
      </c>
      <c r="G686" s="7" t="s">
        <v>1198</v>
      </c>
      <c r="H686" s="1" t="s">
        <v>1199</v>
      </c>
      <c r="I686" s="2">
        <v>6</v>
      </c>
      <c r="J686" s="2" t="s">
        <v>5771</v>
      </c>
      <c r="K686" s="2" t="s">
        <v>4480</v>
      </c>
      <c r="L686" s="6" t="s">
        <v>1208</v>
      </c>
      <c r="R686" s="7" t="s">
        <v>1205</v>
      </c>
      <c r="U686" s="7" t="s">
        <v>1206</v>
      </c>
      <c r="V686" s="7" t="s">
        <v>1207</v>
      </c>
      <c r="X686" s="5">
        <v>31.0443</v>
      </c>
      <c r="Y686" s="5">
        <v>-98.489500000000007</v>
      </c>
      <c r="Z686" s="6">
        <v>414</v>
      </c>
      <c r="AB686" s="139"/>
    </row>
    <row r="687" spans="1:28" ht="21.75" customHeight="1" x14ac:dyDescent="0.2">
      <c r="A687" s="7" t="s">
        <v>1178</v>
      </c>
      <c r="B687" s="7" t="s">
        <v>1179</v>
      </c>
      <c r="C687" s="7" t="s">
        <v>1194</v>
      </c>
      <c r="D687" s="44" t="s">
        <v>1182</v>
      </c>
      <c r="E687" s="7" t="s">
        <v>33</v>
      </c>
      <c r="F687" s="7" t="s">
        <v>212</v>
      </c>
      <c r="G687" s="7" t="s">
        <v>1200</v>
      </c>
      <c r="H687" s="1" t="s">
        <v>1201</v>
      </c>
      <c r="I687" s="2">
        <v>6</v>
      </c>
      <c r="J687" s="2" t="s">
        <v>5771</v>
      </c>
      <c r="K687" s="2" t="s">
        <v>4480</v>
      </c>
      <c r="L687" s="6" t="s">
        <v>1208</v>
      </c>
      <c r="R687" s="7" t="s">
        <v>1205</v>
      </c>
      <c r="U687" s="7" t="s">
        <v>1206</v>
      </c>
      <c r="V687" s="7" t="s">
        <v>1207</v>
      </c>
      <c r="X687" s="5">
        <v>31.0443</v>
      </c>
      <c r="Y687" s="5">
        <v>-98.489500000000007</v>
      </c>
      <c r="Z687" s="6">
        <v>414</v>
      </c>
      <c r="AB687" s="139"/>
    </row>
    <row r="688" spans="1:28" ht="21.75" customHeight="1" x14ac:dyDescent="0.2">
      <c r="A688" s="7" t="s">
        <v>1178</v>
      </c>
      <c r="B688" s="7" t="s">
        <v>1179</v>
      </c>
      <c r="C688" s="7" t="s">
        <v>1194</v>
      </c>
      <c r="D688" s="7" t="s">
        <v>1183</v>
      </c>
      <c r="E688" s="7" t="s">
        <v>263</v>
      </c>
      <c r="F688" s="7" t="s">
        <v>212</v>
      </c>
      <c r="G688" s="7" t="s">
        <v>1195</v>
      </c>
      <c r="H688" s="1" t="s">
        <v>5739</v>
      </c>
      <c r="I688" s="2">
        <v>6</v>
      </c>
      <c r="J688" s="2" t="s">
        <v>5771</v>
      </c>
      <c r="K688" s="2" t="s">
        <v>4480</v>
      </c>
      <c r="L688" s="6" t="s">
        <v>1208</v>
      </c>
      <c r="R688" s="7" t="s">
        <v>1205</v>
      </c>
      <c r="U688" s="7" t="s">
        <v>1206</v>
      </c>
      <c r="V688" s="7" t="s">
        <v>1207</v>
      </c>
      <c r="X688" s="5">
        <v>30.256699999999999</v>
      </c>
      <c r="Y688" s="5">
        <v>-97.790999999999997</v>
      </c>
      <c r="Z688" s="6">
        <v>174</v>
      </c>
      <c r="AB688" s="139"/>
    </row>
    <row r="689" spans="1:28" ht="21.75" customHeight="1" x14ac:dyDescent="0.2">
      <c r="A689" s="7" t="s">
        <v>1178</v>
      </c>
      <c r="B689" s="7" t="s">
        <v>1179</v>
      </c>
      <c r="C689" s="7" t="s">
        <v>1194</v>
      </c>
      <c r="D689" s="44" t="s">
        <v>1184</v>
      </c>
      <c r="E689" s="7" t="s">
        <v>33</v>
      </c>
      <c r="F689" s="7" t="s">
        <v>212</v>
      </c>
      <c r="G689" s="7" t="s">
        <v>1200</v>
      </c>
      <c r="H689" s="1" t="s">
        <v>1202</v>
      </c>
      <c r="I689" s="2">
        <v>7</v>
      </c>
      <c r="J689" s="2" t="s">
        <v>5771</v>
      </c>
      <c r="K689" s="2" t="s">
        <v>4480</v>
      </c>
      <c r="L689" s="6" t="s">
        <v>1208</v>
      </c>
      <c r="R689" s="7" t="s">
        <v>1205</v>
      </c>
      <c r="U689" s="7" t="s">
        <v>1206</v>
      </c>
      <c r="V689" s="7" t="s">
        <v>1207</v>
      </c>
      <c r="X689" s="5">
        <v>30.369299999999999</v>
      </c>
      <c r="Y689" s="5">
        <v>-97.763199999999998</v>
      </c>
      <c r="Z689" s="6">
        <v>269</v>
      </c>
      <c r="AB689" s="139"/>
    </row>
    <row r="690" spans="1:28" ht="21.75" customHeight="1" x14ac:dyDescent="0.2">
      <c r="A690" s="7" t="s">
        <v>1178</v>
      </c>
      <c r="B690" s="7" t="s">
        <v>1179</v>
      </c>
      <c r="C690" s="7" t="s">
        <v>1194</v>
      </c>
      <c r="D690" s="44" t="s">
        <v>1184</v>
      </c>
      <c r="E690" s="7" t="s">
        <v>280</v>
      </c>
      <c r="F690" s="7" t="s">
        <v>212</v>
      </c>
      <c r="G690" s="7" t="s">
        <v>1203</v>
      </c>
      <c r="H690" s="1" t="s">
        <v>5740</v>
      </c>
      <c r="I690" s="2">
        <v>7</v>
      </c>
      <c r="J690" s="2" t="s">
        <v>5771</v>
      </c>
      <c r="K690" s="2" t="s">
        <v>4480</v>
      </c>
      <c r="L690" s="6" t="s">
        <v>1208</v>
      </c>
      <c r="R690" s="7" t="s">
        <v>1205</v>
      </c>
      <c r="U690" s="7" t="s">
        <v>1206</v>
      </c>
      <c r="V690" s="7" t="s">
        <v>1207</v>
      </c>
      <c r="X690" s="5">
        <v>30.369299999999999</v>
      </c>
      <c r="Y690" s="5">
        <v>-97.763199999999998</v>
      </c>
      <c r="Z690" s="6">
        <v>269</v>
      </c>
      <c r="AB690" s="139" t="s">
        <v>1210</v>
      </c>
    </row>
    <row r="691" spans="1:28" ht="21.75" customHeight="1" x14ac:dyDescent="0.2">
      <c r="A691" s="7" t="s">
        <v>1178</v>
      </c>
      <c r="B691" s="7" t="s">
        <v>1179</v>
      </c>
      <c r="C691" s="7" t="s">
        <v>1194</v>
      </c>
      <c r="D691" s="7" t="s">
        <v>1185</v>
      </c>
      <c r="E691" s="7" t="s">
        <v>280</v>
      </c>
      <c r="F691" s="7" t="s">
        <v>212</v>
      </c>
      <c r="G691" s="7" t="s">
        <v>1196</v>
      </c>
      <c r="H691" s="1" t="s">
        <v>1197</v>
      </c>
      <c r="I691" s="2">
        <v>7</v>
      </c>
      <c r="J691" s="2" t="s">
        <v>5771</v>
      </c>
      <c r="K691" s="2" t="s">
        <v>4480</v>
      </c>
      <c r="L691" s="6" t="s">
        <v>1208</v>
      </c>
      <c r="R691" s="7" t="s">
        <v>1205</v>
      </c>
      <c r="U691" s="7" t="s">
        <v>1206</v>
      </c>
      <c r="V691" s="7" t="s">
        <v>1207</v>
      </c>
      <c r="X691" s="5">
        <v>31.029800000000002</v>
      </c>
      <c r="Y691" s="5">
        <v>-98.506299999999996</v>
      </c>
      <c r="Z691" s="6">
        <v>424</v>
      </c>
      <c r="AB691" s="139"/>
    </row>
    <row r="692" spans="1:28" ht="21.75" customHeight="1" x14ac:dyDescent="0.2">
      <c r="A692" s="7" t="s">
        <v>1178</v>
      </c>
      <c r="B692" s="7" t="s">
        <v>1179</v>
      </c>
      <c r="C692" s="7" t="s">
        <v>1194</v>
      </c>
      <c r="D692" s="44" t="s">
        <v>1186</v>
      </c>
      <c r="E692" s="7" t="s">
        <v>280</v>
      </c>
      <c r="F692" s="7" t="s">
        <v>212</v>
      </c>
      <c r="G692" s="7" t="s">
        <v>1196</v>
      </c>
      <c r="H692" s="1" t="s">
        <v>1204</v>
      </c>
      <c r="I692" s="2">
        <v>7</v>
      </c>
      <c r="J692" s="2" t="s">
        <v>5771</v>
      </c>
      <c r="K692" s="2" t="s">
        <v>4480</v>
      </c>
      <c r="L692" s="6" t="s">
        <v>1208</v>
      </c>
      <c r="R692" s="7" t="s">
        <v>1205</v>
      </c>
      <c r="U692" s="7" t="s">
        <v>1206</v>
      </c>
      <c r="V692" s="7" t="s">
        <v>1207</v>
      </c>
      <c r="X692" s="5">
        <v>31.039300000000001</v>
      </c>
      <c r="Y692" s="5">
        <v>-98.48</v>
      </c>
      <c r="Z692" s="6">
        <v>409</v>
      </c>
    </row>
    <row r="693" spans="1:28" ht="21.75" customHeight="1" x14ac:dyDescent="0.2">
      <c r="A693" s="7" t="s">
        <v>1178</v>
      </c>
      <c r="B693" s="7" t="s">
        <v>1179</v>
      </c>
      <c r="C693" s="7" t="s">
        <v>1194</v>
      </c>
      <c r="D693" s="44" t="s">
        <v>1186</v>
      </c>
      <c r="E693" s="7" t="s">
        <v>33</v>
      </c>
      <c r="F693" s="7" t="s">
        <v>212</v>
      </c>
      <c r="G693" s="7" t="s">
        <v>1200</v>
      </c>
      <c r="H693" s="1" t="s">
        <v>1202</v>
      </c>
      <c r="I693" s="2">
        <v>7</v>
      </c>
      <c r="J693" s="2" t="s">
        <v>5771</v>
      </c>
      <c r="K693" s="2" t="s">
        <v>4480</v>
      </c>
      <c r="L693" s="6" t="s">
        <v>1208</v>
      </c>
      <c r="R693" s="7" t="s">
        <v>1205</v>
      </c>
      <c r="U693" s="7" t="s">
        <v>1206</v>
      </c>
      <c r="V693" s="7" t="s">
        <v>1207</v>
      </c>
      <c r="X693" s="5">
        <v>31.039300000000001</v>
      </c>
      <c r="Y693" s="5">
        <v>-98.48</v>
      </c>
      <c r="Z693" s="6">
        <v>409</v>
      </c>
    </row>
    <row r="694" spans="1:28" ht="21.75" customHeight="1" x14ac:dyDescent="0.2">
      <c r="A694" s="7" t="s">
        <v>1178</v>
      </c>
      <c r="B694" s="7" t="s">
        <v>1179</v>
      </c>
      <c r="C694" s="7" t="s">
        <v>1194</v>
      </c>
      <c r="D694" s="7" t="s">
        <v>1187</v>
      </c>
      <c r="E694" s="7" t="s">
        <v>263</v>
      </c>
      <c r="F694" s="7" t="s">
        <v>212</v>
      </c>
      <c r="G694" s="7" t="s">
        <v>1195</v>
      </c>
      <c r="H694" s="1" t="s">
        <v>5739</v>
      </c>
      <c r="I694" s="2">
        <v>8</v>
      </c>
      <c r="J694" s="2" t="s">
        <v>5771</v>
      </c>
      <c r="K694" s="2" t="s">
        <v>4480</v>
      </c>
      <c r="L694" s="6" t="s">
        <v>1208</v>
      </c>
      <c r="R694" s="7" t="s">
        <v>1205</v>
      </c>
      <c r="U694" s="7" t="s">
        <v>1206</v>
      </c>
      <c r="V694" s="7" t="s">
        <v>1207</v>
      </c>
      <c r="X694" s="5">
        <v>31.042200000000001</v>
      </c>
      <c r="Y694" s="5">
        <v>-98.480500000000006</v>
      </c>
      <c r="Z694" s="6">
        <v>403</v>
      </c>
    </row>
    <row r="695" spans="1:28" ht="21.75" customHeight="1" x14ac:dyDescent="0.2">
      <c r="A695" s="7" t="s">
        <v>1178</v>
      </c>
      <c r="B695" s="7" t="s">
        <v>1179</v>
      </c>
      <c r="C695" s="7" t="s">
        <v>1194</v>
      </c>
      <c r="D695" s="7" t="s">
        <v>1188</v>
      </c>
      <c r="E695" s="7" t="s">
        <v>280</v>
      </c>
      <c r="F695" s="7" t="s">
        <v>212</v>
      </c>
      <c r="G695" s="7" t="s">
        <v>1196</v>
      </c>
      <c r="H695" s="1" t="s">
        <v>1197</v>
      </c>
      <c r="I695" s="2">
        <v>9</v>
      </c>
      <c r="J695" s="2" t="s">
        <v>5771</v>
      </c>
      <c r="K695" s="2" t="s">
        <v>4480</v>
      </c>
      <c r="L695" s="6" t="s">
        <v>1208</v>
      </c>
      <c r="R695" s="7" t="s">
        <v>1205</v>
      </c>
      <c r="U695" s="7" t="s">
        <v>1206</v>
      </c>
      <c r="V695" s="7" t="s">
        <v>1207</v>
      </c>
      <c r="X695" s="5">
        <v>31.042000000000002</v>
      </c>
      <c r="Y695" s="5">
        <v>-98.505200000000002</v>
      </c>
      <c r="Z695" s="6">
        <v>428</v>
      </c>
    </row>
    <row r="696" spans="1:28" ht="21.75" customHeight="1" x14ac:dyDescent="0.2">
      <c r="A696" s="7" t="s">
        <v>1178</v>
      </c>
      <c r="B696" s="7" t="s">
        <v>1179</v>
      </c>
      <c r="C696" s="7" t="s">
        <v>1194</v>
      </c>
      <c r="D696" s="7" t="s">
        <v>1189</v>
      </c>
      <c r="E696" s="7" t="s">
        <v>263</v>
      </c>
      <c r="F696" s="7" t="s">
        <v>212</v>
      </c>
      <c r="G696" s="7" t="s">
        <v>1195</v>
      </c>
      <c r="H696" s="1" t="s">
        <v>5739</v>
      </c>
      <c r="I696" s="2">
        <v>9</v>
      </c>
      <c r="J696" s="2" t="s">
        <v>5771</v>
      </c>
      <c r="K696" s="2" t="s">
        <v>4480</v>
      </c>
      <c r="L696" s="6" t="s">
        <v>1208</v>
      </c>
      <c r="R696" s="7" t="s">
        <v>1205</v>
      </c>
      <c r="U696" s="7" t="s">
        <v>1206</v>
      </c>
      <c r="V696" s="7" t="s">
        <v>1207</v>
      </c>
      <c r="X696" s="5">
        <v>29.692</v>
      </c>
      <c r="Y696" s="5">
        <v>-98.341700000000003</v>
      </c>
      <c r="Z696" s="6">
        <v>316</v>
      </c>
    </row>
    <row r="697" spans="1:28" ht="21.75" customHeight="1" x14ac:dyDescent="0.2">
      <c r="A697" s="7" t="s">
        <v>1178</v>
      </c>
      <c r="B697" s="7" t="s">
        <v>1179</v>
      </c>
      <c r="C697" s="7" t="s">
        <v>1194</v>
      </c>
      <c r="D697" s="7" t="s">
        <v>1190</v>
      </c>
      <c r="E697" s="7" t="s">
        <v>263</v>
      </c>
      <c r="F697" s="7" t="s">
        <v>212</v>
      </c>
      <c r="G697" s="7" t="s">
        <v>1195</v>
      </c>
      <c r="H697" s="1" t="s">
        <v>5739</v>
      </c>
      <c r="I697" s="2">
        <v>11</v>
      </c>
      <c r="J697" s="2" t="s">
        <v>5771</v>
      </c>
      <c r="K697" s="2" t="s">
        <v>4480</v>
      </c>
      <c r="L697" s="6" t="s">
        <v>1208</v>
      </c>
      <c r="R697" s="7" t="s">
        <v>1205</v>
      </c>
      <c r="U697" s="7" t="s">
        <v>1206</v>
      </c>
      <c r="V697" s="7" t="s">
        <v>1207</v>
      </c>
      <c r="X697" s="5">
        <v>31.0395</v>
      </c>
      <c r="Y697" s="5">
        <v>-98.480800000000002</v>
      </c>
      <c r="Z697" s="6">
        <v>410</v>
      </c>
    </row>
    <row r="698" spans="1:28" ht="21.75" customHeight="1" x14ac:dyDescent="0.2">
      <c r="A698" s="7" t="s">
        <v>1178</v>
      </c>
      <c r="B698" s="7" t="s">
        <v>1179</v>
      </c>
      <c r="C698" s="7" t="s">
        <v>1194</v>
      </c>
      <c r="D698" s="7" t="s">
        <v>1191</v>
      </c>
      <c r="E698" s="7" t="s">
        <v>263</v>
      </c>
      <c r="F698" s="7" t="s">
        <v>212</v>
      </c>
      <c r="G698" s="7" t="s">
        <v>1195</v>
      </c>
      <c r="H698" s="1" t="s">
        <v>5739</v>
      </c>
      <c r="I698" s="2">
        <v>14</v>
      </c>
      <c r="J698" s="2" t="s">
        <v>5771</v>
      </c>
      <c r="K698" s="2" t="s">
        <v>4480</v>
      </c>
      <c r="L698" s="6" t="s">
        <v>1208</v>
      </c>
      <c r="R698" s="7" t="s">
        <v>1205</v>
      </c>
      <c r="U698" s="7" t="s">
        <v>1206</v>
      </c>
      <c r="V698" s="7" t="s">
        <v>1207</v>
      </c>
      <c r="X698" s="5">
        <v>31.0472</v>
      </c>
      <c r="Y698" s="5">
        <v>-98.504199999999997</v>
      </c>
      <c r="Z698" s="6">
        <v>404</v>
      </c>
    </row>
    <row r="699" spans="1:28" ht="21.75" customHeight="1" x14ac:dyDescent="0.2">
      <c r="A699" s="7" t="s">
        <v>1178</v>
      </c>
      <c r="B699" s="7" t="s">
        <v>1179</v>
      </c>
      <c r="C699" s="7" t="s">
        <v>1194</v>
      </c>
      <c r="D699" s="7" t="s">
        <v>1192</v>
      </c>
      <c r="E699" s="7" t="s">
        <v>263</v>
      </c>
      <c r="F699" s="7" t="s">
        <v>212</v>
      </c>
      <c r="G699" s="7" t="s">
        <v>1195</v>
      </c>
      <c r="H699" s="1" t="s">
        <v>5739</v>
      </c>
      <c r="I699" s="2">
        <v>18</v>
      </c>
      <c r="J699" s="2" t="s">
        <v>5771</v>
      </c>
      <c r="K699" s="2" t="s">
        <v>4480</v>
      </c>
      <c r="L699" s="6" t="s">
        <v>1208</v>
      </c>
      <c r="R699" s="7" t="s">
        <v>1205</v>
      </c>
      <c r="U699" s="7" t="s">
        <v>1206</v>
      </c>
      <c r="V699" s="7" t="s">
        <v>1207</v>
      </c>
      <c r="X699" s="5">
        <v>30.9282</v>
      </c>
      <c r="Y699" s="5">
        <v>-99.915499999999994</v>
      </c>
      <c r="Z699" s="6">
        <v>627</v>
      </c>
    </row>
    <row r="700" spans="1:28" ht="21.75" customHeight="1" x14ac:dyDescent="0.2">
      <c r="A700" s="7" t="s">
        <v>1178</v>
      </c>
      <c r="B700" s="7" t="s">
        <v>1179</v>
      </c>
      <c r="C700" s="7" t="s">
        <v>1194</v>
      </c>
      <c r="D700" s="7" t="s">
        <v>1193</v>
      </c>
      <c r="E700" s="7" t="s">
        <v>263</v>
      </c>
      <c r="F700" s="7" t="s">
        <v>212</v>
      </c>
      <c r="G700" s="7" t="s">
        <v>1195</v>
      </c>
      <c r="H700" s="1" t="s">
        <v>5739</v>
      </c>
      <c r="I700" s="2">
        <v>22</v>
      </c>
      <c r="J700" s="2" t="s">
        <v>5771</v>
      </c>
      <c r="K700" s="2" t="s">
        <v>4480</v>
      </c>
      <c r="L700" s="6" t="s">
        <v>1208</v>
      </c>
      <c r="R700" s="7" t="s">
        <v>1205</v>
      </c>
      <c r="U700" s="7" t="s">
        <v>1206</v>
      </c>
      <c r="V700" s="7" t="s">
        <v>1207</v>
      </c>
      <c r="X700" s="5">
        <v>29.8353</v>
      </c>
      <c r="Y700" s="5">
        <v>-98.519199999999998</v>
      </c>
      <c r="Z700" s="6">
        <v>403</v>
      </c>
    </row>
    <row r="701" spans="1:28" s="8" customFormat="1" ht="21.75" customHeight="1" x14ac:dyDescent="0.2">
      <c r="A701" s="8" t="s">
        <v>1211</v>
      </c>
      <c r="B701" s="8" t="s">
        <v>1212</v>
      </c>
      <c r="C701" s="8" t="s">
        <v>1194</v>
      </c>
      <c r="D701" s="22" t="s">
        <v>1228</v>
      </c>
      <c r="E701" s="8" t="s">
        <v>398</v>
      </c>
      <c r="F701" s="8" t="s">
        <v>62</v>
      </c>
      <c r="G701" s="8" t="s">
        <v>1219</v>
      </c>
      <c r="H701" s="3" t="s">
        <v>514</v>
      </c>
      <c r="I701" s="4">
        <v>1.7</v>
      </c>
      <c r="J701" s="4" t="s">
        <v>4433</v>
      </c>
      <c r="K701" s="4" t="s">
        <v>4410</v>
      </c>
      <c r="L701" s="8">
        <v>230</v>
      </c>
      <c r="M701" s="14"/>
      <c r="N701" s="14"/>
      <c r="O701" s="110"/>
      <c r="P701" s="4"/>
      <c r="X701" s="13">
        <v>32.496600000000001</v>
      </c>
      <c r="Y701" s="13">
        <v>-106.7848</v>
      </c>
      <c r="Z701" s="14">
        <v>1376</v>
      </c>
      <c r="AA701" s="132" t="s">
        <v>1235</v>
      </c>
      <c r="AB701" s="8" t="s">
        <v>1218</v>
      </c>
    </row>
    <row r="702" spans="1:28" s="8" customFormat="1" ht="21.75" customHeight="1" x14ac:dyDescent="0.2">
      <c r="A702" s="8" t="s">
        <v>1211</v>
      </c>
      <c r="B702" s="8" t="s">
        <v>1212</v>
      </c>
      <c r="C702" s="8" t="s">
        <v>1194</v>
      </c>
      <c r="D702" s="22" t="s">
        <v>1229</v>
      </c>
      <c r="E702" s="8" t="s">
        <v>1230</v>
      </c>
      <c r="F702" s="8" t="s">
        <v>212</v>
      </c>
      <c r="G702" s="8" t="s">
        <v>1220</v>
      </c>
      <c r="H702" s="3" t="s">
        <v>1221</v>
      </c>
      <c r="I702" s="4">
        <v>5.4</v>
      </c>
      <c r="J702" s="4" t="s">
        <v>4433</v>
      </c>
      <c r="K702" s="4" t="s">
        <v>4410</v>
      </c>
      <c r="L702" s="8">
        <v>230</v>
      </c>
      <c r="M702" s="14"/>
      <c r="N702" s="14"/>
      <c r="O702" s="110"/>
      <c r="P702" s="4"/>
      <c r="X702" s="13">
        <v>32.496499999999997</v>
      </c>
      <c r="Y702" s="13">
        <v>-106.7847</v>
      </c>
      <c r="Z702" s="14">
        <v>1376</v>
      </c>
      <c r="AA702" s="133"/>
      <c r="AB702" s="8" t="s">
        <v>1236</v>
      </c>
    </row>
    <row r="703" spans="1:28" s="8" customFormat="1" ht="21.75" customHeight="1" x14ac:dyDescent="0.2">
      <c r="A703" s="8" t="s">
        <v>1211</v>
      </c>
      <c r="B703" s="8" t="s">
        <v>1213</v>
      </c>
      <c r="C703" s="8" t="s">
        <v>1194</v>
      </c>
      <c r="D703" s="22" t="s">
        <v>1228</v>
      </c>
      <c r="E703" s="8" t="s">
        <v>398</v>
      </c>
      <c r="F703" s="8" t="s">
        <v>62</v>
      </c>
      <c r="G703" s="8" t="s">
        <v>1219</v>
      </c>
      <c r="H703" s="3" t="s">
        <v>514</v>
      </c>
      <c r="I703" s="4">
        <v>0.6</v>
      </c>
      <c r="J703" s="4" t="s">
        <v>4433</v>
      </c>
      <c r="K703" s="4" t="s">
        <v>4410</v>
      </c>
      <c r="L703" s="8">
        <v>277</v>
      </c>
      <c r="M703" s="14"/>
      <c r="N703" s="14"/>
      <c r="O703" s="110"/>
      <c r="P703" s="4"/>
      <c r="X703" s="13">
        <v>34.269399999999997</v>
      </c>
      <c r="Y703" s="13">
        <v>-106.7383</v>
      </c>
      <c r="Z703" s="14">
        <v>1582</v>
      </c>
      <c r="AA703" s="132" t="s">
        <v>1239</v>
      </c>
      <c r="AB703" s="8" t="s">
        <v>1236</v>
      </c>
    </row>
    <row r="704" spans="1:28" s="8" customFormat="1" ht="21.75" customHeight="1" x14ac:dyDescent="0.2">
      <c r="A704" s="8" t="s">
        <v>1211</v>
      </c>
      <c r="B704" s="8" t="s">
        <v>1213</v>
      </c>
      <c r="C704" s="8" t="s">
        <v>1194</v>
      </c>
      <c r="D704" s="22" t="s">
        <v>1229</v>
      </c>
      <c r="E704" s="8" t="s">
        <v>1230</v>
      </c>
      <c r="F704" s="8" t="s">
        <v>212</v>
      </c>
      <c r="G704" s="8" t="s">
        <v>1220</v>
      </c>
      <c r="H704" s="3" t="s">
        <v>1221</v>
      </c>
      <c r="I704" s="4">
        <v>2</v>
      </c>
      <c r="J704" s="4" t="s">
        <v>4433</v>
      </c>
      <c r="K704" s="4" t="s">
        <v>4410</v>
      </c>
      <c r="L704" s="8">
        <v>277</v>
      </c>
      <c r="M704" s="14"/>
      <c r="N704" s="14"/>
      <c r="O704" s="110"/>
      <c r="P704" s="4"/>
      <c r="X704" s="13">
        <v>34.269399999999997</v>
      </c>
      <c r="Y704" s="13">
        <v>-106.7383</v>
      </c>
      <c r="Z704" s="14">
        <v>1583</v>
      </c>
      <c r="AA704" s="137"/>
      <c r="AB704" s="8" t="s">
        <v>1236</v>
      </c>
    </row>
    <row r="705" spans="1:29" s="8" customFormat="1" ht="21.75" customHeight="1" x14ac:dyDescent="0.2">
      <c r="A705" s="8" t="s">
        <v>1211</v>
      </c>
      <c r="B705" s="8" t="s">
        <v>1214</v>
      </c>
      <c r="C705" s="8" t="s">
        <v>1194</v>
      </c>
      <c r="D705" s="22" t="s">
        <v>1228</v>
      </c>
      <c r="E705" s="8" t="s">
        <v>398</v>
      </c>
      <c r="F705" s="8" t="s">
        <v>62</v>
      </c>
      <c r="G705" s="8" t="s">
        <v>1135</v>
      </c>
      <c r="H705" s="3" t="s">
        <v>1132</v>
      </c>
      <c r="I705" s="4">
        <v>0.9</v>
      </c>
      <c r="J705" s="4" t="s">
        <v>4433</v>
      </c>
      <c r="K705" s="4" t="s">
        <v>4410</v>
      </c>
      <c r="L705" s="8">
        <v>322</v>
      </c>
      <c r="M705" s="14"/>
      <c r="N705" s="14"/>
      <c r="O705" s="110"/>
      <c r="P705" s="4"/>
      <c r="X705" s="13">
        <v>40.885300000000001</v>
      </c>
      <c r="Y705" s="13">
        <v>-104.6948</v>
      </c>
      <c r="Z705" s="14">
        <v>1669</v>
      </c>
      <c r="AA705" s="133"/>
      <c r="AB705" s="8" t="s">
        <v>1234</v>
      </c>
    </row>
    <row r="706" spans="1:29" s="8" customFormat="1" ht="21.75" customHeight="1" x14ac:dyDescent="0.2">
      <c r="A706" s="8" t="s">
        <v>1211</v>
      </c>
      <c r="B706" s="8" t="s">
        <v>1214</v>
      </c>
      <c r="C706" s="8" t="s">
        <v>1194</v>
      </c>
      <c r="D706" s="22" t="s">
        <v>1229</v>
      </c>
      <c r="E706" s="8" t="s">
        <v>1230</v>
      </c>
      <c r="F706" s="8" t="s">
        <v>212</v>
      </c>
      <c r="G706" s="8" t="s">
        <v>1220</v>
      </c>
      <c r="H706" s="3" t="s">
        <v>1221</v>
      </c>
      <c r="I706" s="4">
        <v>4</v>
      </c>
      <c r="J706" s="4" t="s">
        <v>4433</v>
      </c>
      <c r="K706" s="4" t="s">
        <v>4410</v>
      </c>
      <c r="L706" s="8">
        <v>322</v>
      </c>
      <c r="M706" s="14"/>
      <c r="N706" s="14"/>
      <c r="O706" s="110"/>
      <c r="P706" s="4"/>
      <c r="X706" s="13">
        <v>40.885199999999998</v>
      </c>
      <c r="Y706" s="13">
        <v>-104.6948</v>
      </c>
      <c r="Z706" s="14">
        <v>1669</v>
      </c>
      <c r="AA706" s="132" t="s">
        <v>1240</v>
      </c>
      <c r="AB706" s="8" t="s">
        <v>1234</v>
      </c>
    </row>
    <row r="707" spans="1:29" s="8" customFormat="1" ht="21.75" customHeight="1" x14ac:dyDescent="0.2">
      <c r="A707" s="8" t="s">
        <v>1211</v>
      </c>
      <c r="B707" s="22" t="s">
        <v>1215</v>
      </c>
      <c r="C707" s="8" t="s">
        <v>1194</v>
      </c>
      <c r="D707" s="22" t="s">
        <v>1228</v>
      </c>
      <c r="E707" s="8" t="s">
        <v>398</v>
      </c>
      <c r="F707" s="8" t="s">
        <v>62</v>
      </c>
      <c r="G707" s="8" t="s">
        <v>1222</v>
      </c>
      <c r="H707" s="3" t="s">
        <v>1223</v>
      </c>
      <c r="I707" s="4">
        <v>0.9</v>
      </c>
      <c r="J707" s="4" t="s">
        <v>4433</v>
      </c>
      <c r="K707" s="4" t="s">
        <v>4410</v>
      </c>
      <c r="L707" s="8">
        <v>660</v>
      </c>
      <c r="M707" s="14"/>
      <c r="N707" s="14"/>
      <c r="O707" s="110"/>
      <c r="P707" s="4"/>
      <c r="X707" s="13">
        <v>33.899299999999997</v>
      </c>
      <c r="Y707" s="13">
        <v>-99.399299999999997</v>
      </c>
      <c r="Z707" s="14">
        <v>376</v>
      </c>
      <c r="AA707" s="133"/>
      <c r="AB707" s="8" t="s">
        <v>1231</v>
      </c>
    </row>
    <row r="708" spans="1:29" s="8" customFormat="1" ht="21.75" customHeight="1" x14ac:dyDescent="0.2">
      <c r="A708" s="8" t="s">
        <v>1211</v>
      </c>
      <c r="B708" s="22" t="s">
        <v>1215</v>
      </c>
      <c r="C708" s="8" t="s">
        <v>1194</v>
      </c>
      <c r="D708" s="22" t="s">
        <v>1229</v>
      </c>
      <c r="E708" s="8" t="s">
        <v>1230</v>
      </c>
      <c r="F708" s="8" t="s">
        <v>212</v>
      </c>
      <c r="G708" s="8" t="s">
        <v>1220</v>
      </c>
      <c r="H708" s="3" t="s">
        <v>1221</v>
      </c>
      <c r="I708" s="4">
        <v>5.8</v>
      </c>
      <c r="J708" s="4" t="s">
        <v>4433</v>
      </c>
      <c r="K708" s="4" t="s">
        <v>4410</v>
      </c>
      <c r="L708" s="8">
        <v>660</v>
      </c>
      <c r="M708" s="14"/>
      <c r="N708" s="14"/>
      <c r="O708" s="110"/>
      <c r="P708" s="4"/>
      <c r="X708" s="13">
        <v>33.900500000000001</v>
      </c>
      <c r="Y708" s="13">
        <v>-99.398399999999995</v>
      </c>
      <c r="Z708" s="14">
        <v>374</v>
      </c>
      <c r="AB708" s="8" t="s">
        <v>1231</v>
      </c>
    </row>
    <row r="709" spans="1:29" s="8" customFormat="1" ht="21.75" customHeight="1" x14ac:dyDescent="0.2">
      <c r="A709" s="8" t="s">
        <v>1211</v>
      </c>
      <c r="B709" s="22" t="s">
        <v>1216</v>
      </c>
      <c r="C709" s="8" t="s">
        <v>1194</v>
      </c>
      <c r="D709" s="22" t="s">
        <v>1228</v>
      </c>
      <c r="E709" s="8" t="s">
        <v>398</v>
      </c>
      <c r="F709" s="8" t="s">
        <v>62</v>
      </c>
      <c r="G709" s="8" t="s">
        <v>1224</v>
      </c>
      <c r="H709" s="3" t="s">
        <v>1225</v>
      </c>
      <c r="I709" s="4">
        <v>0.8</v>
      </c>
      <c r="J709" s="4" t="s">
        <v>4433</v>
      </c>
      <c r="K709" s="4" t="s">
        <v>4410</v>
      </c>
      <c r="L709" s="8">
        <v>840</v>
      </c>
      <c r="M709" s="14"/>
      <c r="N709" s="14"/>
      <c r="O709" s="110"/>
      <c r="P709" s="4"/>
      <c r="X709" s="13">
        <v>31.499500000000001</v>
      </c>
      <c r="Y709" s="13">
        <v>-96.600999999999999</v>
      </c>
      <c r="Z709" s="14">
        <v>146</v>
      </c>
      <c r="AB709" s="8" t="s">
        <v>1232</v>
      </c>
    </row>
    <row r="710" spans="1:29" s="8" customFormat="1" ht="21.75" customHeight="1" x14ac:dyDescent="0.2">
      <c r="A710" s="8" t="s">
        <v>1211</v>
      </c>
      <c r="B710" s="22" t="s">
        <v>1216</v>
      </c>
      <c r="C710" s="8" t="s">
        <v>1194</v>
      </c>
      <c r="D710" s="22" t="s">
        <v>1229</v>
      </c>
      <c r="E710" s="8" t="s">
        <v>1230</v>
      </c>
      <c r="F710" s="8" t="s">
        <v>212</v>
      </c>
      <c r="G710" s="8" t="s">
        <v>1220</v>
      </c>
      <c r="H710" s="3" t="s">
        <v>1221</v>
      </c>
      <c r="I710" s="4">
        <v>2.8</v>
      </c>
      <c r="J710" s="4" t="s">
        <v>4433</v>
      </c>
      <c r="K710" s="4" t="s">
        <v>4410</v>
      </c>
      <c r="L710" s="8">
        <v>840</v>
      </c>
      <c r="M710" s="14"/>
      <c r="N710" s="14"/>
      <c r="O710" s="110"/>
      <c r="P710" s="4"/>
      <c r="X710" s="13">
        <v>31.499700000000001</v>
      </c>
      <c r="Y710" s="13">
        <v>-96.600800000000007</v>
      </c>
      <c r="Z710" s="14">
        <v>146</v>
      </c>
      <c r="AB710" s="8" t="s">
        <v>1232</v>
      </c>
    </row>
    <row r="711" spans="1:29" s="8" customFormat="1" ht="21.75" customHeight="1" x14ac:dyDescent="0.2">
      <c r="A711" s="8" t="s">
        <v>1211</v>
      </c>
      <c r="B711" s="22" t="s">
        <v>1217</v>
      </c>
      <c r="C711" s="8" t="s">
        <v>1194</v>
      </c>
      <c r="D711" s="22" t="s">
        <v>1228</v>
      </c>
      <c r="E711" s="8" t="s">
        <v>398</v>
      </c>
      <c r="F711" s="8" t="s">
        <v>62</v>
      </c>
      <c r="G711" s="8" t="s">
        <v>1226</v>
      </c>
      <c r="H711" s="3" t="s">
        <v>1227</v>
      </c>
      <c r="I711" s="4">
        <v>3.3</v>
      </c>
      <c r="J711" s="4" t="s">
        <v>4433</v>
      </c>
      <c r="K711" s="4" t="s">
        <v>4410</v>
      </c>
      <c r="L711" s="8">
        <v>1070</v>
      </c>
      <c r="M711" s="14"/>
      <c r="N711" s="14"/>
      <c r="O711" s="110"/>
      <c r="P711" s="4"/>
      <c r="X711" s="13">
        <v>31.900099999999998</v>
      </c>
      <c r="Y711" s="13">
        <v>-95.8994</v>
      </c>
      <c r="Z711" s="14">
        <v>109</v>
      </c>
      <c r="AA711" s="8" t="s">
        <v>1237</v>
      </c>
      <c r="AB711" s="8" t="s">
        <v>1233</v>
      </c>
    </row>
    <row r="712" spans="1:29" s="8" customFormat="1" ht="21.75" customHeight="1" x14ac:dyDescent="0.2">
      <c r="A712" s="8" t="s">
        <v>1211</v>
      </c>
      <c r="B712" s="22" t="s">
        <v>1217</v>
      </c>
      <c r="C712" s="8" t="s">
        <v>1194</v>
      </c>
      <c r="D712" s="22" t="s">
        <v>1229</v>
      </c>
      <c r="E712" s="8" t="s">
        <v>1230</v>
      </c>
      <c r="F712" s="8" t="s">
        <v>212</v>
      </c>
      <c r="G712" s="8" t="s">
        <v>1220</v>
      </c>
      <c r="H712" s="3" t="s">
        <v>1221</v>
      </c>
      <c r="I712" s="4">
        <v>2.5</v>
      </c>
      <c r="J712" s="4" t="s">
        <v>4433</v>
      </c>
      <c r="K712" s="4" t="s">
        <v>4410</v>
      </c>
      <c r="L712" s="8">
        <v>1070</v>
      </c>
      <c r="M712" s="14"/>
      <c r="N712" s="14"/>
      <c r="O712" s="110"/>
      <c r="P712" s="4"/>
      <c r="X712" s="13">
        <v>31.899899999999999</v>
      </c>
      <c r="Y712" s="13">
        <v>-95.900099999999995</v>
      </c>
      <c r="Z712" s="14">
        <v>107</v>
      </c>
      <c r="AA712" s="8" t="s">
        <v>1238</v>
      </c>
      <c r="AB712" s="8" t="s">
        <v>1233</v>
      </c>
    </row>
    <row r="713" spans="1:29" ht="21.75" customHeight="1" x14ac:dyDescent="0.2">
      <c r="A713" s="7" t="s">
        <v>5859</v>
      </c>
      <c r="B713" s="44" t="s">
        <v>5870</v>
      </c>
      <c r="C713" s="7" t="s">
        <v>284</v>
      </c>
      <c r="D713" s="44" t="s">
        <v>5862</v>
      </c>
      <c r="E713" s="7" t="s">
        <v>263</v>
      </c>
      <c r="F713" s="7" t="s">
        <v>212</v>
      </c>
      <c r="H713" s="1" t="s">
        <v>5872</v>
      </c>
      <c r="I713" s="2">
        <v>2</v>
      </c>
      <c r="J713" s="2" t="s">
        <v>5860</v>
      </c>
      <c r="K713" s="2" t="s">
        <v>4410</v>
      </c>
      <c r="L713" s="7" t="s">
        <v>5861</v>
      </c>
      <c r="M713" s="6" t="s">
        <v>5871</v>
      </c>
      <c r="R713" s="7" t="s">
        <v>5875</v>
      </c>
      <c r="W713" s="7" t="s">
        <v>5868</v>
      </c>
      <c r="X713" s="5">
        <v>18.583333333333332</v>
      </c>
      <c r="Y713" s="5">
        <v>-95.083333333333329</v>
      </c>
      <c r="Z713" s="6">
        <v>333</v>
      </c>
      <c r="AA713" s="45" t="s">
        <v>5869</v>
      </c>
      <c r="AB713" s="134" t="s">
        <v>5867</v>
      </c>
    </row>
    <row r="714" spans="1:29" ht="21.75" customHeight="1" x14ac:dyDescent="0.2">
      <c r="A714" s="7" t="s">
        <v>5859</v>
      </c>
      <c r="B714" s="44" t="s">
        <v>5870</v>
      </c>
      <c r="C714" s="7" t="s">
        <v>284</v>
      </c>
      <c r="D714" s="44" t="s">
        <v>5863</v>
      </c>
      <c r="E714" s="7" t="s">
        <v>263</v>
      </c>
      <c r="F714" s="7" t="s">
        <v>212</v>
      </c>
      <c r="H714" s="1" t="s">
        <v>5874</v>
      </c>
      <c r="I714" s="2">
        <v>1.1000000000000001</v>
      </c>
      <c r="J714" s="2" t="s">
        <v>5860</v>
      </c>
      <c r="K714" s="2" t="s">
        <v>4410</v>
      </c>
      <c r="L714" s="7" t="s">
        <v>5861</v>
      </c>
      <c r="M714" s="6" t="s">
        <v>5871</v>
      </c>
      <c r="R714" s="7" t="s">
        <v>5875</v>
      </c>
      <c r="W714" s="7" t="s">
        <v>5865</v>
      </c>
      <c r="X714" s="5">
        <v>18.5488</v>
      </c>
      <c r="Y714" s="5">
        <v>-95.054599999999994</v>
      </c>
      <c r="Z714" s="6">
        <v>78</v>
      </c>
      <c r="AA714" s="45" t="s">
        <v>5877</v>
      </c>
      <c r="AB714" s="136"/>
    </row>
    <row r="715" spans="1:29" ht="21.75" customHeight="1" x14ac:dyDescent="0.2">
      <c r="A715" s="7" t="s">
        <v>5859</v>
      </c>
      <c r="B715" s="44" t="s">
        <v>5870</v>
      </c>
      <c r="C715" s="7" t="s">
        <v>284</v>
      </c>
      <c r="D715" s="44" t="s">
        <v>5864</v>
      </c>
      <c r="E715" s="7" t="s">
        <v>398</v>
      </c>
      <c r="F715" s="7" t="s">
        <v>62</v>
      </c>
      <c r="H715" s="1" t="s">
        <v>5873</v>
      </c>
      <c r="I715" s="2">
        <v>0.9</v>
      </c>
      <c r="J715" s="2" t="s">
        <v>5860</v>
      </c>
      <c r="K715" s="2" t="s">
        <v>4410</v>
      </c>
      <c r="L715" s="7" t="s">
        <v>5861</v>
      </c>
      <c r="M715" s="6" t="s">
        <v>5871</v>
      </c>
      <c r="R715" s="7" t="s">
        <v>5875</v>
      </c>
      <c r="W715" s="7" t="s">
        <v>5866</v>
      </c>
      <c r="X715" s="5">
        <v>18.540800000000001</v>
      </c>
      <c r="Y715" s="5">
        <v>-95.1036</v>
      </c>
      <c r="Z715" s="6">
        <v>613</v>
      </c>
      <c r="AA715" s="45" t="s">
        <v>5876</v>
      </c>
      <c r="AB715" s="135"/>
    </row>
    <row r="716" spans="1:29" s="8" customFormat="1" ht="21.75" customHeight="1" x14ac:dyDescent="0.2">
      <c r="A716" s="8" t="s">
        <v>1241</v>
      </c>
      <c r="B716" s="8" t="s">
        <v>1252</v>
      </c>
      <c r="D716" s="8" t="s">
        <v>1242</v>
      </c>
      <c r="E716" s="8" t="s">
        <v>263</v>
      </c>
      <c r="F716" s="8" t="s">
        <v>212</v>
      </c>
      <c r="G716" s="8" t="s">
        <v>1244</v>
      </c>
      <c r="H716" s="3" t="s">
        <v>1245</v>
      </c>
      <c r="I716" s="8" t="s">
        <v>5773</v>
      </c>
      <c r="J716" s="8" t="s">
        <v>5774</v>
      </c>
      <c r="K716" s="8" t="s">
        <v>4480</v>
      </c>
      <c r="L716" s="14"/>
      <c r="M716" s="14"/>
      <c r="N716" s="14"/>
      <c r="O716" s="110"/>
      <c r="P716" s="4"/>
      <c r="Q716" s="8">
        <v>141</v>
      </c>
      <c r="R716" s="8" t="s">
        <v>1246</v>
      </c>
      <c r="S716" s="8" t="s">
        <v>1247</v>
      </c>
      <c r="X716" s="13">
        <v>-23.95</v>
      </c>
      <c r="Y716" s="13">
        <v>22.9712</v>
      </c>
      <c r="Z716" s="14">
        <v>1118</v>
      </c>
      <c r="AA716" s="28" t="s">
        <v>1248</v>
      </c>
      <c r="AB716" s="8" t="s">
        <v>1250</v>
      </c>
      <c r="AC716" s="8" t="s">
        <v>1250</v>
      </c>
    </row>
    <row r="717" spans="1:29" s="8" customFormat="1" ht="21.75" customHeight="1" x14ac:dyDescent="0.2">
      <c r="A717" s="8" t="s">
        <v>1241</v>
      </c>
      <c r="B717" s="8" t="s">
        <v>1253</v>
      </c>
      <c r="D717" s="8" t="s">
        <v>1243</v>
      </c>
      <c r="E717" s="8" t="s">
        <v>263</v>
      </c>
      <c r="F717" s="8" t="s">
        <v>212</v>
      </c>
      <c r="G717" s="8" t="s">
        <v>1244</v>
      </c>
      <c r="H717" s="3" t="s">
        <v>1245</v>
      </c>
      <c r="I717" s="8" t="s">
        <v>5772</v>
      </c>
      <c r="J717" s="8" t="s">
        <v>5774</v>
      </c>
      <c r="K717" s="8" t="s">
        <v>4480</v>
      </c>
      <c r="L717" s="14"/>
      <c r="M717" s="14"/>
      <c r="N717" s="14"/>
      <c r="O717" s="110"/>
      <c r="P717" s="4"/>
      <c r="Q717" s="8">
        <v>97.5</v>
      </c>
      <c r="R717" s="8" t="s">
        <v>1246</v>
      </c>
      <c r="S717" s="8" t="s">
        <v>1247</v>
      </c>
      <c r="X717" s="13">
        <v>-25.2608</v>
      </c>
      <c r="Y717" s="13">
        <v>23.3172</v>
      </c>
      <c r="Z717" s="14">
        <v>1031</v>
      </c>
      <c r="AA717" s="28" t="s">
        <v>1249</v>
      </c>
      <c r="AB717" s="8" t="s">
        <v>1251</v>
      </c>
      <c r="AC717" s="29" t="s">
        <v>1251</v>
      </c>
    </row>
    <row r="718" spans="1:29" ht="21.75" customHeight="1" x14ac:dyDescent="0.2">
      <c r="A718" s="7" t="s">
        <v>1254</v>
      </c>
      <c r="B718" s="7" t="s">
        <v>1259</v>
      </c>
      <c r="C718" s="7" t="s">
        <v>284</v>
      </c>
      <c r="D718" s="7" t="s">
        <v>1261</v>
      </c>
      <c r="E718" s="7" t="s">
        <v>263</v>
      </c>
      <c r="F718" s="7" t="s">
        <v>212</v>
      </c>
      <c r="H718" s="1" t="s">
        <v>1255</v>
      </c>
      <c r="I718" s="7">
        <v>0.5</v>
      </c>
      <c r="J718" s="7" t="s">
        <v>5775</v>
      </c>
      <c r="K718" s="7" t="s">
        <v>4480</v>
      </c>
      <c r="L718" s="7">
        <v>3335</v>
      </c>
      <c r="M718" s="6">
        <v>2</v>
      </c>
      <c r="R718" s="7" t="s">
        <v>1257</v>
      </c>
      <c r="X718" s="5">
        <v>-3.72</v>
      </c>
      <c r="Y718" s="5">
        <v>-70.31</v>
      </c>
      <c r="Z718" s="6">
        <v>105</v>
      </c>
      <c r="AA718" s="7" t="s">
        <v>1258</v>
      </c>
      <c r="AB718" s="139" t="s">
        <v>1264</v>
      </c>
    </row>
    <row r="719" spans="1:29" ht="21.75" customHeight="1" x14ac:dyDescent="0.2">
      <c r="A719" s="7" t="s">
        <v>1254</v>
      </c>
      <c r="B719" s="7" t="s">
        <v>1259</v>
      </c>
      <c r="C719" s="7" t="s">
        <v>284</v>
      </c>
      <c r="D719" s="7" t="s">
        <v>1262</v>
      </c>
      <c r="E719" s="7" t="s">
        <v>263</v>
      </c>
      <c r="F719" s="7" t="s">
        <v>212</v>
      </c>
      <c r="H719" s="1" t="s">
        <v>1255</v>
      </c>
      <c r="I719" s="7">
        <v>0.5</v>
      </c>
      <c r="J719" s="7" t="s">
        <v>5775</v>
      </c>
      <c r="K719" s="7" t="s">
        <v>4480</v>
      </c>
      <c r="L719" s="7">
        <v>3335</v>
      </c>
      <c r="M719" s="6">
        <v>2</v>
      </c>
      <c r="R719" s="7" t="s">
        <v>1257</v>
      </c>
      <c r="X719" s="5">
        <v>-3.72</v>
      </c>
      <c r="Y719" s="5">
        <v>-70.3</v>
      </c>
      <c r="Z719" s="6">
        <v>110</v>
      </c>
      <c r="AA719" s="7" t="s">
        <v>1265</v>
      </c>
      <c r="AB719" s="139"/>
    </row>
    <row r="720" spans="1:29" ht="21.75" customHeight="1" x14ac:dyDescent="0.2">
      <c r="A720" s="7" t="s">
        <v>1254</v>
      </c>
      <c r="B720" s="7" t="s">
        <v>1259</v>
      </c>
      <c r="C720" s="7" t="s">
        <v>284</v>
      </c>
      <c r="D720" s="7" t="s">
        <v>1263</v>
      </c>
      <c r="E720" s="7" t="s">
        <v>263</v>
      </c>
      <c r="F720" s="7" t="s">
        <v>212</v>
      </c>
      <c r="H720" s="1" t="s">
        <v>1256</v>
      </c>
      <c r="I720" s="7">
        <v>1</v>
      </c>
      <c r="J720" s="7" t="s">
        <v>5775</v>
      </c>
      <c r="K720" s="7" t="s">
        <v>4480</v>
      </c>
      <c r="L720" s="7">
        <v>3335</v>
      </c>
      <c r="M720" s="6">
        <v>2</v>
      </c>
      <c r="R720" s="7" t="s">
        <v>1260</v>
      </c>
      <c r="X720" s="5">
        <v>-4.01</v>
      </c>
      <c r="Y720" s="5">
        <v>-69.91</v>
      </c>
      <c r="Z720" s="6">
        <v>130</v>
      </c>
      <c r="AB720" s="139"/>
    </row>
    <row r="721" spans="1:28" s="8" customFormat="1" ht="21.75" customHeight="1" x14ac:dyDescent="0.2">
      <c r="A721" s="8" t="s">
        <v>1017</v>
      </c>
      <c r="B721" s="8" t="s">
        <v>1020</v>
      </c>
      <c r="C721" s="8" t="s">
        <v>284</v>
      </c>
      <c r="D721" s="8" t="s">
        <v>1018</v>
      </c>
      <c r="E721" s="8" t="s">
        <v>263</v>
      </c>
      <c r="F721" s="8" t="s">
        <v>212</v>
      </c>
      <c r="G721" s="8" t="s">
        <v>1027</v>
      </c>
      <c r="H721" s="3" t="s">
        <v>1025</v>
      </c>
      <c r="I721" s="8" t="s">
        <v>1021</v>
      </c>
      <c r="J721" s="8" t="s">
        <v>5776</v>
      </c>
      <c r="K721" s="8" t="s">
        <v>4410</v>
      </c>
      <c r="L721" s="14">
        <v>1803</v>
      </c>
      <c r="M721" s="14">
        <v>6</v>
      </c>
      <c r="N721" s="14">
        <v>2400</v>
      </c>
      <c r="O721" s="110" t="s">
        <v>1028</v>
      </c>
      <c r="P721" s="4"/>
      <c r="R721" s="8" t="s">
        <v>1031</v>
      </c>
      <c r="S721" s="8" t="s">
        <v>1029</v>
      </c>
      <c r="T721" s="9" t="s">
        <v>1030</v>
      </c>
      <c r="W721" s="8" t="s">
        <v>1022</v>
      </c>
      <c r="X721" s="13">
        <v>-2.9176000000000002</v>
      </c>
      <c r="Y721" s="13">
        <v>-47.356400000000001</v>
      </c>
      <c r="Z721" s="14">
        <v>133</v>
      </c>
      <c r="AA721" s="8" t="s">
        <v>1032</v>
      </c>
      <c r="AB721" s="8" t="s">
        <v>1035</v>
      </c>
    </row>
    <row r="722" spans="1:28" s="8" customFormat="1" ht="21.75" customHeight="1" x14ac:dyDescent="0.2">
      <c r="A722" s="8" t="s">
        <v>1017</v>
      </c>
      <c r="B722" s="8" t="s">
        <v>1020</v>
      </c>
      <c r="C722" s="8" t="s">
        <v>284</v>
      </c>
      <c r="D722" s="8" t="s">
        <v>1019</v>
      </c>
      <c r="E722" s="8" t="s">
        <v>398</v>
      </c>
      <c r="F722" s="8" t="s">
        <v>62</v>
      </c>
      <c r="G722" s="8" t="s">
        <v>1026</v>
      </c>
      <c r="H722" s="3" t="s">
        <v>1024</v>
      </c>
      <c r="I722" s="8">
        <v>6</v>
      </c>
      <c r="J722" s="8" t="s">
        <v>5776</v>
      </c>
      <c r="K722" s="8" t="s">
        <v>4410</v>
      </c>
      <c r="L722" s="14">
        <v>1803</v>
      </c>
      <c r="M722" s="14">
        <v>6</v>
      </c>
      <c r="N722" s="14">
        <v>2400</v>
      </c>
      <c r="O722" s="110" t="s">
        <v>1028</v>
      </c>
      <c r="P722" s="4"/>
      <c r="R722" s="8" t="s">
        <v>1031</v>
      </c>
      <c r="S722" s="8" t="s">
        <v>1029</v>
      </c>
      <c r="T722" s="9" t="s">
        <v>1030</v>
      </c>
      <c r="W722" s="8" t="s">
        <v>1023</v>
      </c>
      <c r="X722" s="13">
        <v>-2.9270999999999998</v>
      </c>
      <c r="Y722" s="13">
        <v>-47.35</v>
      </c>
      <c r="Z722" s="14">
        <v>125</v>
      </c>
      <c r="AA722" s="8" t="s">
        <v>1033</v>
      </c>
      <c r="AB722" s="8" t="s">
        <v>1034</v>
      </c>
    </row>
    <row r="723" spans="1:28" ht="21.75" customHeight="1" x14ac:dyDescent="0.2">
      <c r="A723" s="7" t="s">
        <v>3148</v>
      </c>
      <c r="B723" s="7" t="s">
        <v>1266</v>
      </c>
      <c r="C723" s="7" t="s">
        <v>253</v>
      </c>
      <c r="D723" s="7" t="s">
        <v>94</v>
      </c>
      <c r="E723" s="7" t="s">
        <v>263</v>
      </c>
      <c r="F723" s="7" t="s">
        <v>212</v>
      </c>
      <c r="G723" s="7" t="s">
        <v>1268</v>
      </c>
      <c r="H723" s="1" t="s">
        <v>1269</v>
      </c>
      <c r="I723" s="2">
        <v>5.7</v>
      </c>
      <c r="J723" s="2" t="s">
        <v>4433</v>
      </c>
      <c r="K723" s="2" t="s">
        <v>4480</v>
      </c>
      <c r="L723" s="6">
        <v>980</v>
      </c>
      <c r="O723" s="45" t="s">
        <v>1272</v>
      </c>
      <c r="Q723" s="7">
        <v>5.8</v>
      </c>
      <c r="R723" s="7" t="s">
        <v>1271</v>
      </c>
      <c r="T723" s="18"/>
      <c r="W723" s="7" t="s">
        <v>94</v>
      </c>
      <c r="X723" s="5">
        <f>-(36+2/60)</f>
        <v>-36.033333333333331</v>
      </c>
      <c r="Y723" s="5">
        <f>-(57+50.3/60)</f>
        <v>-57.838333333333331</v>
      </c>
      <c r="Z723" s="6">
        <v>30</v>
      </c>
      <c r="AA723" s="134" t="s">
        <v>1274</v>
      </c>
    </row>
    <row r="724" spans="1:28" ht="21.75" customHeight="1" x14ac:dyDescent="0.2">
      <c r="A724" s="7" t="s">
        <v>3148</v>
      </c>
      <c r="B724" s="7" t="s">
        <v>1266</v>
      </c>
      <c r="C724" s="7" t="s">
        <v>253</v>
      </c>
      <c r="D724" s="7" t="s">
        <v>1267</v>
      </c>
      <c r="E724" s="7" t="s">
        <v>398</v>
      </c>
      <c r="F724" s="7" t="s">
        <v>62</v>
      </c>
      <c r="H724" s="1" t="s">
        <v>1270</v>
      </c>
      <c r="I724" s="2">
        <v>1.7</v>
      </c>
      <c r="J724" s="2" t="s">
        <v>4433</v>
      </c>
      <c r="K724" s="2" t="s">
        <v>4480</v>
      </c>
      <c r="L724" s="6">
        <v>980</v>
      </c>
      <c r="O724" s="45" t="s">
        <v>1273</v>
      </c>
      <c r="Q724" s="7">
        <v>1.7</v>
      </c>
      <c r="R724" s="7" t="s">
        <v>1271</v>
      </c>
      <c r="T724" s="18"/>
      <c r="X724" s="5">
        <v>-36.030799999999999</v>
      </c>
      <c r="Y724" s="5">
        <v>-57.836300000000001</v>
      </c>
      <c r="Z724" s="6">
        <v>10</v>
      </c>
      <c r="AA724" s="135"/>
    </row>
    <row r="725" spans="1:28" s="8" customFormat="1" ht="21.75" customHeight="1" x14ac:dyDescent="0.2">
      <c r="A725" s="8" t="s">
        <v>2633</v>
      </c>
      <c r="B725" s="8" t="s">
        <v>2802</v>
      </c>
      <c r="C725" s="8" t="s">
        <v>2803</v>
      </c>
      <c r="D725" s="8" t="s">
        <v>939</v>
      </c>
      <c r="E725" s="8" t="s">
        <v>278</v>
      </c>
      <c r="F725" s="8" t="s">
        <v>212</v>
      </c>
      <c r="G725" s="8" t="s">
        <v>2801</v>
      </c>
      <c r="H725" s="3" t="s">
        <v>2800</v>
      </c>
      <c r="I725" s="4">
        <f>9.5-1.8</f>
        <v>7.7</v>
      </c>
      <c r="J725" s="4" t="s">
        <v>5777</v>
      </c>
      <c r="K725" s="4" t="s">
        <v>4480</v>
      </c>
      <c r="L725" s="14">
        <v>156</v>
      </c>
      <c r="M725" s="14">
        <v>9</v>
      </c>
      <c r="N725" s="14"/>
      <c r="O725" s="110" t="s">
        <v>2804</v>
      </c>
      <c r="P725" s="4" t="s">
        <v>2806</v>
      </c>
      <c r="Q725" s="8">
        <v>9.5</v>
      </c>
      <c r="R725" s="8" t="s">
        <v>753</v>
      </c>
      <c r="T725" s="9"/>
      <c r="X725" s="13">
        <v>-32.368527</v>
      </c>
      <c r="Y725" s="13">
        <v>-68.035831000000002</v>
      </c>
      <c r="Z725" s="14">
        <v>553</v>
      </c>
      <c r="AA725" s="19" t="s">
        <v>2805</v>
      </c>
    </row>
    <row r="726" spans="1:28" s="8" customFormat="1" ht="21.75" customHeight="1" x14ac:dyDescent="0.2">
      <c r="A726" s="8" t="s">
        <v>2633</v>
      </c>
      <c r="B726" s="8" t="s">
        <v>2802</v>
      </c>
      <c r="C726" s="8" t="s">
        <v>2803</v>
      </c>
      <c r="D726" s="8" t="s">
        <v>940</v>
      </c>
      <c r="E726" s="8" t="s">
        <v>278</v>
      </c>
      <c r="F726" s="8" t="s">
        <v>212</v>
      </c>
      <c r="G726" s="8" t="s">
        <v>2801</v>
      </c>
      <c r="H726" s="3" t="s">
        <v>2800</v>
      </c>
      <c r="I726" s="4">
        <f>6.8-1.8</f>
        <v>5</v>
      </c>
      <c r="J726" s="4" t="s">
        <v>5777</v>
      </c>
      <c r="K726" s="4" t="s">
        <v>4480</v>
      </c>
      <c r="L726" s="14">
        <v>156</v>
      </c>
      <c r="M726" s="14">
        <v>9</v>
      </c>
      <c r="N726" s="14"/>
      <c r="O726" s="110" t="s">
        <v>2807</v>
      </c>
      <c r="P726" s="4" t="s">
        <v>2806</v>
      </c>
      <c r="Q726" s="8">
        <v>6.8</v>
      </c>
      <c r="R726" s="8" t="s">
        <v>753</v>
      </c>
      <c r="T726" s="9"/>
      <c r="X726" s="13">
        <v>-32.426729999999999</v>
      </c>
      <c r="Y726" s="13">
        <v>-68.011840000000007</v>
      </c>
      <c r="Z726" s="14">
        <v>559</v>
      </c>
      <c r="AA726" s="19" t="s">
        <v>2805</v>
      </c>
    </row>
    <row r="727" spans="1:28" s="8" customFormat="1" ht="21.75" customHeight="1" x14ac:dyDescent="0.2">
      <c r="A727" s="8" t="s">
        <v>2633</v>
      </c>
      <c r="B727" s="8" t="s">
        <v>2802</v>
      </c>
      <c r="C727" s="8" t="s">
        <v>2803</v>
      </c>
      <c r="D727" s="8" t="s">
        <v>941</v>
      </c>
      <c r="E727" s="8" t="s">
        <v>278</v>
      </c>
      <c r="F727" s="8" t="s">
        <v>212</v>
      </c>
      <c r="G727" s="8" t="s">
        <v>2801</v>
      </c>
      <c r="H727" s="3" t="s">
        <v>2800</v>
      </c>
      <c r="I727" s="4">
        <f>7.1-1.8</f>
        <v>5.3</v>
      </c>
      <c r="J727" s="4" t="s">
        <v>5777</v>
      </c>
      <c r="K727" s="4" t="s">
        <v>4480</v>
      </c>
      <c r="L727" s="14">
        <v>156</v>
      </c>
      <c r="M727" s="14">
        <v>9</v>
      </c>
      <c r="N727" s="14"/>
      <c r="O727" s="110" t="s">
        <v>2804</v>
      </c>
      <c r="P727" s="4" t="s">
        <v>2806</v>
      </c>
      <c r="Q727" s="8">
        <v>7.1</v>
      </c>
      <c r="R727" s="8" t="s">
        <v>753</v>
      </c>
      <c r="T727" s="9"/>
      <c r="X727" s="13">
        <v>-32.395484000000003</v>
      </c>
      <c r="Y727" s="13">
        <v>-68.036578000000006</v>
      </c>
      <c r="Z727" s="14">
        <v>554</v>
      </c>
      <c r="AA727" s="19" t="s">
        <v>2805</v>
      </c>
    </row>
    <row r="728" spans="1:28" ht="21.75" customHeight="1" x14ac:dyDescent="0.2">
      <c r="A728" s="7" t="s">
        <v>2810</v>
      </c>
      <c r="B728" s="7" t="s">
        <v>2675</v>
      </c>
      <c r="C728" s="7" t="s">
        <v>2680</v>
      </c>
      <c r="D728" s="7" t="s">
        <v>2679</v>
      </c>
      <c r="E728" s="7" t="s">
        <v>263</v>
      </c>
      <c r="F728" s="7" t="s">
        <v>2678</v>
      </c>
      <c r="G728" s="7" t="s">
        <v>2684</v>
      </c>
      <c r="H728" s="1" t="s">
        <v>2677</v>
      </c>
      <c r="I728" s="2">
        <v>0.6</v>
      </c>
      <c r="J728" s="2" t="s">
        <v>4433</v>
      </c>
      <c r="K728" s="2" t="s">
        <v>4480</v>
      </c>
      <c r="L728" s="6">
        <v>1800</v>
      </c>
      <c r="M728" s="6" t="s">
        <v>2676</v>
      </c>
      <c r="Q728" s="7">
        <v>0.6</v>
      </c>
      <c r="R728" s="7" t="s">
        <v>2687</v>
      </c>
      <c r="T728" s="18"/>
      <c r="X728" s="5">
        <f>8+59/60+8.23/3600</f>
        <v>8.9856194444444437</v>
      </c>
      <c r="Y728" s="5">
        <f>-(79+32/60+48.72/3600)</f>
        <v>-79.546866666666659</v>
      </c>
      <c r="Z728" s="6">
        <v>27</v>
      </c>
      <c r="AA728" s="134" t="s">
        <v>6467</v>
      </c>
      <c r="AB728" s="7" t="s">
        <v>2685</v>
      </c>
    </row>
    <row r="729" spans="1:28" ht="21.75" customHeight="1" x14ac:dyDescent="0.2">
      <c r="A729" s="7" t="s">
        <v>2810</v>
      </c>
      <c r="B729" s="7" t="s">
        <v>2675</v>
      </c>
      <c r="C729" s="7" t="s">
        <v>2680</v>
      </c>
      <c r="D729" s="7" t="s">
        <v>2679</v>
      </c>
      <c r="E729" s="7" t="s">
        <v>263</v>
      </c>
      <c r="F729" s="7" t="s">
        <v>2683</v>
      </c>
      <c r="G729" s="7" t="s">
        <v>2682</v>
      </c>
      <c r="H729" s="1" t="s">
        <v>2681</v>
      </c>
      <c r="I729" s="2">
        <v>0.6</v>
      </c>
      <c r="J729" s="2" t="s">
        <v>4433</v>
      </c>
      <c r="K729" s="2" t="s">
        <v>4480</v>
      </c>
      <c r="L729" s="6">
        <v>1800</v>
      </c>
      <c r="M729" s="6" t="s">
        <v>2676</v>
      </c>
      <c r="Q729" s="7">
        <v>0.6</v>
      </c>
      <c r="R729" s="7" t="s">
        <v>2687</v>
      </c>
      <c r="T729" s="18"/>
      <c r="X729" s="5">
        <f>8+59/60+8.23/3600</f>
        <v>8.9856194444444437</v>
      </c>
      <c r="Y729" s="5">
        <f>-(79+32/60+48.72/3600)</f>
        <v>-79.546866666666659</v>
      </c>
      <c r="Z729" s="6">
        <v>27</v>
      </c>
      <c r="AA729" s="135"/>
      <c r="AB729" s="7" t="s">
        <v>2686</v>
      </c>
    </row>
    <row r="730" spans="1:28" s="8" customFormat="1" ht="21.75" customHeight="1" x14ac:dyDescent="0.2">
      <c r="A730" s="8" t="s">
        <v>7015</v>
      </c>
      <c r="B730" s="8" t="s">
        <v>7016</v>
      </c>
      <c r="C730" s="8" t="s">
        <v>7019</v>
      </c>
      <c r="D730" s="8" t="s">
        <v>7055</v>
      </c>
      <c r="E730" s="8" t="s">
        <v>398</v>
      </c>
      <c r="F730" s="8" t="s">
        <v>6049</v>
      </c>
      <c r="G730" s="8" t="s">
        <v>7018</v>
      </c>
      <c r="H730" s="3" t="s">
        <v>7017</v>
      </c>
      <c r="I730" s="123">
        <v>9.5000000000000001E-2</v>
      </c>
      <c r="J730" s="4" t="s">
        <v>4367</v>
      </c>
      <c r="K730" s="4" t="s">
        <v>4480</v>
      </c>
      <c r="L730" s="14"/>
      <c r="M730" s="14"/>
      <c r="N730" s="14"/>
      <c r="O730" s="110"/>
      <c r="P730" s="4"/>
      <c r="S730" s="8" t="s">
        <v>7068</v>
      </c>
      <c r="T730" s="9"/>
      <c r="X730" s="13">
        <v>68.5</v>
      </c>
      <c r="Y730" s="13">
        <v>20.25</v>
      </c>
      <c r="Z730" s="14">
        <v>640</v>
      </c>
      <c r="AA730" s="8" t="s">
        <v>7061</v>
      </c>
      <c r="AB730" s="8" t="s">
        <v>7067</v>
      </c>
    </row>
    <row r="731" spans="1:28" s="8" customFormat="1" ht="21.75" customHeight="1" x14ac:dyDescent="0.2">
      <c r="A731" s="8" t="s">
        <v>7015</v>
      </c>
      <c r="B731" s="8" t="s">
        <v>7016</v>
      </c>
      <c r="C731" s="8" t="s">
        <v>7019</v>
      </c>
      <c r="D731" s="8" t="s">
        <v>7055</v>
      </c>
      <c r="E731" s="8" t="s">
        <v>398</v>
      </c>
      <c r="F731" s="8" t="s">
        <v>6049</v>
      </c>
      <c r="G731" s="8" t="s">
        <v>7021</v>
      </c>
      <c r="H731" s="3" t="s">
        <v>7020</v>
      </c>
      <c r="I731" s="123">
        <v>1.6E-2</v>
      </c>
      <c r="J731" s="4" t="s">
        <v>4367</v>
      </c>
      <c r="K731" s="4" t="s">
        <v>4480</v>
      </c>
      <c r="L731" s="14"/>
      <c r="M731" s="14"/>
      <c r="N731" s="14"/>
      <c r="O731" s="110"/>
      <c r="P731" s="4"/>
      <c r="S731" s="8" t="s">
        <v>7068</v>
      </c>
      <c r="T731" s="9"/>
      <c r="X731" s="13">
        <v>68.5</v>
      </c>
      <c r="Y731" s="13">
        <v>20.25</v>
      </c>
      <c r="Z731" s="14">
        <v>640</v>
      </c>
    </row>
    <row r="732" spans="1:28" s="8" customFormat="1" ht="21.75" customHeight="1" x14ac:dyDescent="0.2">
      <c r="A732" s="8" t="s">
        <v>7015</v>
      </c>
      <c r="B732" s="8" t="s">
        <v>7016</v>
      </c>
      <c r="C732" s="8" t="s">
        <v>7019</v>
      </c>
      <c r="D732" s="8" t="s">
        <v>7056</v>
      </c>
      <c r="E732" s="8" t="s">
        <v>398</v>
      </c>
      <c r="F732" s="8" t="s">
        <v>7024</v>
      </c>
      <c r="G732" s="8" t="s">
        <v>7023</v>
      </c>
      <c r="H732" s="3" t="s">
        <v>7022</v>
      </c>
      <c r="I732" s="123">
        <v>3.3000000000000002E-2</v>
      </c>
      <c r="J732" s="4" t="s">
        <v>4367</v>
      </c>
      <c r="K732" s="4" t="s">
        <v>4480</v>
      </c>
      <c r="L732" s="14"/>
      <c r="M732" s="14"/>
      <c r="N732" s="14"/>
      <c r="O732" s="110"/>
      <c r="P732" s="4"/>
      <c r="S732" s="8" t="s">
        <v>7068</v>
      </c>
      <c r="T732" s="9"/>
      <c r="X732" s="13">
        <v>68.5</v>
      </c>
      <c r="Y732" s="13">
        <v>20.25</v>
      </c>
      <c r="Z732" s="14">
        <v>640</v>
      </c>
      <c r="AA732" s="19" t="s">
        <v>7054</v>
      </c>
    </row>
    <row r="733" spans="1:28" s="8" customFormat="1" ht="21.75" customHeight="1" x14ac:dyDescent="0.2">
      <c r="A733" s="8" t="s">
        <v>7015</v>
      </c>
      <c r="B733" s="8" t="s">
        <v>7016</v>
      </c>
      <c r="C733" s="8" t="s">
        <v>7019</v>
      </c>
      <c r="D733" s="8" t="s">
        <v>7057</v>
      </c>
      <c r="E733" s="8" t="s">
        <v>398</v>
      </c>
      <c r="F733" s="8" t="s">
        <v>62</v>
      </c>
      <c r="G733" s="8" t="s">
        <v>7026</v>
      </c>
      <c r="H733" s="3" t="s">
        <v>7025</v>
      </c>
      <c r="I733" s="123">
        <v>2.9000000000000001E-2</v>
      </c>
      <c r="J733" s="4" t="s">
        <v>4367</v>
      </c>
      <c r="K733" s="4" t="s">
        <v>4480</v>
      </c>
      <c r="L733" s="14"/>
      <c r="M733" s="14"/>
      <c r="N733" s="14"/>
      <c r="O733" s="110"/>
      <c r="P733" s="4"/>
      <c r="S733" s="8" t="s">
        <v>7068</v>
      </c>
      <c r="T733" s="9"/>
      <c r="X733" s="13">
        <v>68.5</v>
      </c>
      <c r="Y733" s="13">
        <v>20.25</v>
      </c>
      <c r="Z733" s="14">
        <v>640</v>
      </c>
      <c r="AA733" s="19" t="s">
        <v>7060</v>
      </c>
    </row>
    <row r="734" spans="1:28" s="8" customFormat="1" ht="21.75" customHeight="1" x14ac:dyDescent="0.2">
      <c r="A734" s="8" t="s">
        <v>7015</v>
      </c>
      <c r="B734" s="8" t="s">
        <v>7016</v>
      </c>
      <c r="C734" s="8" t="s">
        <v>7019</v>
      </c>
      <c r="D734" s="8" t="s">
        <v>7055</v>
      </c>
      <c r="E734" s="8" t="s">
        <v>398</v>
      </c>
      <c r="F734" s="8" t="s">
        <v>7029</v>
      </c>
      <c r="G734" s="8" t="s">
        <v>7028</v>
      </c>
      <c r="H734" s="3" t="s">
        <v>7027</v>
      </c>
      <c r="I734" s="123">
        <v>0.09</v>
      </c>
      <c r="J734" s="4" t="s">
        <v>4367</v>
      </c>
      <c r="K734" s="4" t="s">
        <v>4480</v>
      </c>
      <c r="L734" s="14"/>
      <c r="M734" s="14"/>
      <c r="N734" s="14"/>
      <c r="O734" s="110"/>
      <c r="P734" s="4"/>
      <c r="S734" s="8" t="s">
        <v>7068</v>
      </c>
      <c r="T734" s="9"/>
      <c r="X734" s="13">
        <v>68.5</v>
      </c>
      <c r="Y734" s="13">
        <v>20.25</v>
      </c>
      <c r="Z734" s="14">
        <v>640</v>
      </c>
      <c r="AA734" s="19" t="s">
        <v>7063</v>
      </c>
    </row>
    <row r="735" spans="1:28" s="8" customFormat="1" ht="21.75" customHeight="1" x14ac:dyDescent="0.2">
      <c r="A735" s="8" t="s">
        <v>7015</v>
      </c>
      <c r="B735" s="8" t="s">
        <v>7016</v>
      </c>
      <c r="C735" s="8" t="s">
        <v>7019</v>
      </c>
      <c r="D735" s="8" t="s">
        <v>7055</v>
      </c>
      <c r="E735" s="8" t="s">
        <v>233</v>
      </c>
      <c r="F735" s="8" t="s">
        <v>7032</v>
      </c>
      <c r="G735" s="8" t="s">
        <v>7031</v>
      </c>
      <c r="H735" s="3" t="s">
        <v>7030</v>
      </c>
      <c r="I735" s="123">
        <v>1.2999999999999999E-2</v>
      </c>
      <c r="J735" s="4" t="s">
        <v>4367</v>
      </c>
      <c r="K735" s="4" t="s">
        <v>4480</v>
      </c>
      <c r="L735" s="14"/>
      <c r="M735" s="14"/>
      <c r="N735" s="14"/>
      <c r="O735" s="110"/>
      <c r="P735" s="4"/>
      <c r="S735" s="8" t="s">
        <v>7068</v>
      </c>
      <c r="T735" s="9"/>
      <c r="X735" s="13">
        <v>68.5</v>
      </c>
      <c r="Y735" s="13">
        <v>20.25</v>
      </c>
      <c r="Z735" s="14">
        <v>640</v>
      </c>
      <c r="AA735" s="19" t="s">
        <v>7062</v>
      </c>
    </row>
    <row r="736" spans="1:28" s="8" customFormat="1" ht="21.75" customHeight="1" x14ac:dyDescent="0.2">
      <c r="A736" s="8" t="s">
        <v>7015</v>
      </c>
      <c r="B736" s="8" t="s">
        <v>7016</v>
      </c>
      <c r="C736" s="8" t="s">
        <v>7019</v>
      </c>
      <c r="D736" s="8" t="s">
        <v>7056</v>
      </c>
      <c r="E736" s="8" t="s">
        <v>398</v>
      </c>
      <c r="F736" s="8" t="s">
        <v>7035</v>
      </c>
      <c r="G736" s="8" t="s">
        <v>7034</v>
      </c>
      <c r="H736" s="3" t="s">
        <v>7033</v>
      </c>
      <c r="I736" s="123">
        <v>3.4000000000000002E-2</v>
      </c>
      <c r="J736" s="4" t="s">
        <v>4367</v>
      </c>
      <c r="K736" s="4" t="s">
        <v>4480</v>
      </c>
      <c r="L736" s="14"/>
      <c r="M736" s="14"/>
      <c r="N736" s="14"/>
      <c r="O736" s="110"/>
      <c r="P736" s="4"/>
      <c r="S736" s="8" t="s">
        <v>7068</v>
      </c>
      <c r="T736" s="9"/>
      <c r="X736" s="13">
        <v>68.5</v>
      </c>
      <c r="Y736" s="13">
        <v>20.25</v>
      </c>
      <c r="Z736" s="14">
        <v>640</v>
      </c>
      <c r="AA736" s="19"/>
    </row>
    <row r="737" spans="1:28" s="8" customFormat="1" ht="21.75" customHeight="1" x14ac:dyDescent="0.2">
      <c r="A737" s="8" t="s">
        <v>7015</v>
      </c>
      <c r="B737" s="8" t="s">
        <v>7016</v>
      </c>
      <c r="C737" s="8" t="s">
        <v>7019</v>
      </c>
      <c r="D737" s="8" t="s">
        <v>7057</v>
      </c>
      <c r="E737" s="8" t="s">
        <v>398</v>
      </c>
      <c r="F737" s="8" t="s">
        <v>7035</v>
      </c>
      <c r="G737" s="8" t="s">
        <v>7034</v>
      </c>
      <c r="H737" s="3" t="s">
        <v>7033</v>
      </c>
      <c r="I737" s="123">
        <v>3.9E-2</v>
      </c>
      <c r="J737" s="4" t="s">
        <v>4367</v>
      </c>
      <c r="K737" s="4" t="s">
        <v>4480</v>
      </c>
      <c r="L737" s="14"/>
      <c r="M737" s="14"/>
      <c r="N737" s="14"/>
      <c r="O737" s="110"/>
      <c r="P737" s="4"/>
      <c r="S737" s="8" t="s">
        <v>7068</v>
      </c>
      <c r="T737" s="9"/>
      <c r="X737" s="13">
        <v>68.5</v>
      </c>
      <c r="Y737" s="13">
        <v>20.25</v>
      </c>
      <c r="Z737" s="14">
        <v>640</v>
      </c>
      <c r="AA737" s="19"/>
    </row>
    <row r="738" spans="1:28" s="63" customFormat="1" ht="21.75" customHeight="1" x14ac:dyDescent="0.2">
      <c r="A738" s="63" t="s">
        <v>7015</v>
      </c>
      <c r="B738" s="63" t="s">
        <v>7016</v>
      </c>
      <c r="C738" s="63" t="s">
        <v>7019</v>
      </c>
      <c r="D738" s="63" t="s">
        <v>7058</v>
      </c>
      <c r="E738" s="63" t="s">
        <v>398</v>
      </c>
      <c r="F738" s="63" t="s">
        <v>6049</v>
      </c>
      <c r="G738" s="63" t="s">
        <v>7036</v>
      </c>
      <c r="H738" s="64" t="s">
        <v>7037</v>
      </c>
      <c r="I738" s="124">
        <v>2.3E-2</v>
      </c>
      <c r="J738" s="65" t="s">
        <v>4367</v>
      </c>
      <c r="K738" s="65" t="s">
        <v>4480</v>
      </c>
      <c r="L738" s="67"/>
      <c r="M738" s="67"/>
      <c r="N738" s="67"/>
      <c r="O738" s="119"/>
      <c r="P738" s="65"/>
      <c r="S738" s="63" t="s">
        <v>7068</v>
      </c>
      <c r="T738" s="125"/>
      <c r="X738" s="69">
        <v>68.5</v>
      </c>
      <c r="Y738" s="69">
        <v>20.25</v>
      </c>
      <c r="Z738" s="67">
        <v>640</v>
      </c>
      <c r="AA738" s="126"/>
    </row>
    <row r="739" spans="1:28" s="8" customFormat="1" ht="21.75" customHeight="1" x14ac:dyDescent="0.2">
      <c r="A739" s="8" t="s">
        <v>7015</v>
      </c>
      <c r="B739" s="8" t="s">
        <v>7016</v>
      </c>
      <c r="C739" s="8" t="s">
        <v>7019</v>
      </c>
      <c r="D739" s="8" t="s">
        <v>7056</v>
      </c>
      <c r="E739" s="8" t="s">
        <v>398</v>
      </c>
      <c r="F739" s="8" t="s">
        <v>6049</v>
      </c>
      <c r="G739" s="8" t="s">
        <v>7039</v>
      </c>
      <c r="H739" s="3" t="s">
        <v>7038</v>
      </c>
      <c r="I739" s="123">
        <v>1.0999999999999999E-2</v>
      </c>
      <c r="J739" s="4" t="s">
        <v>4367</v>
      </c>
      <c r="K739" s="4" t="s">
        <v>4480</v>
      </c>
      <c r="L739" s="14"/>
      <c r="M739" s="14"/>
      <c r="N739" s="14"/>
      <c r="O739" s="110"/>
      <c r="P739" s="4"/>
      <c r="S739" s="8" t="s">
        <v>7068</v>
      </c>
      <c r="T739" s="9"/>
      <c r="X739" s="13">
        <v>68.5</v>
      </c>
      <c r="Y739" s="13">
        <v>20.25</v>
      </c>
      <c r="Z739" s="14">
        <v>640</v>
      </c>
      <c r="AA739" s="19"/>
    </row>
    <row r="740" spans="1:28" s="8" customFormat="1" ht="21.75" customHeight="1" x14ac:dyDescent="0.2">
      <c r="A740" s="8" t="s">
        <v>7015</v>
      </c>
      <c r="B740" s="8" t="s">
        <v>7016</v>
      </c>
      <c r="C740" s="8" t="s">
        <v>7019</v>
      </c>
      <c r="D740" s="8" t="s">
        <v>7055</v>
      </c>
      <c r="E740" s="8" t="s">
        <v>233</v>
      </c>
      <c r="F740" s="8" t="s">
        <v>7032</v>
      </c>
      <c r="G740" s="8" t="s">
        <v>7041</v>
      </c>
      <c r="H740" s="3" t="s">
        <v>7040</v>
      </c>
      <c r="I740" s="123">
        <v>2.9000000000000001E-2</v>
      </c>
      <c r="J740" s="4" t="s">
        <v>4367</v>
      </c>
      <c r="K740" s="4" t="s">
        <v>4480</v>
      </c>
      <c r="L740" s="14"/>
      <c r="M740" s="14"/>
      <c r="N740" s="14"/>
      <c r="O740" s="110"/>
      <c r="P740" s="4"/>
      <c r="S740" s="8" t="s">
        <v>7068</v>
      </c>
      <c r="T740" s="9"/>
      <c r="X740" s="13">
        <v>68.5</v>
      </c>
      <c r="Y740" s="13">
        <v>20.25</v>
      </c>
      <c r="Z740" s="14">
        <v>640</v>
      </c>
      <c r="AA740" s="19"/>
    </row>
    <row r="741" spans="1:28" s="8" customFormat="1" ht="21.75" customHeight="1" x14ac:dyDescent="0.2">
      <c r="A741" s="8" t="s">
        <v>7015</v>
      </c>
      <c r="B741" s="8" t="s">
        <v>7016</v>
      </c>
      <c r="C741" s="8" t="s">
        <v>7019</v>
      </c>
      <c r="D741" s="8" t="s">
        <v>7059</v>
      </c>
      <c r="E741" s="8" t="s">
        <v>398</v>
      </c>
      <c r="F741" s="8" t="s">
        <v>7043</v>
      </c>
      <c r="G741" s="8" t="s">
        <v>6053</v>
      </c>
      <c r="H741" s="3" t="s">
        <v>7042</v>
      </c>
      <c r="I741" s="123">
        <v>2.1000000000000001E-2</v>
      </c>
      <c r="J741" s="4" t="s">
        <v>4367</v>
      </c>
      <c r="K741" s="4" t="s">
        <v>4480</v>
      </c>
      <c r="L741" s="14"/>
      <c r="M741" s="14"/>
      <c r="N741" s="14"/>
      <c r="O741" s="110"/>
      <c r="P741" s="4"/>
      <c r="S741" s="8" t="s">
        <v>7068</v>
      </c>
      <c r="T741" s="9"/>
      <c r="X741" s="13">
        <v>68.348600000000005</v>
      </c>
      <c r="Y741" s="13">
        <v>18.808299999999999</v>
      </c>
      <c r="Z741" s="14">
        <v>385</v>
      </c>
      <c r="AA741" s="19" t="s">
        <v>7053</v>
      </c>
      <c r="AB741" s="8" t="s">
        <v>7066</v>
      </c>
    </row>
    <row r="742" spans="1:28" s="8" customFormat="1" ht="21.75" customHeight="1" x14ac:dyDescent="0.2">
      <c r="A742" s="8" t="s">
        <v>7015</v>
      </c>
      <c r="B742" s="8" t="s">
        <v>7016</v>
      </c>
      <c r="C742" s="8" t="s">
        <v>7019</v>
      </c>
      <c r="D742" s="8" t="s">
        <v>7057</v>
      </c>
      <c r="E742" s="8" t="s">
        <v>398</v>
      </c>
      <c r="F742" s="8" t="s">
        <v>6049</v>
      </c>
      <c r="G742" s="8" t="s">
        <v>6053</v>
      </c>
      <c r="H742" s="3" t="s">
        <v>7042</v>
      </c>
      <c r="I742" s="123">
        <v>1.4999999999999999E-2</v>
      </c>
      <c r="J742" s="4" t="s">
        <v>4367</v>
      </c>
      <c r="K742" s="4" t="s">
        <v>4480</v>
      </c>
      <c r="L742" s="14"/>
      <c r="M742" s="14"/>
      <c r="N742" s="14"/>
      <c r="O742" s="110"/>
      <c r="P742" s="4"/>
      <c r="S742" s="8" t="s">
        <v>7068</v>
      </c>
      <c r="T742" s="9"/>
      <c r="X742" s="13">
        <v>68.5</v>
      </c>
      <c r="Y742" s="13">
        <v>20.25</v>
      </c>
      <c r="Z742" s="14">
        <v>640</v>
      </c>
      <c r="AA742" s="19"/>
    </row>
    <row r="743" spans="1:28" s="8" customFormat="1" ht="21.75" customHeight="1" x14ac:dyDescent="0.2">
      <c r="A743" s="8" t="s">
        <v>7015</v>
      </c>
      <c r="B743" s="8" t="s">
        <v>7016</v>
      </c>
      <c r="C743" s="8" t="s">
        <v>7019</v>
      </c>
      <c r="D743" s="8" t="s">
        <v>7057</v>
      </c>
      <c r="E743" s="8" t="s">
        <v>280</v>
      </c>
      <c r="F743" s="8" t="s">
        <v>7046</v>
      </c>
      <c r="G743" s="8" t="s">
        <v>7045</v>
      </c>
      <c r="H743" s="3" t="s">
        <v>7044</v>
      </c>
      <c r="I743" s="123">
        <v>1.7999999999999999E-2</v>
      </c>
      <c r="J743" s="4" t="s">
        <v>4367</v>
      </c>
      <c r="K743" s="4" t="s">
        <v>4480</v>
      </c>
      <c r="L743" s="14"/>
      <c r="M743" s="14"/>
      <c r="N743" s="14"/>
      <c r="O743" s="110"/>
      <c r="P743" s="4"/>
      <c r="S743" s="8" t="s">
        <v>7068</v>
      </c>
      <c r="T743" s="9"/>
      <c r="X743" s="13">
        <v>68.5</v>
      </c>
      <c r="Y743" s="13">
        <v>20.25</v>
      </c>
      <c r="Z743" s="14">
        <v>640</v>
      </c>
      <c r="AA743" s="19"/>
    </row>
    <row r="744" spans="1:28" s="8" customFormat="1" ht="21.75" customHeight="1" x14ac:dyDescent="0.2">
      <c r="A744" s="8" t="s">
        <v>7015</v>
      </c>
      <c r="B744" s="8" t="s">
        <v>7016</v>
      </c>
      <c r="C744" s="8" t="s">
        <v>7019</v>
      </c>
      <c r="D744" s="8" t="s">
        <v>7056</v>
      </c>
      <c r="E744" s="8" t="s">
        <v>398</v>
      </c>
      <c r="F744" s="8" t="s">
        <v>7043</v>
      </c>
      <c r="G744" s="8" t="s">
        <v>7048</v>
      </c>
      <c r="H744" s="3" t="s">
        <v>7047</v>
      </c>
      <c r="I744" s="123">
        <v>4.5999999999999999E-2</v>
      </c>
      <c r="J744" s="4" t="s">
        <v>4367</v>
      </c>
      <c r="K744" s="4" t="s">
        <v>4480</v>
      </c>
      <c r="L744" s="14"/>
      <c r="M744" s="14"/>
      <c r="N744" s="14"/>
      <c r="O744" s="110"/>
      <c r="P744" s="4"/>
      <c r="S744" s="8" t="s">
        <v>7068</v>
      </c>
      <c r="T744" s="9"/>
      <c r="X744" s="13">
        <v>68.5</v>
      </c>
      <c r="Y744" s="13">
        <v>20.25</v>
      </c>
      <c r="Z744" s="14">
        <v>640</v>
      </c>
      <c r="AA744" s="19" t="s">
        <v>7065</v>
      </c>
    </row>
    <row r="745" spans="1:28" s="8" customFormat="1" ht="21.75" customHeight="1" x14ac:dyDescent="0.2">
      <c r="A745" s="8" t="s">
        <v>7015</v>
      </c>
      <c r="B745" s="8" t="s">
        <v>7016</v>
      </c>
      <c r="C745" s="8" t="s">
        <v>7019</v>
      </c>
      <c r="D745" s="8" t="s">
        <v>7059</v>
      </c>
      <c r="E745" s="8" t="s">
        <v>398</v>
      </c>
      <c r="F745" s="8" t="s">
        <v>6049</v>
      </c>
      <c r="G745" s="8" t="s">
        <v>7050</v>
      </c>
      <c r="H745" s="3" t="s">
        <v>7049</v>
      </c>
      <c r="I745" s="123">
        <v>1.4999999999999999E-2</v>
      </c>
      <c r="J745" s="4" t="s">
        <v>4367</v>
      </c>
      <c r="K745" s="4" t="s">
        <v>4480</v>
      </c>
      <c r="L745" s="14"/>
      <c r="M745" s="14"/>
      <c r="N745" s="14"/>
      <c r="O745" s="110"/>
      <c r="P745" s="4"/>
      <c r="S745" s="8" t="s">
        <v>7068</v>
      </c>
      <c r="T745" s="9"/>
      <c r="X745" s="13">
        <v>68.348600000000005</v>
      </c>
      <c r="Y745" s="13">
        <v>18.808299999999999</v>
      </c>
      <c r="Z745" s="14">
        <v>385</v>
      </c>
      <c r="AA745" s="19"/>
    </row>
    <row r="746" spans="1:28" s="8" customFormat="1" ht="21.75" customHeight="1" x14ac:dyDescent="0.2">
      <c r="A746" s="8" t="s">
        <v>7015</v>
      </c>
      <c r="B746" s="8" t="s">
        <v>7016</v>
      </c>
      <c r="C746" s="8" t="s">
        <v>7019</v>
      </c>
      <c r="D746" s="8" t="s">
        <v>7057</v>
      </c>
      <c r="E746" s="8" t="s">
        <v>398</v>
      </c>
      <c r="F746" s="8" t="s">
        <v>6049</v>
      </c>
      <c r="G746" s="8" t="s">
        <v>7050</v>
      </c>
      <c r="H746" s="3" t="s">
        <v>7049</v>
      </c>
      <c r="I746" s="123">
        <v>1.9E-2</v>
      </c>
      <c r="J746" s="4" t="s">
        <v>4367</v>
      </c>
      <c r="K746" s="4" t="s">
        <v>4480</v>
      </c>
      <c r="L746" s="14"/>
      <c r="M746" s="14"/>
      <c r="N746" s="14"/>
      <c r="O746" s="110"/>
      <c r="P746" s="4"/>
      <c r="S746" s="8" t="s">
        <v>7068</v>
      </c>
      <c r="T746" s="9"/>
      <c r="X746" s="13">
        <v>68.5</v>
      </c>
      <c r="Y746" s="13">
        <v>20.25</v>
      </c>
      <c r="Z746" s="14">
        <v>640</v>
      </c>
      <c r="AA746" s="19" t="s">
        <v>7064</v>
      </c>
    </row>
    <row r="747" spans="1:28" s="8" customFormat="1" ht="21.75" customHeight="1" x14ac:dyDescent="0.2">
      <c r="A747" s="8" t="s">
        <v>7015</v>
      </c>
      <c r="B747" s="8" t="s">
        <v>7016</v>
      </c>
      <c r="C747" s="8" t="s">
        <v>7019</v>
      </c>
      <c r="D747" s="8" t="s">
        <v>7056</v>
      </c>
      <c r="E747" s="8" t="s">
        <v>280</v>
      </c>
      <c r="F747" s="8" t="s">
        <v>214</v>
      </c>
      <c r="G747" s="8" t="s">
        <v>7052</v>
      </c>
      <c r="H747" s="3" t="s">
        <v>7051</v>
      </c>
      <c r="I747" s="123">
        <v>7.0000000000000001E-3</v>
      </c>
      <c r="J747" s="4" t="s">
        <v>4367</v>
      </c>
      <c r="K747" s="4" t="s">
        <v>4480</v>
      </c>
      <c r="L747" s="14"/>
      <c r="M747" s="14"/>
      <c r="N747" s="14"/>
      <c r="O747" s="110"/>
      <c r="P747" s="4"/>
      <c r="S747" s="8" t="s">
        <v>7068</v>
      </c>
      <c r="T747" s="9"/>
      <c r="X747" s="13">
        <v>68.5</v>
      </c>
      <c r="Y747" s="13">
        <v>20.25</v>
      </c>
      <c r="Z747" s="14">
        <v>640</v>
      </c>
      <c r="AA747" s="19"/>
    </row>
    <row r="748" spans="1:28" ht="21.75" customHeight="1" x14ac:dyDescent="0.2">
      <c r="A748" s="7" t="s">
        <v>4729</v>
      </c>
      <c r="B748" s="7" t="s">
        <v>4730</v>
      </c>
      <c r="C748" s="7" t="s">
        <v>1901</v>
      </c>
      <c r="D748" s="7" t="s">
        <v>4734</v>
      </c>
      <c r="E748" s="7" t="s">
        <v>4735</v>
      </c>
      <c r="F748" s="7" t="s">
        <v>212</v>
      </c>
      <c r="H748" s="1" t="s">
        <v>4738</v>
      </c>
      <c r="I748" s="2">
        <v>0.5</v>
      </c>
      <c r="J748" s="2" t="s">
        <v>4731</v>
      </c>
      <c r="K748" s="2" t="s">
        <v>4410</v>
      </c>
      <c r="L748" s="6" t="s">
        <v>4732</v>
      </c>
      <c r="O748" s="45" t="s">
        <v>4737</v>
      </c>
      <c r="P748" s="2" t="s">
        <v>4733</v>
      </c>
      <c r="Q748" s="7">
        <v>0.2</v>
      </c>
      <c r="T748" s="18"/>
      <c r="X748" s="5">
        <v>31.558599999999998</v>
      </c>
      <c r="Y748" s="5">
        <v>-87.489500000000007</v>
      </c>
      <c r="Z748" s="6">
        <v>11</v>
      </c>
      <c r="AA748" s="7" t="s">
        <v>4736</v>
      </c>
      <c r="AB748" s="7" t="s">
        <v>4739</v>
      </c>
    </row>
    <row r="749" spans="1:28" s="8" customFormat="1" ht="21.75" customHeight="1" x14ac:dyDescent="0.2">
      <c r="A749" s="8" t="s">
        <v>4985</v>
      </c>
      <c r="B749" s="8" t="s">
        <v>4989</v>
      </c>
      <c r="C749" s="8" t="s">
        <v>116</v>
      </c>
      <c r="D749" s="8" t="s">
        <v>4990</v>
      </c>
      <c r="E749" s="8" t="s">
        <v>4176</v>
      </c>
      <c r="F749" s="8" t="s">
        <v>62</v>
      </c>
      <c r="G749" s="8" t="s">
        <v>4992</v>
      </c>
      <c r="H749" s="3" t="s">
        <v>2815</v>
      </c>
      <c r="I749" s="4">
        <v>0.8</v>
      </c>
      <c r="J749" s="4" t="s">
        <v>5001</v>
      </c>
      <c r="K749" s="4" t="s">
        <v>4410</v>
      </c>
      <c r="L749" s="14">
        <v>870</v>
      </c>
      <c r="M749" s="14" t="s">
        <v>4988</v>
      </c>
      <c r="N749" s="14"/>
      <c r="O749" s="110" t="s">
        <v>4986</v>
      </c>
      <c r="P749" s="4"/>
      <c r="R749" s="8" t="s">
        <v>4987</v>
      </c>
      <c r="T749" s="9"/>
      <c r="W749" s="8" t="s">
        <v>4990</v>
      </c>
      <c r="X749" s="13">
        <v>-6.8315999999999999</v>
      </c>
      <c r="Y749" s="13">
        <f>37+38/60</f>
        <v>37.633333333333333</v>
      </c>
      <c r="Z749" s="14">
        <v>496</v>
      </c>
      <c r="AA749" s="19"/>
      <c r="AB749" s="8" t="s">
        <v>5002</v>
      </c>
    </row>
    <row r="750" spans="1:28" s="8" customFormat="1" ht="21.75" customHeight="1" x14ac:dyDescent="0.2">
      <c r="A750" s="8" t="s">
        <v>4985</v>
      </c>
      <c r="B750" s="8" t="s">
        <v>4989</v>
      </c>
      <c r="C750" s="8" t="s">
        <v>116</v>
      </c>
      <c r="D750" s="8" t="s">
        <v>4991</v>
      </c>
      <c r="E750" s="8" t="s">
        <v>263</v>
      </c>
      <c r="F750" s="8" t="s">
        <v>4932</v>
      </c>
      <c r="G750" s="8" t="s">
        <v>4996</v>
      </c>
      <c r="H750" s="3" t="s">
        <v>4993</v>
      </c>
      <c r="I750" s="4">
        <v>0.9</v>
      </c>
      <c r="J750" s="4" t="s">
        <v>5001</v>
      </c>
      <c r="K750" s="4" t="s">
        <v>4410</v>
      </c>
      <c r="L750" s="14">
        <v>870</v>
      </c>
      <c r="M750" s="14" t="s">
        <v>4988</v>
      </c>
      <c r="N750" s="14"/>
      <c r="O750" s="110" t="s">
        <v>4986</v>
      </c>
      <c r="P750" s="4"/>
      <c r="R750" s="8" t="s">
        <v>4987</v>
      </c>
      <c r="T750" s="9"/>
      <c r="W750" s="8" t="s">
        <v>4991</v>
      </c>
      <c r="X750" s="13">
        <v>-6.8376000000000001</v>
      </c>
      <c r="Y750" s="13">
        <v>37.630800000000001</v>
      </c>
      <c r="Z750" s="14">
        <v>498</v>
      </c>
      <c r="AA750" s="19"/>
      <c r="AB750" s="8" t="s">
        <v>5002</v>
      </c>
    </row>
    <row r="751" spans="1:28" s="8" customFormat="1" ht="21.75" customHeight="1" x14ac:dyDescent="0.2">
      <c r="A751" s="8" t="s">
        <v>4985</v>
      </c>
      <c r="B751" s="8" t="s">
        <v>4989</v>
      </c>
      <c r="C751" s="8" t="s">
        <v>116</v>
      </c>
      <c r="D751" s="8" t="s">
        <v>4991</v>
      </c>
      <c r="E751" s="8" t="s">
        <v>263</v>
      </c>
      <c r="F751" s="8" t="s">
        <v>212</v>
      </c>
      <c r="G751" s="8" t="s">
        <v>4997</v>
      </c>
      <c r="H751" s="3" t="s">
        <v>1831</v>
      </c>
      <c r="I751" s="4">
        <v>1.4</v>
      </c>
      <c r="J751" s="4" t="s">
        <v>5001</v>
      </c>
      <c r="K751" s="4" t="s">
        <v>4410</v>
      </c>
      <c r="L751" s="14">
        <v>870</v>
      </c>
      <c r="M751" s="14" t="s">
        <v>4988</v>
      </c>
      <c r="N751" s="14"/>
      <c r="O751" s="110" t="s">
        <v>4986</v>
      </c>
      <c r="P751" s="4"/>
      <c r="R751" s="8" t="s">
        <v>4987</v>
      </c>
      <c r="T751" s="9"/>
      <c r="W751" s="8" t="s">
        <v>4991</v>
      </c>
      <c r="X751" s="13">
        <v>-6.8376000000000001</v>
      </c>
      <c r="Y751" s="13">
        <v>37.627600000000001</v>
      </c>
      <c r="Z751" s="14">
        <v>498</v>
      </c>
      <c r="AA751" s="19"/>
      <c r="AB751" s="8" t="s">
        <v>5004</v>
      </c>
    </row>
    <row r="752" spans="1:28" s="8" customFormat="1" ht="21.75" customHeight="1" x14ac:dyDescent="0.2">
      <c r="A752" s="8" t="s">
        <v>4985</v>
      </c>
      <c r="B752" s="8" t="s">
        <v>4989</v>
      </c>
      <c r="C752" s="8" t="s">
        <v>116</v>
      </c>
      <c r="D752" s="8" t="s">
        <v>4991</v>
      </c>
      <c r="E752" s="8" t="s">
        <v>263</v>
      </c>
      <c r="F752" s="8" t="s">
        <v>4932</v>
      </c>
      <c r="G752" s="8" t="s">
        <v>4998</v>
      </c>
      <c r="H752" s="3" t="s">
        <v>4994</v>
      </c>
      <c r="I752" s="4">
        <v>1.5</v>
      </c>
      <c r="J752" s="4" t="s">
        <v>5001</v>
      </c>
      <c r="K752" s="4" t="s">
        <v>4410</v>
      </c>
      <c r="L752" s="14">
        <v>870</v>
      </c>
      <c r="M752" s="14" t="s">
        <v>4988</v>
      </c>
      <c r="N752" s="14"/>
      <c r="O752" s="110" t="s">
        <v>4986</v>
      </c>
      <c r="P752" s="4"/>
      <c r="R752" s="8" t="s">
        <v>4987</v>
      </c>
      <c r="T752" s="9"/>
      <c r="W752" s="8" t="s">
        <v>4991</v>
      </c>
      <c r="X752" s="13">
        <v>-6.8418000000000001</v>
      </c>
      <c r="Y752" s="13">
        <v>37.6297</v>
      </c>
      <c r="Z752" s="14">
        <v>502</v>
      </c>
      <c r="AA752" s="19"/>
      <c r="AB752" s="8" t="s">
        <v>5003</v>
      </c>
    </row>
    <row r="753" spans="1:28" s="8" customFormat="1" ht="21.75" customHeight="1" x14ac:dyDescent="0.2">
      <c r="A753" s="8" t="s">
        <v>4985</v>
      </c>
      <c r="B753" s="8" t="s">
        <v>4989</v>
      </c>
      <c r="C753" s="8" t="s">
        <v>116</v>
      </c>
      <c r="D753" s="8" t="s">
        <v>4991</v>
      </c>
      <c r="E753" s="8" t="s">
        <v>5000</v>
      </c>
      <c r="F753" s="8" t="s">
        <v>4932</v>
      </c>
      <c r="G753" s="8" t="s">
        <v>4999</v>
      </c>
      <c r="H753" s="3" t="s">
        <v>4995</v>
      </c>
      <c r="I753" s="4">
        <v>1</v>
      </c>
      <c r="J753" s="4" t="s">
        <v>5001</v>
      </c>
      <c r="K753" s="4" t="s">
        <v>4410</v>
      </c>
      <c r="L753" s="14">
        <v>870</v>
      </c>
      <c r="M753" s="14" t="s">
        <v>4988</v>
      </c>
      <c r="N753" s="14"/>
      <c r="O753" s="110" t="s">
        <v>4986</v>
      </c>
      <c r="P753" s="4"/>
      <c r="R753" s="8" t="s">
        <v>4987</v>
      </c>
      <c r="T753" s="9"/>
      <c r="W753" s="8" t="s">
        <v>4991</v>
      </c>
      <c r="X753" s="13">
        <v>-6.8437000000000001</v>
      </c>
      <c r="Y753" s="13">
        <v>37.630099999999999</v>
      </c>
      <c r="Z753" s="14">
        <v>504</v>
      </c>
      <c r="AA753" s="19"/>
      <c r="AB753" s="8" t="s">
        <v>5002</v>
      </c>
    </row>
    <row r="754" spans="1:28" ht="21.75" customHeight="1" x14ac:dyDescent="0.2">
      <c r="A754" s="7" t="s">
        <v>7364</v>
      </c>
      <c r="B754" s="7" t="s">
        <v>7365</v>
      </c>
      <c r="C754" s="7" t="s">
        <v>2842</v>
      </c>
      <c r="D754" s="7" t="s">
        <v>7366</v>
      </c>
      <c r="E754" s="7" t="s">
        <v>734</v>
      </c>
      <c r="F754" s="7" t="s">
        <v>212</v>
      </c>
      <c r="G754" s="7" t="s">
        <v>7369</v>
      </c>
      <c r="H754" s="1" t="s">
        <v>7368</v>
      </c>
      <c r="I754" s="2" t="s">
        <v>2859</v>
      </c>
      <c r="J754" s="2" t="s">
        <v>4889</v>
      </c>
      <c r="K754" s="2" t="s">
        <v>4410</v>
      </c>
      <c r="L754" s="6">
        <v>1358</v>
      </c>
      <c r="O754" s="45" t="s">
        <v>1272</v>
      </c>
      <c r="T754" s="18"/>
      <c r="X754" s="5">
        <v>35.914999999999999</v>
      </c>
      <c r="Y754" s="5">
        <v>-84.390199999999993</v>
      </c>
      <c r="Z754" s="6">
        <v>303</v>
      </c>
      <c r="AA754" s="134" t="s">
        <v>7370</v>
      </c>
      <c r="AB754" s="134" t="s">
        <v>7371</v>
      </c>
    </row>
    <row r="755" spans="1:28" ht="21.75" customHeight="1" x14ac:dyDescent="0.2">
      <c r="A755" s="7" t="s">
        <v>7364</v>
      </c>
      <c r="B755" s="7" t="s">
        <v>7365</v>
      </c>
      <c r="C755" s="7" t="s">
        <v>2842</v>
      </c>
      <c r="D755" s="7" t="s">
        <v>7367</v>
      </c>
      <c r="E755" s="7" t="s">
        <v>734</v>
      </c>
      <c r="F755" s="7" t="s">
        <v>212</v>
      </c>
      <c r="G755" s="7" t="s">
        <v>7369</v>
      </c>
      <c r="H755" s="1" t="s">
        <v>7368</v>
      </c>
      <c r="I755" s="2" t="s">
        <v>2859</v>
      </c>
      <c r="J755" s="2" t="s">
        <v>4889</v>
      </c>
      <c r="K755" s="2" t="s">
        <v>4410</v>
      </c>
      <c r="L755" s="6">
        <v>1358</v>
      </c>
      <c r="O755" s="45" t="s">
        <v>1272</v>
      </c>
      <c r="T755" s="18"/>
      <c r="X755" s="5">
        <v>35.987499999999997</v>
      </c>
      <c r="Y755" s="5">
        <v>-84.285399999999996</v>
      </c>
      <c r="Z755" s="6">
        <v>300</v>
      </c>
      <c r="AA755" s="135"/>
      <c r="AB755" s="135"/>
    </row>
    <row r="756" spans="1:28" s="8" customFormat="1" ht="21.75" customHeight="1" x14ac:dyDescent="0.2">
      <c r="A756" s="8" t="s">
        <v>4741</v>
      </c>
      <c r="B756" s="8" t="s">
        <v>4742</v>
      </c>
      <c r="C756" s="8" t="s">
        <v>1839</v>
      </c>
      <c r="D756" s="8" t="s">
        <v>4745</v>
      </c>
      <c r="E756" s="8" t="s">
        <v>734</v>
      </c>
      <c r="F756" s="8" t="s">
        <v>212</v>
      </c>
      <c r="G756" s="8" t="s">
        <v>4751</v>
      </c>
      <c r="H756" s="3" t="s">
        <v>4748</v>
      </c>
      <c r="I756" s="4">
        <v>1.35</v>
      </c>
      <c r="J756" s="4" t="s">
        <v>4746</v>
      </c>
      <c r="K756" s="4" t="s">
        <v>4747</v>
      </c>
      <c r="L756" s="14">
        <v>1170</v>
      </c>
      <c r="M756" s="14" t="s">
        <v>2865</v>
      </c>
      <c r="N756" s="14"/>
      <c r="O756" s="110"/>
      <c r="P756" s="4"/>
      <c r="R756" s="8" t="s">
        <v>4743</v>
      </c>
      <c r="T756" s="9"/>
      <c r="U756" s="8" t="s">
        <v>4744</v>
      </c>
      <c r="V756" s="8">
        <v>1.5</v>
      </c>
      <c r="X756" s="13">
        <f>37+27/60</f>
        <v>37.450000000000003</v>
      </c>
      <c r="Y756" s="13">
        <f>-(83+8/60)</f>
        <v>-83.13333333333334</v>
      </c>
      <c r="Z756" s="14">
        <v>415</v>
      </c>
      <c r="AA756" s="19" t="s">
        <v>4750</v>
      </c>
      <c r="AB756" s="8" t="s">
        <v>4749</v>
      </c>
    </row>
    <row r="757" spans="1:28" ht="21.75" customHeight="1" x14ac:dyDescent="0.2">
      <c r="A757" s="7" t="s">
        <v>6462</v>
      </c>
      <c r="B757" s="7" t="s">
        <v>6463</v>
      </c>
      <c r="C757" s="7" t="s">
        <v>1839</v>
      </c>
      <c r="D757" s="7">
        <v>7</v>
      </c>
      <c r="E757" s="7" t="s">
        <v>33</v>
      </c>
      <c r="F757" s="7" t="s">
        <v>212</v>
      </c>
      <c r="G757" s="7" t="s">
        <v>6465</v>
      </c>
      <c r="H757" s="1" t="s">
        <v>6461</v>
      </c>
      <c r="I757" s="2">
        <v>0.98</v>
      </c>
      <c r="J757" s="2" t="s">
        <v>4367</v>
      </c>
      <c r="K757" s="2" t="s">
        <v>4386</v>
      </c>
      <c r="L757" s="6">
        <v>550</v>
      </c>
      <c r="O757" s="45" t="s">
        <v>6464</v>
      </c>
      <c r="R757" s="7" t="s">
        <v>2538</v>
      </c>
      <c r="T757" s="18"/>
      <c r="X757" s="5">
        <v>46.8444</v>
      </c>
      <c r="Y757" s="5">
        <v>19.162600000000001</v>
      </c>
      <c r="Z757" s="6">
        <v>94</v>
      </c>
      <c r="AA757" s="7" t="s">
        <v>6469</v>
      </c>
      <c r="AB757" s="7" t="s">
        <v>6466</v>
      </c>
    </row>
    <row r="758" spans="1:28" s="8" customFormat="1" ht="21.75" customHeight="1" x14ac:dyDescent="0.2">
      <c r="A758" s="8" t="s">
        <v>6543</v>
      </c>
      <c r="B758" s="8" t="s">
        <v>6544</v>
      </c>
      <c r="C758" s="8" t="s">
        <v>188</v>
      </c>
      <c r="D758" s="8" t="s">
        <v>6553</v>
      </c>
      <c r="E758" s="8" t="s">
        <v>398</v>
      </c>
      <c r="F758" s="8" t="s">
        <v>62</v>
      </c>
      <c r="G758" s="8" t="s">
        <v>6570</v>
      </c>
      <c r="H758" s="3" t="s">
        <v>6569</v>
      </c>
      <c r="I758" s="4">
        <v>1.25</v>
      </c>
      <c r="J758" s="4" t="s">
        <v>6545</v>
      </c>
      <c r="K758" s="4" t="s">
        <v>4386</v>
      </c>
      <c r="L758" s="14"/>
      <c r="M758" s="14"/>
      <c r="N758" s="14"/>
      <c r="O758" s="110" t="s">
        <v>6559</v>
      </c>
      <c r="P758" s="4"/>
      <c r="T758" s="9"/>
      <c r="X758" s="13">
        <v>37.2453</v>
      </c>
      <c r="Y758" s="13">
        <v>68.383399999999995</v>
      </c>
      <c r="Z758" s="14">
        <v>325</v>
      </c>
      <c r="AA758" s="22" t="s">
        <v>6557</v>
      </c>
      <c r="AB758" s="132" t="s">
        <v>6565</v>
      </c>
    </row>
    <row r="759" spans="1:28" s="8" customFormat="1" ht="21.75" customHeight="1" x14ac:dyDescent="0.2">
      <c r="A759" s="8" t="s">
        <v>6543</v>
      </c>
      <c r="B759" s="8" t="s">
        <v>6544</v>
      </c>
      <c r="C759" s="8" t="s">
        <v>188</v>
      </c>
      <c r="D759" s="8" t="s">
        <v>6553</v>
      </c>
      <c r="E759" s="8" t="s">
        <v>398</v>
      </c>
      <c r="F759" s="8" t="s">
        <v>62</v>
      </c>
      <c r="G759" s="8" t="s">
        <v>6571</v>
      </c>
      <c r="H759" s="3" t="s">
        <v>6550</v>
      </c>
      <c r="I759" s="4" t="s">
        <v>6551</v>
      </c>
      <c r="J759" s="4" t="s">
        <v>6545</v>
      </c>
      <c r="K759" s="4" t="s">
        <v>4480</v>
      </c>
      <c r="L759" s="14"/>
      <c r="M759" s="14"/>
      <c r="N759" s="14"/>
      <c r="O759" s="110" t="s">
        <v>6559</v>
      </c>
      <c r="P759" s="4"/>
      <c r="T759" s="9"/>
      <c r="X759" s="13">
        <v>37.2211</v>
      </c>
      <c r="Y759" s="13">
        <v>68.303600000000003</v>
      </c>
      <c r="Z759" s="14">
        <v>325</v>
      </c>
      <c r="AA759" s="22" t="s">
        <v>6552</v>
      </c>
      <c r="AB759" s="133"/>
    </row>
    <row r="760" spans="1:28" s="8" customFormat="1" ht="21.75" customHeight="1" x14ac:dyDescent="0.2">
      <c r="A760" s="8" t="s">
        <v>6543</v>
      </c>
      <c r="B760" s="8" t="s">
        <v>6544</v>
      </c>
      <c r="C760" s="8" t="s">
        <v>188</v>
      </c>
      <c r="D760" s="8" t="s">
        <v>6554</v>
      </c>
      <c r="E760" s="8" t="s">
        <v>398</v>
      </c>
      <c r="F760" s="8" t="s">
        <v>214</v>
      </c>
      <c r="H760" s="3" t="s">
        <v>6546</v>
      </c>
      <c r="I760" s="4">
        <v>2.4</v>
      </c>
      <c r="J760" s="4" t="s">
        <v>6545</v>
      </c>
      <c r="K760" s="4" t="s">
        <v>4386</v>
      </c>
      <c r="L760" s="14"/>
      <c r="M760" s="14"/>
      <c r="N760" s="14"/>
      <c r="O760" s="110" t="s">
        <v>6558</v>
      </c>
      <c r="P760" s="4"/>
      <c r="T760" s="9"/>
      <c r="X760" s="13">
        <v>37.212000000000003</v>
      </c>
      <c r="Y760" s="13">
        <v>68.523499999999999</v>
      </c>
      <c r="Z760" s="14">
        <v>325</v>
      </c>
      <c r="AA760" s="22" t="s">
        <v>6555</v>
      </c>
      <c r="AB760" s="19" t="s">
        <v>6556</v>
      </c>
    </row>
    <row r="761" spans="1:28" s="8" customFormat="1" ht="21.75" customHeight="1" x14ac:dyDescent="0.2">
      <c r="A761" s="8" t="s">
        <v>6543</v>
      </c>
      <c r="B761" s="8" t="s">
        <v>6544</v>
      </c>
      <c r="C761" s="8" t="s">
        <v>188</v>
      </c>
      <c r="D761" s="8" t="s">
        <v>6553</v>
      </c>
      <c r="E761" s="8" t="s">
        <v>734</v>
      </c>
      <c r="F761" s="8" t="s">
        <v>212</v>
      </c>
      <c r="H761" s="3" t="s">
        <v>6548</v>
      </c>
      <c r="I761" s="4" t="s">
        <v>1317</v>
      </c>
      <c r="J761" s="4" t="s">
        <v>6545</v>
      </c>
      <c r="K761" s="4" t="s">
        <v>4480</v>
      </c>
      <c r="L761" s="14"/>
      <c r="M761" s="14"/>
      <c r="N761" s="14"/>
      <c r="O761" s="110" t="s">
        <v>6559</v>
      </c>
      <c r="P761" s="4"/>
      <c r="T761" s="9"/>
      <c r="X761" s="13">
        <v>37.261800000000001</v>
      </c>
      <c r="Y761" s="13">
        <v>68.3643</v>
      </c>
      <c r="Z761" s="14">
        <v>330</v>
      </c>
      <c r="AA761" s="132" t="s">
        <v>6549</v>
      </c>
      <c r="AB761" s="138" t="s">
        <v>6575</v>
      </c>
    </row>
    <row r="762" spans="1:28" s="8" customFormat="1" ht="21.75" customHeight="1" x14ac:dyDescent="0.2">
      <c r="A762" s="8" t="s">
        <v>6543</v>
      </c>
      <c r="B762" s="8" t="s">
        <v>6544</v>
      </c>
      <c r="C762" s="8" t="s">
        <v>188</v>
      </c>
      <c r="D762" s="8" t="s">
        <v>6553</v>
      </c>
      <c r="E762" s="8" t="s">
        <v>6574</v>
      </c>
      <c r="F762" s="8" t="s">
        <v>1302</v>
      </c>
      <c r="G762" s="8" t="s">
        <v>6573</v>
      </c>
      <c r="H762" s="3" t="s">
        <v>6572</v>
      </c>
      <c r="I762" s="4" t="s">
        <v>1317</v>
      </c>
      <c r="J762" s="4" t="s">
        <v>6545</v>
      </c>
      <c r="K762" s="4" t="s">
        <v>4480</v>
      </c>
      <c r="L762" s="14"/>
      <c r="M762" s="14"/>
      <c r="N762" s="14"/>
      <c r="O762" s="110" t="s">
        <v>6559</v>
      </c>
      <c r="P762" s="4"/>
      <c r="T762" s="9"/>
      <c r="X762" s="13">
        <v>37.282600000000002</v>
      </c>
      <c r="Y762" s="13">
        <v>68.427999999999997</v>
      </c>
      <c r="Z762" s="14">
        <v>330</v>
      </c>
      <c r="AA762" s="133"/>
      <c r="AB762" s="138"/>
    </row>
    <row r="763" spans="1:28" s="8" customFormat="1" ht="21.75" customHeight="1" x14ac:dyDescent="0.2">
      <c r="A763" s="8" t="s">
        <v>6543</v>
      </c>
      <c r="B763" s="8" t="s">
        <v>6544</v>
      </c>
      <c r="C763" s="8" t="s">
        <v>188</v>
      </c>
      <c r="D763" s="8" t="s">
        <v>6566</v>
      </c>
      <c r="E763" s="8" t="s">
        <v>33</v>
      </c>
      <c r="F763" s="8" t="s">
        <v>212</v>
      </c>
      <c r="G763" s="8" t="s">
        <v>5825</v>
      </c>
      <c r="H763" s="3" t="s">
        <v>6564</v>
      </c>
      <c r="I763" s="4">
        <v>4</v>
      </c>
      <c r="J763" s="4" t="s">
        <v>6545</v>
      </c>
      <c r="K763" s="4" t="s">
        <v>4480</v>
      </c>
      <c r="L763" s="14"/>
      <c r="M763" s="14"/>
      <c r="N763" s="14"/>
      <c r="O763" s="110" t="s">
        <v>6567</v>
      </c>
      <c r="P763" s="4"/>
      <c r="T763" s="9"/>
      <c r="V763" s="8">
        <v>4</v>
      </c>
      <c r="X763" s="13">
        <v>37.169899999999998</v>
      </c>
      <c r="Y763" s="13">
        <v>68.287899999999993</v>
      </c>
      <c r="Z763" s="14">
        <v>338</v>
      </c>
      <c r="AA763" s="22" t="s">
        <v>6563</v>
      </c>
      <c r="AB763" s="19"/>
    </row>
    <row r="764" spans="1:28" s="8" customFormat="1" ht="21.75" customHeight="1" x14ac:dyDescent="0.2">
      <c r="A764" s="8" t="s">
        <v>6543</v>
      </c>
      <c r="B764" s="8" t="s">
        <v>6544</v>
      </c>
      <c r="C764" s="8" t="s">
        <v>188</v>
      </c>
      <c r="D764" s="8" t="s">
        <v>6562</v>
      </c>
      <c r="E764" s="8" t="s">
        <v>398</v>
      </c>
      <c r="F764" s="8" t="s">
        <v>6049</v>
      </c>
      <c r="H764" s="3" t="s">
        <v>6547</v>
      </c>
      <c r="I764" s="4">
        <v>0.62</v>
      </c>
      <c r="J764" s="4" t="s">
        <v>6545</v>
      </c>
      <c r="K764" s="4" t="s">
        <v>4386</v>
      </c>
      <c r="L764" s="14"/>
      <c r="M764" s="14"/>
      <c r="N764" s="14"/>
      <c r="O764" s="110" t="s">
        <v>6568</v>
      </c>
      <c r="P764" s="4"/>
      <c r="T764" s="9"/>
      <c r="X764" s="13">
        <v>37.223399999999998</v>
      </c>
      <c r="Y764" s="13">
        <v>68.285300000000007</v>
      </c>
      <c r="Z764" s="14">
        <v>395</v>
      </c>
      <c r="AA764" s="22" t="s">
        <v>6561</v>
      </c>
      <c r="AB764" s="8" t="s">
        <v>6560</v>
      </c>
    </row>
    <row r="765" spans="1:28" s="77" customFormat="1" ht="21.75" customHeight="1" x14ac:dyDescent="0.2">
      <c r="A765" s="77" t="s">
        <v>7444</v>
      </c>
      <c r="B765" s="77" t="s">
        <v>7447</v>
      </c>
      <c r="C765" s="77" t="s">
        <v>7445</v>
      </c>
      <c r="E765" s="77" t="s">
        <v>33</v>
      </c>
      <c r="F765" s="77" t="s">
        <v>174</v>
      </c>
      <c r="G765" s="77" t="s">
        <v>7612</v>
      </c>
      <c r="H765" s="78" t="s">
        <v>7446</v>
      </c>
      <c r="I765" s="80">
        <v>1</v>
      </c>
      <c r="J765" s="80" t="s">
        <v>4367</v>
      </c>
      <c r="K765" s="80" t="s">
        <v>4386</v>
      </c>
      <c r="L765" s="79"/>
      <c r="M765" s="79"/>
      <c r="N765" s="79"/>
      <c r="O765" s="111"/>
      <c r="P765" s="80"/>
      <c r="R765" s="77" t="s">
        <v>2953</v>
      </c>
      <c r="T765" s="89"/>
      <c r="X765" s="81"/>
      <c r="Y765" s="81"/>
      <c r="Z765" s="79"/>
      <c r="AA765" s="87"/>
      <c r="AB765" s="88" t="s">
        <v>7451</v>
      </c>
    </row>
    <row r="766" spans="1:28" s="90" customFormat="1" ht="21.75" customHeight="1" x14ac:dyDescent="0.2">
      <c r="A766" s="90" t="s">
        <v>7444</v>
      </c>
      <c r="B766" s="90" t="s">
        <v>7447</v>
      </c>
      <c r="C766" s="90" t="s">
        <v>7445</v>
      </c>
      <c r="E766" s="90" t="s">
        <v>734</v>
      </c>
      <c r="F766" s="90" t="s">
        <v>212</v>
      </c>
      <c r="G766" s="90" t="s">
        <v>7613</v>
      </c>
      <c r="H766" s="91" t="s">
        <v>7448</v>
      </c>
      <c r="I766" s="92">
        <v>2.5</v>
      </c>
      <c r="J766" s="92" t="s">
        <v>4367</v>
      </c>
      <c r="K766" s="92" t="s">
        <v>4386</v>
      </c>
      <c r="L766" s="93"/>
      <c r="M766" s="93"/>
      <c r="N766" s="93"/>
      <c r="O766" s="114"/>
      <c r="P766" s="92"/>
      <c r="R766" s="90" t="s">
        <v>2953</v>
      </c>
      <c r="T766" s="94"/>
      <c r="X766" s="95"/>
      <c r="Y766" s="95"/>
      <c r="Z766" s="93"/>
      <c r="AA766" s="96"/>
      <c r="AB766" s="97" t="s">
        <v>7465</v>
      </c>
    </row>
    <row r="767" spans="1:28" s="77" customFormat="1" ht="21.75" customHeight="1" x14ac:dyDescent="0.2">
      <c r="A767" s="77" t="s">
        <v>7444</v>
      </c>
      <c r="B767" s="77" t="s">
        <v>7447</v>
      </c>
      <c r="C767" s="77" t="s">
        <v>7445</v>
      </c>
      <c r="E767" s="77" t="s">
        <v>33</v>
      </c>
      <c r="F767" s="77" t="s">
        <v>212</v>
      </c>
      <c r="G767" s="77" t="s">
        <v>7614</v>
      </c>
      <c r="H767" s="78" t="s">
        <v>7449</v>
      </c>
      <c r="I767" s="80">
        <v>2</v>
      </c>
      <c r="J767" s="80" t="s">
        <v>4367</v>
      </c>
      <c r="K767" s="80" t="s">
        <v>4386</v>
      </c>
      <c r="L767" s="79"/>
      <c r="M767" s="79"/>
      <c r="N767" s="79"/>
      <c r="O767" s="111"/>
      <c r="P767" s="80"/>
      <c r="R767" s="77" t="s">
        <v>7450</v>
      </c>
      <c r="T767" s="89"/>
      <c r="X767" s="81"/>
      <c r="Y767" s="81"/>
      <c r="Z767" s="79"/>
      <c r="AA767" s="87"/>
      <c r="AB767" s="88" t="s">
        <v>7466</v>
      </c>
    </row>
    <row r="768" spans="1:28" s="77" customFormat="1" ht="21.75" customHeight="1" x14ac:dyDescent="0.2">
      <c r="A768" s="77" t="s">
        <v>7444</v>
      </c>
      <c r="B768" s="77" t="s">
        <v>7447</v>
      </c>
      <c r="C768" s="77" t="s">
        <v>7445</v>
      </c>
      <c r="E768" s="77" t="s">
        <v>33</v>
      </c>
      <c r="F768" s="77" t="s">
        <v>212</v>
      </c>
      <c r="G768" s="77" t="s">
        <v>7615</v>
      </c>
      <c r="H768" s="78" t="s">
        <v>7452</v>
      </c>
      <c r="I768" s="80">
        <v>2</v>
      </c>
      <c r="J768" s="80" t="s">
        <v>4367</v>
      </c>
      <c r="K768" s="80" t="s">
        <v>4386</v>
      </c>
      <c r="L768" s="79"/>
      <c r="M768" s="79"/>
      <c r="N768" s="79"/>
      <c r="O768" s="111"/>
      <c r="P768" s="80"/>
      <c r="R768" s="77" t="s">
        <v>3489</v>
      </c>
      <c r="T768" s="89"/>
      <c r="X768" s="81"/>
      <c r="Y768" s="81"/>
      <c r="Z768" s="79"/>
      <c r="AA768" s="87"/>
      <c r="AB768" s="88" t="s">
        <v>7467</v>
      </c>
    </row>
    <row r="769" spans="1:28" s="77" customFormat="1" ht="21.75" customHeight="1" x14ac:dyDescent="0.2">
      <c r="A769" s="77" t="s">
        <v>7444</v>
      </c>
      <c r="B769" s="77" t="s">
        <v>7447</v>
      </c>
      <c r="C769" s="77" t="s">
        <v>7445</v>
      </c>
      <c r="E769" s="77" t="s">
        <v>33</v>
      </c>
      <c r="F769" s="77" t="s">
        <v>1302</v>
      </c>
      <c r="G769" s="77" t="s">
        <v>7615</v>
      </c>
      <c r="H769" s="78" t="s">
        <v>7453</v>
      </c>
      <c r="I769" s="80">
        <v>1.2</v>
      </c>
      <c r="J769" s="80" t="s">
        <v>4367</v>
      </c>
      <c r="K769" s="80" t="s">
        <v>4386</v>
      </c>
      <c r="L769" s="79"/>
      <c r="M769" s="79"/>
      <c r="N769" s="79"/>
      <c r="O769" s="111"/>
      <c r="P769" s="80"/>
      <c r="R769" s="77" t="s">
        <v>3489</v>
      </c>
      <c r="T769" s="89"/>
      <c r="X769" s="81"/>
      <c r="Y769" s="81"/>
      <c r="Z769" s="79"/>
      <c r="AA769" s="87"/>
      <c r="AB769" s="88" t="s">
        <v>7468</v>
      </c>
    </row>
    <row r="770" spans="1:28" s="77" customFormat="1" ht="21.75" customHeight="1" x14ac:dyDescent="0.2">
      <c r="A770" s="77" t="s">
        <v>7444</v>
      </c>
      <c r="B770" s="77" t="s">
        <v>7447</v>
      </c>
      <c r="C770" s="77" t="s">
        <v>7445</v>
      </c>
      <c r="E770" s="77" t="s">
        <v>33</v>
      </c>
      <c r="F770" s="77" t="s">
        <v>212</v>
      </c>
      <c r="G770" s="77" t="s">
        <v>7616</v>
      </c>
      <c r="H770" s="78" t="s">
        <v>7454</v>
      </c>
      <c r="I770" s="80">
        <v>1.6</v>
      </c>
      <c r="J770" s="80" t="s">
        <v>4367</v>
      </c>
      <c r="K770" s="80" t="s">
        <v>4386</v>
      </c>
      <c r="L770" s="79"/>
      <c r="M770" s="79"/>
      <c r="N770" s="79"/>
      <c r="O770" s="111"/>
      <c r="P770" s="80"/>
      <c r="R770" s="77" t="s">
        <v>3489</v>
      </c>
      <c r="T770" s="89"/>
      <c r="X770" s="81"/>
      <c r="Y770" s="81"/>
      <c r="Z770" s="79"/>
      <c r="AA770" s="87"/>
      <c r="AB770" s="88" t="s">
        <v>7656</v>
      </c>
    </row>
    <row r="771" spans="1:28" s="77" customFormat="1" ht="21.75" customHeight="1" x14ac:dyDescent="0.2">
      <c r="A771" s="77" t="s">
        <v>7444</v>
      </c>
      <c r="B771" s="77" t="s">
        <v>7447</v>
      </c>
      <c r="C771" s="77" t="s">
        <v>7445</v>
      </c>
      <c r="E771" s="77" t="s">
        <v>33</v>
      </c>
      <c r="F771" s="77" t="s">
        <v>212</v>
      </c>
      <c r="G771" s="77" t="s">
        <v>7617</v>
      </c>
      <c r="H771" s="78" t="s">
        <v>7455</v>
      </c>
      <c r="I771" s="80">
        <v>2.4</v>
      </c>
      <c r="J771" s="80" t="s">
        <v>4367</v>
      </c>
      <c r="K771" s="80" t="s">
        <v>4386</v>
      </c>
      <c r="L771" s="79"/>
      <c r="M771" s="79"/>
      <c r="N771" s="79"/>
      <c r="O771" s="111"/>
      <c r="P771" s="80"/>
      <c r="R771" s="77" t="s">
        <v>2953</v>
      </c>
      <c r="T771" s="89"/>
      <c r="X771" s="81"/>
      <c r="Y771" s="81"/>
      <c r="Z771" s="79"/>
      <c r="AA771" s="87"/>
      <c r="AB771" s="88" t="s">
        <v>7657</v>
      </c>
    </row>
    <row r="772" spans="1:28" s="77" customFormat="1" ht="21.75" customHeight="1" x14ac:dyDescent="0.2">
      <c r="A772" s="77" t="s">
        <v>7444</v>
      </c>
      <c r="B772" s="77" t="s">
        <v>7447</v>
      </c>
      <c r="C772" s="77" t="s">
        <v>7445</v>
      </c>
      <c r="D772" s="106" t="s">
        <v>7672</v>
      </c>
      <c r="E772" s="77" t="s">
        <v>33</v>
      </c>
      <c r="F772" s="77" t="s">
        <v>212</v>
      </c>
      <c r="G772" s="77" t="s">
        <v>7619</v>
      </c>
      <c r="H772" s="78" t="s">
        <v>7618</v>
      </c>
      <c r="I772" s="80">
        <v>2.5</v>
      </c>
      <c r="J772" s="80" t="s">
        <v>4367</v>
      </c>
      <c r="K772" s="80" t="s">
        <v>4386</v>
      </c>
      <c r="L772" s="79"/>
      <c r="M772" s="79"/>
      <c r="N772" s="79"/>
      <c r="O772" s="111"/>
      <c r="P772" s="80"/>
      <c r="R772" s="77" t="s">
        <v>3489</v>
      </c>
      <c r="T772" s="89"/>
      <c r="X772" s="81">
        <v>31.597999999999999</v>
      </c>
      <c r="Y772" s="81">
        <v>130.5506</v>
      </c>
      <c r="Z772" s="79">
        <v>91</v>
      </c>
      <c r="AA772" s="87"/>
      <c r="AB772" s="88" t="s">
        <v>7673</v>
      </c>
    </row>
    <row r="773" spans="1:28" s="77" customFormat="1" ht="21.75" customHeight="1" x14ac:dyDescent="0.2">
      <c r="A773" s="77" t="s">
        <v>7444</v>
      </c>
      <c r="B773" s="77" t="s">
        <v>7447</v>
      </c>
      <c r="C773" s="77" t="s">
        <v>7445</v>
      </c>
      <c r="E773" s="77" t="s">
        <v>33</v>
      </c>
      <c r="F773" s="77" t="s">
        <v>212</v>
      </c>
      <c r="G773" s="77" t="s">
        <v>7620</v>
      </c>
      <c r="H773" s="78" t="s">
        <v>7456</v>
      </c>
      <c r="I773" s="80">
        <v>0.6</v>
      </c>
      <c r="J773" s="80" t="s">
        <v>4367</v>
      </c>
      <c r="K773" s="80" t="s">
        <v>4386</v>
      </c>
      <c r="L773" s="79"/>
      <c r="M773" s="79"/>
      <c r="N773" s="79"/>
      <c r="O773" s="111"/>
      <c r="P773" s="80"/>
      <c r="R773" s="77" t="s">
        <v>3865</v>
      </c>
      <c r="T773" s="89"/>
      <c r="X773" s="81"/>
      <c r="Y773" s="81"/>
      <c r="Z773" s="79"/>
      <c r="AA773" s="87"/>
      <c r="AB773" s="88" t="s">
        <v>7469</v>
      </c>
    </row>
    <row r="774" spans="1:28" s="77" customFormat="1" ht="21.75" customHeight="1" x14ac:dyDescent="0.2">
      <c r="A774" s="77" t="s">
        <v>7444</v>
      </c>
      <c r="B774" s="77" t="s">
        <v>7447</v>
      </c>
      <c r="C774" s="77" t="s">
        <v>7445</v>
      </c>
      <c r="D774" s="77" t="s">
        <v>7660</v>
      </c>
      <c r="E774" s="77" t="s">
        <v>33</v>
      </c>
      <c r="F774" s="77" t="s">
        <v>212</v>
      </c>
      <c r="G774" s="77" t="s">
        <v>7621</v>
      </c>
      <c r="H774" s="78" t="s">
        <v>7457</v>
      </c>
      <c r="I774" s="80">
        <v>3.2</v>
      </c>
      <c r="J774" s="80" t="s">
        <v>4367</v>
      </c>
      <c r="K774" s="80" t="s">
        <v>4386</v>
      </c>
      <c r="L774" s="79"/>
      <c r="M774" s="79"/>
      <c r="N774" s="79"/>
      <c r="O774" s="111"/>
      <c r="P774" s="80"/>
      <c r="R774" s="77" t="s">
        <v>7458</v>
      </c>
      <c r="T774" s="89"/>
      <c r="X774" s="81">
        <v>27.0702</v>
      </c>
      <c r="Y774" s="81">
        <v>142.21629999999999</v>
      </c>
      <c r="Z774" s="79">
        <v>237</v>
      </c>
      <c r="AA774" s="87"/>
      <c r="AB774" s="88" t="s">
        <v>7664</v>
      </c>
    </row>
    <row r="775" spans="1:28" s="77" customFormat="1" ht="21.75" customHeight="1" x14ac:dyDescent="0.2">
      <c r="A775" s="77" t="s">
        <v>7444</v>
      </c>
      <c r="B775" s="77" t="s">
        <v>7447</v>
      </c>
      <c r="C775" s="77" t="s">
        <v>7445</v>
      </c>
      <c r="E775" s="77" t="s">
        <v>33</v>
      </c>
      <c r="F775" s="77" t="s">
        <v>212</v>
      </c>
      <c r="G775" s="77" t="s">
        <v>7622</v>
      </c>
      <c r="H775" s="78" t="s">
        <v>7459</v>
      </c>
      <c r="I775" s="80">
        <v>1.8</v>
      </c>
      <c r="J775" s="80" t="s">
        <v>4367</v>
      </c>
      <c r="K775" s="80" t="s">
        <v>4386</v>
      </c>
      <c r="L775" s="79"/>
      <c r="M775" s="79"/>
      <c r="N775" s="79"/>
      <c r="O775" s="111"/>
      <c r="P775" s="80"/>
      <c r="R775" s="77" t="s">
        <v>3489</v>
      </c>
      <c r="T775" s="89"/>
      <c r="X775" s="81"/>
      <c r="Y775" s="81"/>
      <c r="Z775" s="79"/>
      <c r="AA775" s="87"/>
      <c r="AB775" s="77" t="s">
        <v>7470</v>
      </c>
    </row>
    <row r="776" spans="1:28" s="77" customFormat="1" ht="21.75" customHeight="1" x14ac:dyDescent="0.2">
      <c r="A776" s="77" t="s">
        <v>7444</v>
      </c>
      <c r="B776" s="77" t="s">
        <v>7447</v>
      </c>
      <c r="C776" s="77" t="s">
        <v>7445</v>
      </c>
      <c r="E776" s="77" t="s">
        <v>33</v>
      </c>
      <c r="F776" s="77" t="s">
        <v>212</v>
      </c>
      <c r="G776" s="77" t="s">
        <v>7623</v>
      </c>
      <c r="H776" s="78" t="s">
        <v>7460</v>
      </c>
      <c r="I776" s="80">
        <v>3.3</v>
      </c>
      <c r="J776" s="80" t="s">
        <v>4367</v>
      </c>
      <c r="K776" s="80" t="s">
        <v>4386</v>
      </c>
      <c r="L776" s="79"/>
      <c r="M776" s="79"/>
      <c r="N776" s="79"/>
      <c r="O776" s="111"/>
      <c r="P776" s="80"/>
      <c r="R776" s="77" t="s">
        <v>7477</v>
      </c>
      <c r="T776" s="89"/>
      <c r="X776" s="81"/>
      <c r="Y776" s="81"/>
      <c r="Z776" s="79"/>
      <c r="AA776" s="87"/>
      <c r="AB776" s="88" t="s">
        <v>7471</v>
      </c>
    </row>
    <row r="777" spans="1:28" s="77" customFormat="1" ht="21.75" customHeight="1" x14ac:dyDescent="0.2">
      <c r="A777" s="77" t="s">
        <v>7444</v>
      </c>
      <c r="B777" s="77" t="s">
        <v>7447</v>
      </c>
      <c r="C777" s="77" t="s">
        <v>7445</v>
      </c>
      <c r="D777" s="106" t="s">
        <v>7670</v>
      </c>
      <c r="E777" s="77" t="s">
        <v>33</v>
      </c>
      <c r="F777" s="77" t="s">
        <v>212</v>
      </c>
      <c r="G777" s="77" t="s">
        <v>7625</v>
      </c>
      <c r="H777" s="78" t="s">
        <v>7624</v>
      </c>
      <c r="I777" s="80">
        <v>1.7</v>
      </c>
      <c r="J777" s="80" t="s">
        <v>4367</v>
      </c>
      <c r="K777" s="80" t="s">
        <v>4386</v>
      </c>
      <c r="L777" s="79"/>
      <c r="M777" s="79"/>
      <c r="N777" s="79"/>
      <c r="O777" s="111"/>
      <c r="P777" s="80"/>
      <c r="R777" s="77" t="s">
        <v>3489</v>
      </c>
      <c r="T777" s="89"/>
      <c r="X777" s="81">
        <v>43.752099999999999</v>
      </c>
      <c r="Y777" s="81">
        <v>142.34960000000001</v>
      </c>
      <c r="Z777" s="79">
        <v>120</v>
      </c>
      <c r="AA777" s="87"/>
      <c r="AB777" s="88" t="s">
        <v>7671</v>
      </c>
    </row>
    <row r="778" spans="1:28" s="77" customFormat="1" ht="21.75" customHeight="1" x14ac:dyDescent="0.2">
      <c r="A778" s="77" t="s">
        <v>7444</v>
      </c>
      <c r="B778" s="77" t="s">
        <v>7447</v>
      </c>
      <c r="C778" s="77" t="s">
        <v>7445</v>
      </c>
      <c r="D778" s="106" t="s">
        <v>7677</v>
      </c>
      <c r="E778" s="77" t="s">
        <v>33</v>
      </c>
      <c r="F778" s="77" t="s">
        <v>212</v>
      </c>
      <c r="G778" s="77" t="s">
        <v>7626</v>
      </c>
      <c r="H778" s="78" t="s">
        <v>7461</v>
      </c>
      <c r="I778" s="80">
        <v>1.4</v>
      </c>
      <c r="J778" s="80" t="s">
        <v>4367</v>
      </c>
      <c r="K778" s="80" t="s">
        <v>4386</v>
      </c>
      <c r="L778" s="79"/>
      <c r="M778" s="79"/>
      <c r="N778" s="79"/>
      <c r="O778" s="111"/>
      <c r="P778" s="80"/>
      <c r="R778" s="77" t="s">
        <v>2953</v>
      </c>
      <c r="T778" s="89"/>
      <c r="X778" s="81">
        <v>39.942999999999998</v>
      </c>
      <c r="Y778" s="81">
        <v>141.0857</v>
      </c>
      <c r="Z778" s="79">
        <v>285</v>
      </c>
      <c r="AA778" s="87"/>
      <c r="AB778" s="88" t="s">
        <v>7678</v>
      </c>
    </row>
    <row r="779" spans="1:28" s="77" customFormat="1" ht="21.75" customHeight="1" x14ac:dyDescent="0.2">
      <c r="A779" s="77" t="s">
        <v>7444</v>
      </c>
      <c r="B779" s="77" t="s">
        <v>7447</v>
      </c>
      <c r="C779" s="77" t="s">
        <v>7445</v>
      </c>
      <c r="D779" s="106" t="s">
        <v>7665</v>
      </c>
      <c r="E779" s="77" t="s">
        <v>33</v>
      </c>
      <c r="F779" s="77" t="s">
        <v>212</v>
      </c>
      <c r="G779" s="77" t="s">
        <v>7627</v>
      </c>
      <c r="H779" s="78" t="s">
        <v>7462</v>
      </c>
      <c r="I779" s="80">
        <v>1.5</v>
      </c>
      <c r="J779" s="80" t="s">
        <v>4367</v>
      </c>
      <c r="K779" s="80" t="s">
        <v>4386</v>
      </c>
      <c r="L779" s="79"/>
      <c r="M779" s="79"/>
      <c r="N779" s="79"/>
      <c r="O779" s="111" t="s">
        <v>6654</v>
      </c>
      <c r="P779" s="80"/>
      <c r="R779" s="77" t="s">
        <v>7655</v>
      </c>
      <c r="T779" s="89"/>
      <c r="U779" s="77" t="s">
        <v>1172</v>
      </c>
      <c r="X779" s="81">
        <v>35.371499999999997</v>
      </c>
      <c r="Y779" s="81">
        <v>138.69649999999999</v>
      </c>
      <c r="Z779" s="79">
        <v>2164</v>
      </c>
      <c r="AA779" s="87"/>
      <c r="AB779" s="88" t="s">
        <v>7661</v>
      </c>
    </row>
    <row r="780" spans="1:28" s="77" customFormat="1" ht="21.75" customHeight="1" x14ac:dyDescent="0.2">
      <c r="A780" s="77" t="s">
        <v>7444</v>
      </c>
      <c r="B780" s="77" t="s">
        <v>7447</v>
      </c>
      <c r="C780" s="77" t="s">
        <v>7445</v>
      </c>
      <c r="D780" s="106" t="s">
        <v>7665</v>
      </c>
      <c r="E780" s="77" t="s">
        <v>33</v>
      </c>
      <c r="F780" s="77" t="s">
        <v>212</v>
      </c>
      <c r="G780" s="77" t="s">
        <v>7627</v>
      </c>
      <c r="H780" s="78" t="s">
        <v>7462</v>
      </c>
      <c r="I780" s="80">
        <v>1.2</v>
      </c>
      <c r="J780" s="80" t="s">
        <v>4367</v>
      </c>
      <c r="K780" s="80" t="s">
        <v>4386</v>
      </c>
      <c r="L780" s="79"/>
      <c r="M780" s="79"/>
      <c r="N780" s="79"/>
      <c r="O780" s="111" t="s">
        <v>6654</v>
      </c>
      <c r="P780" s="80"/>
      <c r="R780" s="77" t="s">
        <v>7655</v>
      </c>
      <c r="T780" s="89"/>
      <c r="U780" s="77" t="s">
        <v>1172</v>
      </c>
      <c r="X780" s="81">
        <v>35.371499999999997</v>
      </c>
      <c r="Y780" s="81">
        <v>138.69649999999999</v>
      </c>
      <c r="Z780" s="79">
        <v>2164</v>
      </c>
      <c r="AA780" s="87"/>
      <c r="AB780" s="88" t="s">
        <v>7662</v>
      </c>
    </row>
    <row r="781" spans="1:28" s="77" customFormat="1" ht="21.75" customHeight="1" x14ac:dyDescent="0.2">
      <c r="A781" s="77" t="s">
        <v>7444</v>
      </c>
      <c r="B781" s="77" t="s">
        <v>7447</v>
      </c>
      <c r="C781" s="77" t="s">
        <v>7445</v>
      </c>
      <c r="D781" s="106" t="s">
        <v>7665</v>
      </c>
      <c r="E781" s="77" t="s">
        <v>33</v>
      </c>
      <c r="F781" s="77" t="s">
        <v>212</v>
      </c>
      <c r="G781" s="77" t="s">
        <v>7627</v>
      </c>
      <c r="H781" s="78" t="s">
        <v>7462</v>
      </c>
      <c r="I781" s="80">
        <v>0.6</v>
      </c>
      <c r="J781" s="80" t="s">
        <v>4367</v>
      </c>
      <c r="K781" s="80" t="s">
        <v>4386</v>
      </c>
      <c r="L781" s="79"/>
      <c r="M781" s="79"/>
      <c r="N781" s="79"/>
      <c r="O781" s="111" t="s">
        <v>6654</v>
      </c>
      <c r="P781" s="80"/>
      <c r="R781" s="77" t="s">
        <v>7655</v>
      </c>
      <c r="T781" s="89"/>
      <c r="U781" s="77" t="s">
        <v>1172</v>
      </c>
      <c r="X781" s="81">
        <v>35.371499999999997</v>
      </c>
      <c r="Y781" s="81">
        <v>138.69649999999999</v>
      </c>
      <c r="Z781" s="79">
        <v>2164</v>
      </c>
      <c r="AA781" s="87"/>
      <c r="AB781" s="88" t="s">
        <v>7663</v>
      </c>
    </row>
    <row r="782" spans="1:28" s="77" customFormat="1" ht="21.75" customHeight="1" x14ac:dyDescent="0.2">
      <c r="A782" s="77" t="s">
        <v>7444</v>
      </c>
      <c r="B782" s="77" t="s">
        <v>7447</v>
      </c>
      <c r="C782" s="77" t="s">
        <v>7445</v>
      </c>
      <c r="E782" s="77" t="s">
        <v>33</v>
      </c>
      <c r="F782" s="77" t="s">
        <v>212</v>
      </c>
      <c r="G782" s="77" t="s">
        <v>7628</v>
      </c>
      <c r="H782" s="78" t="s">
        <v>7463</v>
      </c>
      <c r="I782" s="80">
        <v>1.9</v>
      </c>
      <c r="J782" s="80" t="s">
        <v>4367</v>
      </c>
      <c r="K782" s="80" t="s">
        <v>4386</v>
      </c>
      <c r="L782" s="79"/>
      <c r="M782" s="79"/>
      <c r="N782" s="79"/>
      <c r="O782" s="111"/>
      <c r="P782" s="80"/>
      <c r="R782" s="77" t="s">
        <v>3489</v>
      </c>
      <c r="T782" s="89"/>
      <c r="X782" s="81"/>
      <c r="Y782" s="81"/>
      <c r="Z782" s="79"/>
      <c r="AA782" s="87"/>
      <c r="AB782" s="88" t="s">
        <v>7658</v>
      </c>
    </row>
    <row r="783" spans="1:28" s="77" customFormat="1" ht="21.75" customHeight="1" x14ac:dyDescent="0.2">
      <c r="A783" s="77" t="s">
        <v>7444</v>
      </c>
      <c r="B783" s="77" t="s">
        <v>7447</v>
      </c>
      <c r="C783" s="77" t="s">
        <v>7445</v>
      </c>
      <c r="E783" s="77" t="s">
        <v>33</v>
      </c>
      <c r="F783" s="77" t="s">
        <v>212</v>
      </c>
      <c r="G783" s="77" t="s">
        <v>7629</v>
      </c>
      <c r="H783" s="78" t="s">
        <v>7464</v>
      </c>
      <c r="I783" s="80">
        <v>1.4</v>
      </c>
      <c r="J783" s="80" t="s">
        <v>4367</v>
      </c>
      <c r="K783" s="80" t="s">
        <v>4386</v>
      </c>
      <c r="L783" s="79"/>
      <c r="M783" s="79"/>
      <c r="N783" s="79"/>
      <c r="O783" s="111"/>
      <c r="P783" s="80"/>
      <c r="R783" s="77" t="s">
        <v>3489</v>
      </c>
      <c r="T783" s="89"/>
      <c r="X783" s="81"/>
      <c r="Y783" s="81"/>
      <c r="Z783" s="79"/>
      <c r="AA783" s="87"/>
      <c r="AB783" s="88" t="s">
        <v>7659</v>
      </c>
    </row>
    <row r="784" spans="1:28" s="77" customFormat="1" ht="21.75" customHeight="1" x14ac:dyDescent="0.2">
      <c r="A784" s="77" t="s">
        <v>7444</v>
      </c>
      <c r="B784" s="77" t="s">
        <v>7447</v>
      </c>
      <c r="C784" s="77" t="s">
        <v>7445</v>
      </c>
      <c r="E784" s="77" t="s">
        <v>33</v>
      </c>
      <c r="F784" s="77" t="s">
        <v>212</v>
      </c>
      <c r="G784" s="77" t="s">
        <v>7630</v>
      </c>
      <c r="H784" s="78" t="s">
        <v>7472</v>
      </c>
      <c r="I784" s="80">
        <v>1.4</v>
      </c>
      <c r="J784" s="80" t="s">
        <v>4367</v>
      </c>
      <c r="K784" s="80" t="s">
        <v>4386</v>
      </c>
      <c r="L784" s="79"/>
      <c r="M784" s="79"/>
      <c r="N784" s="79"/>
      <c r="O784" s="111"/>
      <c r="P784" s="80"/>
      <c r="R784" s="77" t="s">
        <v>3489</v>
      </c>
      <c r="T784" s="89"/>
      <c r="X784" s="81"/>
      <c r="Y784" s="81"/>
      <c r="Z784" s="79"/>
      <c r="AA784" s="87"/>
      <c r="AB784" s="88" t="s">
        <v>7473</v>
      </c>
    </row>
    <row r="785" spans="1:28" s="77" customFormat="1" ht="21.75" customHeight="1" x14ac:dyDescent="0.2">
      <c r="A785" s="77" t="s">
        <v>7444</v>
      </c>
      <c r="B785" s="77" t="s">
        <v>7447</v>
      </c>
      <c r="C785" s="77" t="s">
        <v>7445</v>
      </c>
      <c r="E785" s="77" t="s">
        <v>33</v>
      </c>
      <c r="F785" s="77" t="s">
        <v>212</v>
      </c>
      <c r="G785" s="77" t="s">
        <v>7631</v>
      </c>
      <c r="H785" s="78" t="s">
        <v>7474</v>
      </c>
      <c r="I785" s="80">
        <v>1.1000000000000001</v>
      </c>
      <c r="J785" s="80" t="s">
        <v>4367</v>
      </c>
      <c r="K785" s="80" t="s">
        <v>4386</v>
      </c>
      <c r="L785" s="79"/>
      <c r="M785" s="79"/>
      <c r="N785" s="79"/>
      <c r="O785" s="111"/>
      <c r="P785" s="80"/>
      <c r="R785" s="77" t="s">
        <v>2953</v>
      </c>
      <c r="T785" s="89"/>
      <c r="X785" s="81"/>
      <c r="Y785" s="81"/>
      <c r="Z785" s="79"/>
      <c r="AB785" s="88" t="s">
        <v>7475</v>
      </c>
    </row>
    <row r="786" spans="1:28" s="77" customFormat="1" ht="21.75" customHeight="1" x14ac:dyDescent="0.2">
      <c r="A786" s="77" t="s">
        <v>7444</v>
      </c>
      <c r="B786" s="77" t="s">
        <v>7447</v>
      </c>
      <c r="C786" s="77" t="s">
        <v>7445</v>
      </c>
      <c r="E786" s="77" t="s">
        <v>33</v>
      </c>
      <c r="F786" s="77" t="s">
        <v>212</v>
      </c>
      <c r="G786" s="77" t="s">
        <v>7632</v>
      </c>
      <c r="H786" s="78" t="s">
        <v>7476</v>
      </c>
      <c r="I786" s="80">
        <v>0.8</v>
      </c>
      <c r="J786" s="80" t="s">
        <v>4367</v>
      </c>
      <c r="K786" s="80" t="s">
        <v>4386</v>
      </c>
      <c r="L786" s="79"/>
      <c r="M786" s="79"/>
      <c r="N786" s="79"/>
      <c r="O786" s="111"/>
      <c r="P786" s="80"/>
      <c r="R786" s="77" t="s">
        <v>7450</v>
      </c>
      <c r="T786" s="89"/>
      <c r="X786" s="81"/>
      <c r="Y786" s="81"/>
      <c r="Z786" s="79"/>
      <c r="AA786" s="87"/>
      <c r="AB786" s="88" t="s">
        <v>7478</v>
      </c>
    </row>
    <row r="787" spans="1:28" s="77" customFormat="1" ht="21.75" customHeight="1" x14ac:dyDescent="0.2">
      <c r="A787" s="77" t="s">
        <v>7444</v>
      </c>
      <c r="B787" s="77" t="s">
        <v>7447</v>
      </c>
      <c r="C787" s="77" t="s">
        <v>7445</v>
      </c>
      <c r="E787" s="77" t="s">
        <v>33</v>
      </c>
      <c r="F787" s="77" t="s">
        <v>212</v>
      </c>
      <c r="G787" s="77" t="s">
        <v>7634</v>
      </c>
      <c r="H787" s="78" t="s">
        <v>7633</v>
      </c>
      <c r="I787" s="80">
        <v>0.8</v>
      </c>
      <c r="J787" s="80" t="s">
        <v>4367</v>
      </c>
      <c r="K787" s="80" t="s">
        <v>4386</v>
      </c>
      <c r="L787" s="79"/>
      <c r="M787" s="79"/>
      <c r="N787" s="79"/>
      <c r="O787" s="111"/>
      <c r="P787" s="80"/>
      <c r="R787" s="77" t="s">
        <v>3489</v>
      </c>
      <c r="T787" s="89"/>
      <c r="X787" s="81"/>
      <c r="Y787" s="81"/>
      <c r="Z787" s="79"/>
      <c r="AA787" s="87"/>
      <c r="AB787" s="88" t="s">
        <v>7479</v>
      </c>
    </row>
    <row r="788" spans="1:28" s="77" customFormat="1" ht="21.75" customHeight="1" x14ac:dyDescent="0.2">
      <c r="A788" s="77" t="s">
        <v>7444</v>
      </c>
      <c r="B788" s="77" t="s">
        <v>7447</v>
      </c>
      <c r="C788" s="77" t="s">
        <v>7445</v>
      </c>
      <c r="E788" s="77" t="s">
        <v>33</v>
      </c>
      <c r="F788" s="77" t="s">
        <v>212</v>
      </c>
      <c r="G788" s="77" t="s">
        <v>7636</v>
      </c>
      <c r="H788" s="78" t="s">
        <v>7635</v>
      </c>
      <c r="I788" s="80">
        <v>1.6</v>
      </c>
      <c r="J788" s="80" t="s">
        <v>4367</v>
      </c>
      <c r="K788" s="80" t="s">
        <v>4386</v>
      </c>
      <c r="L788" s="79"/>
      <c r="M788" s="79"/>
      <c r="N788" s="79"/>
      <c r="O788" s="111"/>
      <c r="P788" s="80"/>
      <c r="R788" s="77" t="s">
        <v>2953</v>
      </c>
      <c r="T788" s="89"/>
      <c r="X788" s="81"/>
      <c r="Y788" s="81"/>
      <c r="Z788" s="79"/>
      <c r="AA788" s="87"/>
      <c r="AB788" s="88" t="s">
        <v>7480</v>
      </c>
    </row>
    <row r="789" spans="1:28" s="77" customFormat="1" ht="21.75" customHeight="1" x14ac:dyDescent="0.2">
      <c r="A789" s="77" t="s">
        <v>7444</v>
      </c>
      <c r="B789" s="77" t="s">
        <v>7447</v>
      </c>
      <c r="C789" s="77" t="s">
        <v>7445</v>
      </c>
      <c r="E789" s="77" t="s">
        <v>33</v>
      </c>
      <c r="F789" s="77" t="s">
        <v>212</v>
      </c>
      <c r="G789" s="77" t="s">
        <v>4295</v>
      </c>
      <c r="H789" s="78" t="s">
        <v>7637</v>
      </c>
      <c r="I789" s="80">
        <v>1.3</v>
      </c>
      <c r="J789" s="80" t="s">
        <v>4367</v>
      </c>
      <c r="K789" s="80" t="s">
        <v>4386</v>
      </c>
      <c r="L789" s="79"/>
      <c r="M789" s="79"/>
      <c r="N789" s="79"/>
      <c r="O789" s="111"/>
      <c r="P789" s="80"/>
      <c r="R789" s="77" t="s">
        <v>2953</v>
      </c>
      <c r="T789" s="89"/>
      <c r="X789" s="81"/>
      <c r="Y789" s="81"/>
      <c r="Z789" s="79"/>
      <c r="AA789" s="87"/>
      <c r="AB789" s="88" t="s">
        <v>7483</v>
      </c>
    </row>
    <row r="790" spans="1:28" s="77" customFormat="1" ht="21.75" customHeight="1" x14ac:dyDescent="0.2">
      <c r="A790" s="77" t="s">
        <v>7444</v>
      </c>
      <c r="B790" s="77" t="s">
        <v>7447</v>
      </c>
      <c r="C790" s="77" t="s">
        <v>7445</v>
      </c>
      <c r="E790" s="77" t="s">
        <v>33</v>
      </c>
      <c r="F790" s="77" t="s">
        <v>212</v>
      </c>
      <c r="G790" s="77" t="s">
        <v>4295</v>
      </c>
      <c r="H790" s="78" t="s">
        <v>7481</v>
      </c>
      <c r="I790" s="80">
        <v>2.2999999999999998</v>
      </c>
      <c r="J790" s="80" t="s">
        <v>4367</v>
      </c>
      <c r="K790" s="80" t="s">
        <v>4386</v>
      </c>
      <c r="L790" s="79"/>
      <c r="M790" s="79"/>
      <c r="N790" s="79"/>
      <c r="O790" s="111"/>
      <c r="P790" s="80"/>
      <c r="R790" s="77" t="s">
        <v>2953</v>
      </c>
      <c r="T790" s="89"/>
      <c r="X790" s="81"/>
      <c r="Y790" s="81"/>
      <c r="Z790" s="79"/>
      <c r="AA790" s="87"/>
      <c r="AB790" s="88" t="s">
        <v>7482</v>
      </c>
    </row>
    <row r="791" spans="1:28" s="77" customFormat="1" ht="21.75" customHeight="1" x14ac:dyDescent="0.2">
      <c r="A791" s="77" t="s">
        <v>7444</v>
      </c>
      <c r="B791" s="77" t="s">
        <v>7447</v>
      </c>
      <c r="C791" s="77" t="s">
        <v>7445</v>
      </c>
      <c r="E791" s="77" t="s">
        <v>33</v>
      </c>
      <c r="F791" s="77" t="s">
        <v>212</v>
      </c>
      <c r="G791" s="77" t="s">
        <v>7638</v>
      </c>
      <c r="H791" s="78" t="s">
        <v>7484</v>
      </c>
      <c r="I791" s="80">
        <v>1.4</v>
      </c>
      <c r="J791" s="80" t="s">
        <v>4367</v>
      </c>
      <c r="K791" s="80" t="s">
        <v>4386</v>
      </c>
      <c r="L791" s="79"/>
      <c r="M791" s="79"/>
      <c r="N791" s="79"/>
      <c r="O791" s="111"/>
      <c r="P791" s="80"/>
      <c r="R791" s="77" t="s">
        <v>2953</v>
      </c>
      <c r="T791" s="89"/>
      <c r="X791" s="81"/>
      <c r="Y791" s="81"/>
      <c r="Z791" s="79"/>
      <c r="AA791" s="87"/>
      <c r="AB791" s="88" t="s">
        <v>7485</v>
      </c>
    </row>
    <row r="792" spans="1:28" s="77" customFormat="1" ht="21.75" customHeight="1" x14ac:dyDescent="0.2">
      <c r="A792" s="77" t="s">
        <v>7444</v>
      </c>
      <c r="B792" s="77" t="s">
        <v>7447</v>
      </c>
      <c r="C792" s="77" t="s">
        <v>7445</v>
      </c>
      <c r="E792" s="77" t="s">
        <v>736</v>
      </c>
      <c r="F792" s="77" t="s">
        <v>212</v>
      </c>
      <c r="G792" s="77" t="s">
        <v>7640</v>
      </c>
      <c r="H792" s="78" t="s">
        <v>7639</v>
      </c>
      <c r="I792" s="80">
        <v>2.2999999999999998</v>
      </c>
      <c r="J792" s="80" t="s">
        <v>4367</v>
      </c>
      <c r="K792" s="80" t="s">
        <v>4386</v>
      </c>
      <c r="L792" s="79"/>
      <c r="M792" s="79"/>
      <c r="N792" s="79"/>
      <c r="O792" s="111"/>
      <c r="P792" s="80"/>
      <c r="R792" s="77" t="s">
        <v>7477</v>
      </c>
      <c r="T792" s="89"/>
      <c r="X792" s="81"/>
      <c r="Y792" s="81"/>
      <c r="Z792" s="79"/>
      <c r="AA792" s="87"/>
      <c r="AB792" s="88" t="s">
        <v>7486</v>
      </c>
    </row>
    <row r="793" spans="1:28" s="77" customFormat="1" ht="21.75" customHeight="1" x14ac:dyDescent="0.2">
      <c r="A793" s="77" t="s">
        <v>7444</v>
      </c>
      <c r="B793" s="77" t="s">
        <v>7447</v>
      </c>
      <c r="C793" s="77" t="s">
        <v>7445</v>
      </c>
      <c r="E793" s="77" t="s">
        <v>736</v>
      </c>
      <c r="F793" s="77" t="s">
        <v>212</v>
      </c>
      <c r="G793" s="77" t="s">
        <v>7640</v>
      </c>
      <c r="H793" s="78" t="s">
        <v>7639</v>
      </c>
      <c r="I793" s="80">
        <v>1</v>
      </c>
      <c r="J793" s="80" t="s">
        <v>4367</v>
      </c>
      <c r="K793" s="80" t="s">
        <v>4386</v>
      </c>
      <c r="L793" s="79"/>
      <c r="M793" s="79"/>
      <c r="N793" s="79"/>
      <c r="O793" s="111"/>
      <c r="P793" s="80"/>
      <c r="R793" s="77" t="s">
        <v>7477</v>
      </c>
      <c r="T793" s="89"/>
      <c r="X793" s="81"/>
      <c r="Y793" s="81"/>
      <c r="Z793" s="79"/>
      <c r="AA793" s="87"/>
      <c r="AB793" s="88" t="s">
        <v>7487</v>
      </c>
    </row>
    <row r="794" spans="1:28" s="77" customFormat="1" ht="21.75" customHeight="1" x14ac:dyDescent="0.2">
      <c r="A794" s="77" t="s">
        <v>7444</v>
      </c>
      <c r="B794" s="77" t="s">
        <v>7447</v>
      </c>
      <c r="C794" s="77" t="s">
        <v>7445</v>
      </c>
      <c r="E794" s="77" t="s">
        <v>33</v>
      </c>
      <c r="F794" s="77" t="s">
        <v>212</v>
      </c>
      <c r="G794" s="77" t="s">
        <v>7641</v>
      </c>
      <c r="H794" s="78" t="s">
        <v>7488</v>
      </c>
      <c r="I794" s="80">
        <v>2.9</v>
      </c>
      <c r="J794" s="80" t="s">
        <v>4367</v>
      </c>
      <c r="K794" s="80" t="s">
        <v>4386</v>
      </c>
      <c r="L794" s="79"/>
      <c r="M794" s="79"/>
      <c r="N794" s="79"/>
      <c r="O794" s="111"/>
      <c r="P794" s="80"/>
      <c r="R794" s="77" t="s">
        <v>3489</v>
      </c>
      <c r="T794" s="89"/>
      <c r="X794" s="81"/>
      <c r="Y794" s="81"/>
      <c r="Z794" s="79"/>
      <c r="AA794" s="87"/>
      <c r="AB794" s="88" t="s">
        <v>7489</v>
      </c>
    </row>
    <row r="795" spans="1:28" s="77" customFormat="1" ht="21.75" customHeight="1" x14ac:dyDescent="0.2">
      <c r="A795" s="77" t="s">
        <v>7444</v>
      </c>
      <c r="B795" s="77" t="s">
        <v>7447</v>
      </c>
      <c r="C795" s="77" t="s">
        <v>7445</v>
      </c>
      <c r="E795" s="77" t="s">
        <v>33</v>
      </c>
      <c r="F795" s="77" t="s">
        <v>212</v>
      </c>
      <c r="G795" s="77" t="s">
        <v>7641</v>
      </c>
      <c r="H795" s="78" t="s">
        <v>7488</v>
      </c>
      <c r="I795" s="80">
        <v>3.5</v>
      </c>
      <c r="J795" s="80" t="s">
        <v>4367</v>
      </c>
      <c r="K795" s="80" t="s">
        <v>4386</v>
      </c>
      <c r="L795" s="79"/>
      <c r="M795" s="79"/>
      <c r="N795" s="79"/>
      <c r="O795" s="111"/>
      <c r="P795" s="80"/>
      <c r="R795" s="77" t="s">
        <v>3489</v>
      </c>
      <c r="T795" s="89"/>
      <c r="X795" s="81"/>
      <c r="Y795" s="81"/>
      <c r="Z795" s="79"/>
      <c r="AA795" s="87"/>
      <c r="AB795" s="88" t="s">
        <v>7490</v>
      </c>
    </row>
    <row r="796" spans="1:28" s="77" customFormat="1" ht="21.75" customHeight="1" x14ac:dyDescent="0.2">
      <c r="A796" s="77" t="s">
        <v>7444</v>
      </c>
      <c r="B796" s="77" t="s">
        <v>7447</v>
      </c>
      <c r="C796" s="77" t="s">
        <v>7445</v>
      </c>
      <c r="E796" s="77" t="s">
        <v>33</v>
      </c>
      <c r="F796" s="77" t="s">
        <v>212</v>
      </c>
      <c r="G796" s="77" t="s">
        <v>7641</v>
      </c>
      <c r="H796" s="78" t="s">
        <v>7493</v>
      </c>
      <c r="I796" s="80">
        <v>0.7</v>
      </c>
      <c r="J796" s="80" t="s">
        <v>4367</v>
      </c>
      <c r="K796" s="80" t="s">
        <v>4386</v>
      </c>
      <c r="L796" s="79"/>
      <c r="M796" s="79"/>
      <c r="N796" s="79"/>
      <c r="O796" s="111"/>
      <c r="P796" s="80"/>
      <c r="R796" s="77" t="s">
        <v>2953</v>
      </c>
      <c r="T796" s="89"/>
      <c r="X796" s="81"/>
      <c r="Y796" s="81"/>
      <c r="Z796" s="79"/>
      <c r="AA796" s="87"/>
      <c r="AB796" s="88" t="s">
        <v>7491</v>
      </c>
    </row>
    <row r="797" spans="1:28" s="77" customFormat="1" ht="21.75" customHeight="1" x14ac:dyDescent="0.2">
      <c r="A797" s="77" t="s">
        <v>7444</v>
      </c>
      <c r="B797" s="77" t="s">
        <v>7447</v>
      </c>
      <c r="C797" s="77" t="s">
        <v>7445</v>
      </c>
      <c r="E797" s="77" t="s">
        <v>33</v>
      </c>
      <c r="F797" s="77" t="s">
        <v>212</v>
      </c>
      <c r="G797" s="77" t="s">
        <v>7642</v>
      </c>
      <c r="H797" s="78" t="s">
        <v>7492</v>
      </c>
      <c r="I797" s="80">
        <v>2.2999999999999998</v>
      </c>
      <c r="J797" s="80" t="s">
        <v>4367</v>
      </c>
      <c r="K797" s="80" t="s">
        <v>4386</v>
      </c>
      <c r="L797" s="79"/>
      <c r="M797" s="79"/>
      <c r="N797" s="79"/>
      <c r="O797" s="111"/>
      <c r="P797" s="80"/>
      <c r="R797" s="77" t="s">
        <v>2953</v>
      </c>
      <c r="T797" s="89"/>
      <c r="X797" s="81"/>
      <c r="Y797" s="81"/>
      <c r="Z797" s="79"/>
      <c r="AA797" s="87"/>
      <c r="AB797" s="88" t="s">
        <v>7494</v>
      </c>
    </row>
    <row r="798" spans="1:28" s="77" customFormat="1" ht="21.75" customHeight="1" x14ac:dyDescent="0.2">
      <c r="A798" s="77" t="s">
        <v>7444</v>
      </c>
      <c r="B798" s="77" t="s">
        <v>7447</v>
      </c>
      <c r="C798" s="77" t="s">
        <v>7445</v>
      </c>
      <c r="E798" s="77" t="s">
        <v>33</v>
      </c>
      <c r="F798" s="77" t="s">
        <v>212</v>
      </c>
      <c r="G798" s="77" t="s">
        <v>7642</v>
      </c>
      <c r="H798" s="78" t="s">
        <v>7492</v>
      </c>
      <c r="I798" s="80">
        <v>3.3</v>
      </c>
      <c r="J798" s="80" t="s">
        <v>4367</v>
      </c>
      <c r="K798" s="80" t="s">
        <v>4386</v>
      </c>
      <c r="L798" s="79"/>
      <c r="M798" s="79"/>
      <c r="N798" s="79"/>
      <c r="O798" s="111"/>
      <c r="P798" s="80"/>
      <c r="R798" s="77" t="s">
        <v>2953</v>
      </c>
      <c r="T798" s="89"/>
      <c r="X798" s="81"/>
      <c r="Y798" s="81"/>
      <c r="Z798" s="79"/>
      <c r="AA798" s="87"/>
      <c r="AB798" s="88" t="s">
        <v>7495</v>
      </c>
    </row>
    <row r="799" spans="1:28" s="77" customFormat="1" ht="21.75" customHeight="1" x14ac:dyDescent="0.2">
      <c r="A799" s="77" t="s">
        <v>7444</v>
      </c>
      <c r="B799" s="77" t="s">
        <v>7447</v>
      </c>
      <c r="C799" s="77" t="s">
        <v>7445</v>
      </c>
      <c r="E799" s="77" t="s">
        <v>33</v>
      </c>
      <c r="F799" s="77" t="s">
        <v>212</v>
      </c>
      <c r="G799" s="77" t="s">
        <v>7643</v>
      </c>
      <c r="H799" s="78" t="s">
        <v>7496</v>
      </c>
      <c r="I799" s="80">
        <v>1</v>
      </c>
      <c r="J799" s="80" t="s">
        <v>4367</v>
      </c>
      <c r="K799" s="80" t="s">
        <v>4386</v>
      </c>
      <c r="L799" s="79"/>
      <c r="M799" s="79"/>
      <c r="N799" s="79"/>
      <c r="O799" s="111"/>
      <c r="P799" s="80"/>
      <c r="R799" s="77" t="s">
        <v>2953</v>
      </c>
      <c r="T799" s="89"/>
      <c r="X799" s="81"/>
      <c r="Y799" s="81"/>
      <c r="Z799" s="79"/>
      <c r="AA799" s="87"/>
      <c r="AB799" s="88" t="s">
        <v>7497</v>
      </c>
    </row>
    <row r="800" spans="1:28" s="77" customFormat="1" ht="21.75" customHeight="1" x14ac:dyDescent="0.2">
      <c r="A800" s="77" t="s">
        <v>7444</v>
      </c>
      <c r="B800" s="77" t="s">
        <v>7447</v>
      </c>
      <c r="C800" s="77" t="s">
        <v>7445</v>
      </c>
      <c r="E800" s="77" t="s">
        <v>33</v>
      </c>
      <c r="F800" s="77" t="s">
        <v>212</v>
      </c>
      <c r="G800" s="77" t="s">
        <v>7643</v>
      </c>
      <c r="H800" s="78" t="s">
        <v>7496</v>
      </c>
      <c r="I800" s="80">
        <v>1.6</v>
      </c>
      <c r="J800" s="80" t="s">
        <v>4367</v>
      </c>
      <c r="K800" s="80" t="s">
        <v>4386</v>
      </c>
      <c r="L800" s="79"/>
      <c r="M800" s="79"/>
      <c r="N800" s="79"/>
      <c r="O800" s="111"/>
      <c r="P800" s="80"/>
      <c r="R800" s="77" t="s">
        <v>2953</v>
      </c>
      <c r="T800" s="89"/>
      <c r="X800" s="81"/>
      <c r="Y800" s="81"/>
      <c r="Z800" s="79"/>
      <c r="AA800" s="87"/>
      <c r="AB800" s="88" t="s">
        <v>7498</v>
      </c>
    </row>
    <row r="801" spans="1:28" s="77" customFormat="1" ht="21.75" customHeight="1" x14ac:dyDescent="0.2">
      <c r="A801" s="77" t="s">
        <v>7444</v>
      </c>
      <c r="B801" s="77" t="s">
        <v>7447</v>
      </c>
      <c r="C801" s="77" t="s">
        <v>7445</v>
      </c>
      <c r="E801" s="77" t="s">
        <v>33</v>
      </c>
      <c r="F801" s="77" t="s">
        <v>212</v>
      </c>
      <c r="G801" s="77" t="s">
        <v>7644</v>
      </c>
      <c r="H801" s="78" t="s">
        <v>7499</v>
      </c>
      <c r="I801" s="80">
        <v>2.2999999999999998</v>
      </c>
      <c r="J801" s="80" t="s">
        <v>4367</v>
      </c>
      <c r="K801" s="80" t="s">
        <v>4386</v>
      </c>
      <c r="L801" s="79"/>
      <c r="M801" s="79"/>
      <c r="N801" s="79"/>
      <c r="O801" s="111"/>
      <c r="P801" s="80"/>
      <c r="R801" s="77" t="s">
        <v>2953</v>
      </c>
      <c r="T801" s="89"/>
      <c r="X801" s="81"/>
      <c r="Y801" s="81"/>
      <c r="Z801" s="79"/>
      <c r="AA801" s="87"/>
      <c r="AB801" s="88" t="s">
        <v>7500</v>
      </c>
    </row>
    <row r="802" spans="1:28" s="77" customFormat="1" ht="21.75" customHeight="1" x14ac:dyDescent="0.2">
      <c r="A802" s="77" t="s">
        <v>7444</v>
      </c>
      <c r="B802" s="77" t="s">
        <v>7447</v>
      </c>
      <c r="C802" s="77" t="s">
        <v>7445</v>
      </c>
      <c r="E802" s="77" t="s">
        <v>33</v>
      </c>
      <c r="F802" s="77" t="s">
        <v>212</v>
      </c>
      <c r="G802" s="77" t="s">
        <v>7644</v>
      </c>
      <c r="H802" s="78" t="s">
        <v>7499</v>
      </c>
      <c r="I802" s="80">
        <v>2</v>
      </c>
      <c r="J802" s="80" t="s">
        <v>4367</v>
      </c>
      <c r="K802" s="80" t="s">
        <v>4386</v>
      </c>
      <c r="L802" s="79"/>
      <c r="M802" s="79"/>
      <c r="N802" s="79"/>
      <c r="O802" s="111"/>
      <c r="P802" s="80"/>
      <c r="R802" s="77" t="s">
        <v>2953</v>
      </c>
      <c r="T802" s="89"/>
      <c r="X802" s="81"/>
      <c r="Y802" s="81"/>
      <c r="Z802" s="79"/>
      <c r="AA802" s="87"/>
      <c r="AB802" s="88" t="s">
        <v>7501</v>
      </c>
    </row>
    <row r="803" spans="1:28" s="77" customFormat="1" ht="21.75" customHeight="1" x14ac:dyDescent="0.2">
      <c r="A803" s="77" t="s">
        <v>7444</v>
      </c>
      <c r="B803" s="77" t="s">
        <v>7447</v>
      </c>
      <c r="C803" s="77" t="s">
        <v>7445</v>
      </c>
      <c r="E803" s="77" t="s">
        <v>33</v>
      </c>
      <c r="F803" s="77" t="s">
        <v>214</v>
      </c>
      <c r="G803" s="77" t="s">
        <v>7645</v>
      </c>
      <c r="H803" s="78" t="s">
        <v>7502</v>
      </c>
      <c r="I803" s="80">
        <v>0.5</v>
      </c>
      <c r="J803" s="80" t="s">
        <v>4367</v>
      </c>
      <c r="K803" s="80" t="s">
        <v>4386</v>
      </c>
      <c r="L803" s="79"/>
      <c r="M803" s="79"/>
      <c r="N803" s="79"/>
      <c r="O803" s="111"/>
      <c r="P803" s="80"/>
      <c r="R803" s="77" t="s">
        <v>2953</v>
      </c>
      <c r="T803" s="89"/>
      <c r="X803" s="81"/>
      <c r="Y803" s="81"/>
      <c r="Z803" s="79"/>
      <c r="AA803" s="87"/>
      <c r="AB803" s="88" t="s">
        <v>7503</v>
      </c>
    </row>
    <row r="804" spans="1:28" s="77" customFormat="1" ht="21.75" customHeight="1" x14ac:dyDescent="0.2">
      <c r="A804" s="77" t="s">
        <v>7444</v>
      </c>
      <c r="B804" s="77" t="s">
        <v>7447</v>
      </c>
      <c r="C804" s="77" t="s">
        <v>7445</v>
      </c>
      <c r="E804" s="77" t="s">
        <v>33</v>
      </c>
      <c r="F804" s="77" t="s">
        <v>212</v>
      </c>
      <c r="G804" s="77" t="s">
        <v>4908</v>
      </c>
      <c r="H804" s="78" t="s">
        <v>7504</v>
      </c>
      <c r="I804" s="80">
        <v>2.6</v>
      </c>
      <c r="J804" s="80" t="s">
        <v>4367</v>
      </c>
      <c r="K804" s="80" t="s">
        <v>4386</v>
      </c>
      <c r="L804" s="79"/>
      <c r="M804" s="79"/>
      <c r="N804" s="79"/>
      <c r="O804" s="111"/>
      <c r="P804" s="80"/>
      <c r="R804" s="77" t="s">
        <v>2953</v>
      </c>
      <c r="T804" s="89"/>
      <c r="X804" s="81"/>
      <c r="Y804" s="81"/>
      <c r="Z804" s="79"/>
      <c r="AA804" s="87"/>
      <c r="AB804" s="88" t="s">
        <v>7505</v>
      </c>
    </row>
    <row r="805" spans="1:28" s="77" customFormat="1" ht="21.75" customHeight="1" x14ac:dyDescent="0.2">
      <c r="A805" s="77" t="s">
        <v>7444</v>
      </c>
      <c r="B805" s="77" t="s">
        <v>7447</v>
      </c>
      <c r="C805" s="77" t="s">
        <v>7445</v>
      </c>
      <c r="E805" s="77" t="s">
        <v>33</v>
      </c>
      <c r="F805" s="77" t="s">
        <v>212</v>
      </c>
      <c r="G805" s="77" t="s">
        <v>4908</v>
      </c>
      <c r="H805" s="78" t="s">
        <v>7504</v>
      </c>
      <c r="I805" s="80">
        <v>3.4</v>
      </c>
      <c r="J805" s="80" t="s">
        <v>4367</v>
      </c>
      <c r="K805" s="80" t="s">
        <v>4386</v>
      </c>
      <c r="L805" s="79"/>
      <c r="M805" s="79"/>
      <c r="N805" s="79"/>
      <c r="O805" s="111"/>
      <c r="P805" s="80"/>
      <c r="R805" s="77" t="s">
        <v>2953</v>
      </c>
      <c r="T805" s="89"/>
      <c r="X805" s="81"/>
      <c r="Y805" s="81"/>
      <c r="Z805" s="79"/>
      <c r="AA805" s="87"/>
      <c r="AB805" s="88" t="s">
        <v>7506</v>
      </c>
    </row>
    <row r="806" spans="1:28" s="77" customFormat="1" ht="21.75" customHeight="1" x14ac:dyDescent="0.2">
      <c r="A806" s="77" t="s">
        <v>7444</v>
      </c>
      <c r="B806" s="77" t="s">
        <v>7447</v>
      </c>
      <c r="C806" s="77" t="s">
        <v>7445</v>
      </c>
      <c r="E806" s="77" t="s">
        <v>33</v>
      </c>
      <c r="F806" s="77" t="s">
        <v>212</v>
      </c>
      <c r="G806" s="77" t="s">
        <v>7646</v>
      </c>
      <c r="H806" s="78" t="s">
        <v>7507</v>
      </c>
      <c r="I806" s="80">
        <v>2.8</v>
      </c>
      <c r="J806" s="80" t="s">
        <v>4367</v>
      </c>
      <c r="K806" s="80" t="s">
        <v>4386</v>
      </c>
      <c r="L806" s="79"/>
      <c r="M806" s="79"/>
      <c r="N806" s="79"/>
      <c r="O806" s="111"/>
      <c r="P806" s="80"/>
      <c r="R806" s="77" t="s">
        <v>2953</v>
      </c>
      <c r="T806" s="89"/>
      <c r="X806" s="81"/>
      <c r="Y806" s="81"/>
      <c r="Z806" s="79"/>
      <c r="AA806" s="87"/>
      <c r="AB806" s="88" t="s">
        <v>7508</v>
      </c>
    </row>
    <row r="807" spans="1:28" s="77" customFormat="1" ht="21.75" customHeight="1" x14ac:dyDescent="0.2">
      <c r="A807" s="77" t="s">
        <v>7444</v>
      </c>
      <c r="B807" s="77" t="s">
        <v>7447</v>
      </c>
      <c r="C807" s="77" t="s">
        <v>7445</v>
      </c>
      <c r="E807" s="77" t="s">
        <v>33</v>
      </c>
      <c r="F807" s="77" t="s">
        <v>212</v>
      </c>
      <c r="G807" s="77" t="s">
        <v>7646</v>
      </c>
      <c r="H807" s="78" t="s">
        <v>7507</v>
      </c>
      <c r="I807" s="80">
        <v>0.9</v>
      </c>
      <c r="J807" s="80" t="s">
        <v>4367</v>
      </c>
      <c r="K807" s="80" t="s">
        <v>4386</v>
      </c>
      <c r="L807" s="79"/>
      <c r="M807" s="79"/>
      <c r="N807" s="79"/>
      <c r="O807" s="111"/>
      <c r="P807" s="80"/>
      <c r="R807" s="77" t="s">
        <v>2953</v>
      </c>
      <c r="T807" s="89"/>
      <c r="X807" s="81"/>
      <c r="Y807" s="81"/>
      <c r="Z807" s="79"/>
      <c r="AA807" s="87"/>
      <c r="AB807" s="88" t="s">
        <v>7509</v>
      </c>
    </row>
    <row r="808" spans="1:28" s="77" customFormat="1" ht="21.75" customHeight="1" x14ac:dyDescent="0.2">
      <c r="A808" s="77" t="s">
        <v>7444</v>
      </c>
      <c r="B808" s="77" t="s">
        <v>7447</v>
      </c>
      <c r="C808" s="77" t="s">
        <v>7445</v>
      </c>
      <c r="E808" s="77" t="s">
        <v>33</v>
      </c>
      <c r="F808" s="77" t="s">
        <v>212</v>
      </c>
      <c r="G808" s="77" t="s">
        <v>7646</v>
      </c>
      <c r="H808" s="78" t="s">
        <v>7507</v>
      </c>
      <c r="I808" s="80">
        <v>1.4</v>
      </c>
      <c r="J808" s="80" t="s">
        <v>4367</v>
      </c>
      <c r="K808" s="80" t="s">
        <v>4386</v>
      </c>
      <c r="L808" s="79"/>
      <c r="M808" s="79"/>
      <c r="N808" s="79"/>
      <c r="O808" s="111"/>
      <c r="P808" s="80"/>
      <c r="R808" s="77" t="s">
        <v>2953</v>
      </c>
      <c r="T808" s="89"/>
      <c r="X808" s="81"/>
      <c r="Y808" s="81"/>
      <c r="Z808" s="79"/>
      <c r="AA808" s="87"/>
      <c r="AB808" s="88" t="s">
        <v>7510</v>
      </c>
    </row>
    <row r="809" spans="1:28" s="77" customFormat="1" ht="21.75" customHeight="1" x14ac:dyDescent="0.2">
      <c r="A809" s="77" t="s">
        <v>7444</v>
      </c>
      <c r="B809" s="77" t="s">
        <v>7447</v>
      </c>
      <c r="C809" s="77" t="s">
        <v>7445</v>
      </c>
      <c r="E809" s="77" t="s">
        <v>33</v>
      </c>
      <c r="F809" s="77" t="s">
        <v>212</v>
      </c>
      <c r="G809" s="77" t="s">
        <v>7646</v>
      </c>
      <c r="H809" s="78" t="s">
        <v>7507</v>
      </c>
      <c r="I809" s="80">
        <v>1.6</v>
      </c>
      <c r="J809" s="80" t="s">
        <v>4367</v>
      </c>
      <c r="K809" s="80" t="s">
        <v>4386</v>
      </c>
      <c r="L809" s="79"/>
      <c r="M809" s="79"/>
      <c r="N809" s="79"/>
      <c r="O809" s="111"/>
      <c r="P809" s="80"/>
      <c r="R809" s="77" t="s">
        <v>2953</v>
      </c>
      <c r="T809" s="89"/>
      <c r="X809" s="81"/>
      <c r="Y809" s="81"/>
      <c r="Z809" s="79"/>
      <c r="AB809" s="88" t="s">
        <v>7511</v>
      </c>
    </row>
    <row r="810" spans="1:28" s="77" customFormat="1" ht="21.75" customHeight="1" x14ac:dyDescent="0.2">
      <c r="A810" s="77" t="s">
        <v>7444</v>
      </c>
      <c r="B810" s="77" t="s">
        <v>7447</v>
      </c>
      <c r="C810" s="77" t="s">
        <v>7445</v>
      </c>
      <c r="E810" s="77" t="s">
        <v>33</v>
      </c>
      <c r="F810" s="77" t="s">
        <v>212</v>
      </c>
      <c r="G810" s="77" t="s">
        <v>7646</v>
      </c>
      <c r="H810" s="78" t="s">
        <v>7507</v>
      </c>
      <c r="I810" s="80">
        <v>1.2</v>
      </c>
      <c r="J810" s="80" t="s">
        <v>4367</v>
      </c>
      <c r="K810" s="80" t="s">
        <v>4386</v>
      </c>
      <c r="L810" s="79"/>
      <c r="M810" s="79"/>
      <c r="N810" s="79"/>
      <c r="O810" s="111"/>
      <c r="P810" s="80"/>
      <c r="R810" s="77" t="s">
        <v>2953</v>
      </c>
      <c r="T810" s="89"/>
      <c r="X810" s="81"/>
      <c r="Y810" s="81"/>
      <c r="Z810" s="79"/>
      <c r="AA810" s="87"/>
      <c r="AB810" s="88" t="s">
        <v>7512</v>
      </c>
    </row>
    <row r="811" spans="1:28" s="77" customFormat="1" ht="21.75" customHeight="1" x14ac:dyDescent="0.2">
      <c r="A811" s="77" t="s">
        <v>7444</v>
      </c>
      <c r="B811" s="77" t="s">
        <v>7447</v>
      </c>
      <c r="C811" s="77" t="s">
        <v>7445</v>
      </c>
      <c r="E811" s="77" t="s">
        <v>33</v>
      </c>
      <c r="F811" s="77" t="s">
        <v>212</v>
      </c>
      <c r="G811" s="77" t="s">
        <v>7646</v>
      </c>
      <c r="H811" s="78" t="s">
        <v>7507</v>
      </c>
      <c r="I811" s="80">
        <v>2.4</v>
      </c>
      <c r="J811" s="80" t="s">
        <v>4367</v>
      </c>
      <c r="K811" s="80" t="s">
        <v>4386</v>
      </c>
      <c r="L811" s="79"/>
      <c r="M811" s="79"/>
      <c r="N811" s="79"/>
      <c r="O811" s="111"/>
      <c r="P811" s="80"/>
      <c r="R811" s="77" t="s">
        <v>2953</v>
      </c>
      <c r="T811" s="89"/>
      <c r="X811" s="81"/>
      <c r="Y811" s="81"/>
      <c r="Z811" s="79"/>
      <c r="AA811" s="87"/>
      <c r="AB811" s="88" t="s">
        <v>7513</v>
      </c>
    </row>
    <row r="812" spans="1:28" s="77" customFormat="1" ht="21.75" customHeight="1" x14ac:dyDescent="0.2">
      <c r="A812" s="77" t="s">
        <v>7444</v>
      </c>
      <c r="B812" s="77" t="s">
        <v>7447</v>
      </c>
      <c r="C812" s="77" t="s">
        <v>7445</v>
      </c>
      <c r="E812" s="77" t="s">
        <v>33</v>
      </c>
      <c r="F812" s="77" t="s">
        <v>212</v>
      </c>
      <c r="G812" s="77" t="s">
        <v>7647</v>
      </c>
      <c r="H812" s="78" t="s">
        <v>7514</v>
      </c>
      <c r="I812" s="80">
        <v>1.2</v>
      </c>
      <c r="J812" s="80" t="s">
        <v>4367</v>
      </c>
      <c r="K812" s="80" t="s">
        <v>4386</v>
      </c>
      <c r="L812" s="79"/>
      <c r="M812" s="79"/>
      <c r="N812" s="79"/>
      <c r="O812" s="111"/>
      <c r="P812" s="80"/>
      <c r="R812" s="77" t="s">
        <v>2953</v>
      </c>
      <c r="T812" s="89"/>
      <c r="X812" s="81"/>
      <c r="Y812" s="81"/>
      <c r="Z812" s="79"/>
      <c r="AA812" s="87"/>
      <c r="AB812" s="88" t="s">
        <v>7515</v>
      </c>
    </row>
    <row r="813" spans="1:28" s="77" customFormat="1" ht="21.75" customHeight="1" x14ac:dyDescent="0.2">
      <c r="A813" s="77" t="s">
        <v>7444</v>
      </c>
      <c r="B813" s="77" t="s">
        <v>7447</v>
      </c>
      <c r="C813" s="77" t="s">
        <v>7445</v>
      </c>
      <c r="E813" s="77" t="s">
        <v>33</v>
      </c>
      <c r="F813" s="77" t="s">
        <v>212</v>
      </c>
      <c r="G813" s="77" t="s">
        <v>1870</v>
      </c>
      <c r="H813" s="78" t="s">
        <v>7516</v>
      </c>
      <c r="I813" s="80">
        <v>2</v>
      </c>
      <c r="J813" s="80" t="s">
        <v>4367</v>
      </c>
      <c r="K813" s="80" t="s">
        <v>4386</v>
      </c>
      <c r="L813" s="79"/>
      <c r="M813" s="79"/>
      <c r="N813" s="79"/>
      <c r="O813" s="111"/>
      <c r="P813" s="80"/>
      <c r="R813" s="77" t="s">
        <v>2953</v>
      </c>
      <c r="T813" s="89"/>
      <c r="X813" s="81"/>
      <c r="Y813" s="81"/>
      <c r="Z813" s="79"/>
      <c r="AA813" s="87"/>
      <c r="AB813" s="88" t="s">
        <v>7517</v>
      </c>
    </row>
    <row r="814" spans="1:28" s="77" customFormat="1" ht="21.75" customHeight="1" x14ac:dyDescent="0.2">
      <c r="A814" s="77" t="s">
        <v>7444</v>
      </c>
      <c r="B814" s="77" t="s">
        <v>7447</v>
      </c>
      <c r="C814" s="77" t="s">
        <v>7445</v>
      </c>
      <c r="E814" s="77" t="s">
        <v>33</v>
      </c>
      <c r="F814" s="77" t="s">
        <v>212</v>
      </c>
      <c r="G814" s="77" t="s">
        <v>1870</v>
      </c>
      <c r="H814" s="78" t="s">
        <v>7516</v>
      </c>
      <c r="I814" s="80">
        <v>3.5</v>
      </c>
      <c r="J814" s="80" t="s">
        <v>4367</v>
      </c>
      <c r="K814" s="80" t="s">
        <v>4386</v>
      </c>
      <c r="L814" s="79"/>
      <c r="M814" s="79"/>
      <c r="N814" s="79"/>
      <c r="O814" s="111"/>
      <c r="P814" s="80"/>
      <c r="R814" s="77" t="s">
        <v>2953</v>
      </c>
      <c r="T814" s="89"/>
      <c r="X814" s="81"/>
      <c r="Y814" s="81"/>
      <c r="Z814" s="79"/>
      <c r="AA814" s="87"/>
      <c r="AB814" s="88" t="s">
        <v>7518</v>
      </c>
    </row>
    <row r="815" spans="1:28" s="77" customFormat="1" ht="21.75" customHeight="1" x14ac:dyDescent="0.2">
      <c r="A815" s="77" t="s">
        <v>7444</v>
      </c>
      <c r="B815" s="77" t="s">
        <v>7447</v>
      </c>
      <c r="C815" s="77" t="s">
        <v>7445</v>
      </c>
      <c r="E815" s="77" t="s">
        <v>33</v>
      </c>
      <c r="F815" s="77" t="s">
        <v>212</v>
      </c>
      <c r="G815" s="77" t="s">
        <v>1870</v>
      </c>
      <c r="H815" s="78" t="s">
        <v>7516</v>
      </c>
      <c r="I815" s="80">
        <v>3.8</v>
      </c>
      <c r="J815" s="80" t="s">
        <v>4367</v>
      </c>
      <c r="K815" s="80" t="s">
        <v>4386</v>
      </c>
      <c r="L815" s="79"/>
      <c r="M815" s="79"/>
      <c r="N815" s="79"/>
      <c r="O815" s="111"/>
      <c r="P815" s="80"/>
      <c r="R815" s="77" t="s">
        <v>2953</v>
      </c>
      <c r="T815" s="89"/>
      <c r="X815" s="81"/>
      <c r="Y815" s="81"/>
      <c r="Z815" s="79"/>
      <c r="AA815" s="87"/>
      <c r="AB815" s="88" t="s">
        <v>7519</v>
      </c>
    </row>
    <row r="816" spans="1:28" s="77" customFormat="1" ht="21.75" customHeight="1" x14ac:dyDescent="0.2">
      <c r="A816" s="77" t="s">
        <v>7444</v>
      </c>
      <c r="B816" s="77" t="s">
        <v>7447</v>
      </c>
      <c r="C816" s="77" t="s">
        <v>7445</v>
      </c>
      <c r="E816" s="77" t="s">
        <v>33</v>
      </c>
      <c r="F816" s="77" t="s">
        <v>212</v>
      </c>
      <c r="G816" s="77" t="s">
        <v>7648</v>
      </c>
      <c r="H816" s="78" t="s">
        <v>7520</v>
      </c>
      <c r="I816" s="80">
        <v>2.6</v>
      </c>
      <c r="J816" s="80" t="s">
        <v>4367</v>
      </c>
      <c r="K816" s="80" t="s">
        <v>4386</v>
      </c>
      <c r="L816" s="79"/>
      <c r="M816" s="79"/>
      <c r="N816" s="79"/>
      <c r="O816" s="111"/>
      <c r="P816" s="80"/>
      <c r="R816" s="77" t="s">
        <v>2953</v>
      </c>
      <c r="T816" s="89"/>
      <c r="X816" s="81"/>
      <c r="Y816" s="81"/>
      <c r="Z816" s="79"/>
      <c r="AA816" s="87"/>
      <c r="AB816" s="88" t="s">
        <v>7521</v>
      </c>
    </row>
    <row r="817" spans="1:28" s="77" customFormat="1" ht="21.75" customHeight="1" x14ac:dyDescent="0.2">
      <c r="A817" s="77" t="s">
        <v>7444</v>
      </c>
      <c r="B817" s="77" t="s">
        <v>7447</v>
      </c>
      <c r="C817" s="77" t="s">
        <v>7445</v>
      </c>
      <c r="E817" s="77" t="s">
        <v>33</v>
      </c>
      <c r="F817" s="77" t="s">
        <v>212</v>
      </c>
      <c r="G817" s="77" t="s">
        <v>7649</v>
      </c>
      <c r="H817" s="78" t="s">
        <v>7522</v>
      </c>
      <c r="I817" s="80">
        <v>2.4</v>
      </c>
      <c r="J817" s="80" t="s">
        <v>4367</v>
      </c>
      <c r="K817" s="80" t="s">
        <v>4386</v>
      </c>
      <c r="L817" s="79"/>
      <c r="M817" s="79"/>
      <c r="N817" s="79"/>
      <c r="O817" s="111"/>
      <c r="P817" s="80"/>
      <c r="R817" s="77" t="s">
        <v>2953</v>
      </c>
      <c r="T817" s="89"/>
      <c r="X817" s="81"/>
      <c r="Y817" s="81"/>
      <c r="Z817" s="79"/>
      <c r="AA817" s="87"/>
      <c r="AB817" s="88" t="s">
        <v>7523</v>
      </c>
    </row>
    <row r="818" spans="1:28" s="77" customFormat="1" ht="21.75" customHeight="1" x14ac:dyDescent="0.2">
      <c r="A818" s="77" t="s">
        <v>7444</v>
      </c>
      <c r="B818" s="77" t="s">
        <v>7447</v>
      </c>
      <c r="C818" s="77" t="s">
        <v>7445</v>
      </c>
      <c r="E818" s="77" t="s">
        <v>33</v>
      </c>
      <c r="F818" s="77" t="s">
        <v>212</v>
      </c>
      <c r="G818" s="77" t="s">
        <v>7651</v>
      </c>
      <c r="H818" s="78" t="s">
        <v>7650</v>
      </c>
      <c r="I818" s="80">
        <v>1.3</v>
      </c>
      <c r="J818" s="80" t="s">
        <v>4367</v>
      </c>
      <c r="K818" s="80" t="s">
        <v>4386</v>
      </c>
      <c r="L818" s="79"/>
      <c r="M818" s="79"/>
      <c r="N818" s="79"/>
      <c r="O818" s="111"/>
      <c r="P818" s="80"/>
      <c r="R818" s="77" t="s">
        <v>3489</v>
      </c>
      <c r="T818" s="89"/>
      <c r="X818" s="81"/>
      <c r="Y818" s="81"/>
      <c r="Z818" s="79"/>
      <c r="AA818" s="87"/>
      <c r="AB818" s="88" t="s">
        <v>7524</v>
      </c>
    </row>
    <row r="819" spans="1:28" s="77" customFormat="1" ht="21.75" customHeight="1" x14ac:dyDescent="0.2">
      <c r="A819" s="77" t="s">
        <v>7444</v>
      </c>
      <c r="B819" s="77" t="s">
        <v>7447</v>
      </c>
      <c r="C819" s="77" t="s">
        <v>7445</v>
      </c>
      <c r="E819" s="77" t="s">
        <v>33</v>
      </c>
      <c r="F819" s="77" t="s">
        <v>212</v>
      </c>
      <c r="G819" s="77" t="s">
        <v>7652</v>
      </c>
      <c r="H819" s="78" t="s">
        <v>7525</v>
      </c>
      <c r="I819" s="80">
        <v>2</v>
      </c>
      <c r="J819" s="80" t="s">
        <v>4367</v>
      </c>
      <c r="K819" s="80" t="s">
        <v>4386</v>
      </c>
      <c r="L819" s="79"/>
      <c r="M819" s="79"/>
      <c r="N819" s="79"/>
      <c r="O819" s="111"/>
      <c r="P819" s="80"/>
      <c r="R819" s="77" t="s">
        <v>2953</v>
      </c>
      <c r="T819" s="89"/>
      <c r="X819" s="81"/>
      <c r="Y819" s="81"/>
      <c r="Z819" s="79"/>
      <c r="AA819" s="87"/>
      <c r="AB819" s="88" t="s">
        <v>7526</v>
      </c>
    </row>
    <row r="820" spans="1:28" s="77" customFormat="1" ht="21.75" customHeight="1" x14ac:dyDescent="0.2">
      <c r="A820" s="77" t="s">
        <v>7444</v>
      </c>
      <c r="B820" s="77" t="s">
        <v>7447</v>
      </c>
      <c r="C820" s="77" t="s">
        <v>7445</v>
      </c>
      <c r="E820" s="77" t="s">
        <v>33</v>
      </c>
      <c r="F820" s="77" t="s">
        <v>212</v>
      </c>
      <c r="G820" s="77" t="s">
        <v>7653</v>
      </c>
      <c r="H820" s="78" t="s">
        <v>7527</v>
      </c>
      <c r="I820" s="80">
        <v>2</v>
      </c>
      <c r="J820" s="80" t="s">
        <v>4367</v>
      </c>
      <c r="K820" s="80" t="s">
        <v>4386</v>
      </c>
      <c r="L820" s="79"/>
      <c r="M820" s="79"/>
      <c r="N820" s="79"/>
      <c r="O820" s="111"/>
      <c r="P820" s="80"/>
      <c r="R820" s="77" t="s">
        <v>2953</v>
      </c>
      <c r="T820" s="89"/>
      <c r="X820" s="81"/>
      <c r="Y820" s="81"/>
      <c r="Z820" s="79"/>
      <c r="AA820" s="87"/>
      <c r="AB820" s="88" t="s">
        <v>7528</v>
      </c>
    </row>
    <row r="821" spans="1:28" s="77" customFormat="1" ht="21.75" customHeight="1" x14ac:dyDescent="0.2">
      <c r="A821" s="77" t="s">
        <v>7444</v>
      </c>
      <c r="B821" s="77" t="s">
        <v>7447</v>
      </c>
      <c r="C821" s="77" t="s">
        <v>7445</v>
      </c>
      <c r="E821" s="77" t="s">
        <v>33</v>
      </c>
      <c r="F821" s="77" t="s">
        <v>212</v>
      </c>
      <c r="G821" s="77" t="s">
        <v>7654</v>
      </c>
      <c r="H821" s="78" t="s">
        <v>7529</v>
      </c>
      <c r="I821" s="80">
        <v>3.2</v>
      </c>
      <c r="J821" s="80" t="s">
        <v>4367</v>
      </c>
      <c r="K821" s="80" t="s">
        <v>4386</v>
      </c>
      <c r="L821" s="79"/>
      <c r="M821" s="79"/>
      <c r="N821" s="79"/>
      <c r="O821" s="111"/>
      <c r="P821" s="80"/>
      <c r="R821" s="77" t="s">
        <v>7530</v>
      </c>
      <c r="T821" s="89"/>
      <c r="X821" s="81"/>
      <c r="Y821" s="81"/>
      <c r="Z821" s="79"/>
      <c r="AA821" s="87"/>
      <c r="AB821" s="88" t="s">
        <v>7531</v>
      </c>
    </row>
    <row r="822" spans="1:28" s="77" customFormat="1" ht="21.75" customHeight="1" x14ac:dyDescent="0.2">
      <c r="A822" s="77" t="s">
        <v>7444</v>
      </c>
      <c r="B822" s="77" t="s">
        <v>7447</v>
      </c>
      <c r="C822" s="77" t="s">
        <v>7445</v>
      </c>
      <c r="E822" s="77" t="s">
        <v>33</v>
      </c>
      <c r="F822" s="77" t="s">
        <v>212</v>
      </c>
      <c r="G822" s="77" t="s">
        <v>7533</v>
      </c>
      <c r="H822" s="78" t="s">
        <v>7532</v>
      </c>
      <c r="I822" s="80">
        <v>2.4</v>
      </c>
      <c r="J822" s="80" t="s">
        <v>4367</v>
      </c>
      <c r="K822" s="80" t="s">
        <v>4386</v>
      </c>
      <c r="L822" s="79"/>
      <c r="M822" s="79"/>
      <c r="N822" s="79"/>
      <c r="O822" s="111"/>
      <c r="P822" s="80"/>
      <c r="R822" s="77" t="s">
        <v>2953</v>
      </c>
      <c r="T822" s="89"/>
      <c r="X822" s="81"/>
      <c r="Y822" s="81"/>
      <c r="Z822" s="79"/>
      <c r="AA822" s="87"/>
      <c r="AB822" s="88" t="s">
        <v>7534</v>
      </c>
    </row>
    <row r="823" spans="1:28" s="77" customFormat="1" ht="21.75" customHeight="1" x14ac:dyDescent="0.2">
      <c r="A823" s="77" t="s">
        <v>7444</v>
      </c>
      <c r="B823" s="77" t="s">
        <v>7447</v>
      </c>
      <c r="C823" s="77" t="s">
        <v>7445</v>
      </c>
      <c r="E823" s="77" t="s">
        <v>33</v>
      </c>
      <c r="F823" s="77" t="s">
        <v>212</v>
      </c>
      <c r="G823" s="77" t="s">
        <v>7533</v>
      </c>
      <c r="H823" s="78" t="s">
        <v>7532</v>
      </c>
      <c r="I823" s="80">
        <v>2.4</v>
      </c>
      <c r="J823" s="80" t="s">
        <v>4367</v>
      </c>
      <c r="K823" s="80" t="s">
        <v>4386</v>
      </c>
      <c r="L823" s="79"/>
      <c r="M823" s="79"/>
      <c r="N823" s="79"/>
      <c r="O823" s="111"/>
      <c r="P823" s="80"/>
      <c r="R823" s="77" t="s">
        <v>2953</v>
      </c>
      <c r="T823" s="89"/>
      <c r="X823" s="81"/>
      <c r="Y823" s="81"/>
      <c r="Z823" s="79"/>
      <c r="AA823" s="87"/>
      <c r="AB823" s="88" t="s">
        <v>7535</v>
      </c>
    </row>
    <row r="824" spans="1:28" s="77" customFormat="1" ht="21.75" customHeight="1" x14ac:dyDescent="0.2">
      <c r="A824" s="77" t="s">
        <v>7444</v>
      </c>
      <c r="B824" s="77" t="s">
        <v>7447</v>
      </c>
      <c r="C824" s="77" t="s">
        <v>7445</v>
      </c>
      <c r="E824" s="77" t="s">
        <v>33</v>
      </c>
      <c r="F824" s="77" t="s">
        <v>212</v>
      </c>
      <c r="H824" s="78" t="s">
        <v>7536</v>
      </c>
      <c r="I824" s="80">
        <v>4.0999999999999996</v>
      </c>
      <c r="J824" s="80" t="s">
        <v>4367</v>
      </c>
      <c r="K824" s="80" t="s">
        <v>4386</v>
      </c>
      <c r="L824" s="79"/>
      <c r="M824" s="79"/>
      <c r="N824" s="79"/>
      <c r="O824" s="111"/>
      <c r="P824" s="80"/>
      <c r="R824" s="77" t="s">
        <v>7450</v>
      </c>
      <c r="T824" s="89"/>
      <c r="X824" s="81"/>
      <c r="Y824" s="81"/>
      <c r="Z824" s="79"/>
      <c r="AA824" s="87"/>
      <c r="AB824" s="88" t="s">
        <v>7537</v>
      </c>
    </row>
    <row r="825" spans="1:28" s="77" customFormat="1" ht="21.75" customHeight="1" x14ac:dyDescent="0.2">
      <c r="A825" s="77" t="s">
        <v>7444</v>
      </c>
      <c r="B825" s="77" t="s">
        <v>7447</v>
      </c>
      <c r="C825" s="77" t="s">
        <v>7445</v>
      </c>
      <c r="E825" s="77" t="s">
        <v>33</v>
      </c>
      <c r="F825" s="77" t="s">
        <v>212</v>
      </c>
      <c r="G825" s="77" t="s">
        <v>7539</v>
      </c>
      <c r="H825" s="78" t="s">
        <v>7538</v>
      </c>
      <c r="I825" s="80">
        <v>1.8</v>
      </c>
      <c r="J825" s="80" t="s">
        <v>4367</v>
      </c>
      <c r="K825" s="80" t="s">
        <v>4386</v>
      </c>
      <c r="L825" s="79"/>
      <c r="M825" s="79"/>
      <c r="N825" s="79"/>
      <c r="O825" s="111"/>
      <c r="P825" s="80"/>
      <c r="R825" s="77" t="s">
        <v>2953</v>
      </c>
      <c r="T825" s="89"/>
      <c r="X825" s="81"/>
      <c r="Y825" s="81"/>
      <c r="Z825" s="79"/>
      <c r="AA825" s="87"/>
      <c r="AB825" s="88" t="s">
        <v>7540</v>
      </c>
    </row>
    <row r="826" spans="1:28" s="77" customFormat="1" ht="21.75" customHeight="1" x14ac:dyDescent="0.2">
      <c r="A826" s="77" t="s">
        <v>7444</v>
      </c>
      <c r="B826" s="77" t="s">
        <v>7447</v>
      </c>
      <c r="C826" s="77" t="s">
        <v>7445</v>
      </c>
      <c r="E826" s="77" t="s">
        <v>33</v>
      </c>
      <c r="F826" s="77" t="s">
        <v>212</v>
      </c>
      <c r="G826" s="77" t="s">
        <v>7542</v>
      </c>
      <c r="H826" s="78" t="s">
        <v>7541</v>
      </c>
      <c r="I826" s="80">
        <v>2.4</v>
      </c>
      <c r="J826" s="80" t="s">
        <v>4367</v>
      </c>
      <c r="K826" s="80" t="s">
        <v>4386</v>
      </c>
      <c r="L826" s="79"/>
      <c r="M826" s="79"/>
      <c r="N826" s="79"/>
      <c r="O826" s="111"/>
      <c r="P826" s="80"/>
      <c r="R826" s="77" t="s">
        <v>2953</v>
      </c>
      <c r="T826" s="89"/>
      <c r="X826" s="81"/>
      <c r="Y826" s="81"/>
      <c r="Z826" s="79"/>
      <c r="AA826" s="87"/>
      <c r="AB826" s="88" t="s">
        <v>7543</v>
      </c>
    </row>
    <row r="827" spans="1:28" s="77" customFormat="1" ht="21.75" customHeight="1" x14ac:dyDescent="0.2">
      <c r="A827" s="77" t="s">
        <v>7444</v>
      </c>
      <c r="B827" s="77" t="s">
        <v>7447</v>
      </c>
      <c r="C827" s="77" t="s">
        <v>7445</v>
      </c>
      <c r="E827" s="77" t="s">
        <v>33</v>
      </c>
      <c r="F827" s="77" t="s">
        <v>212</v>
      </c>
      <c r="G827" s="77" t="s">
        <v>7542</v>
      </c>
      <c r="H827" s="78" t="s">
        <v>7541</v>
      </c>
      <c r="I827" s="80">
        <v>1.8</v>
      </c>
      <c r="J827" s="80" t="s">
        <v>4367</v>
      </c>
      <c r="K827" s="80" t="s">
        <v>4386</v>
      </c>
      <c r="L827" s="79"/>
      <c r="M827" s="79"/>
      <c r="N827" s="79"/>
      <c r="O827" s="111"/>
      <c r="P827" s="80"/>
      <c r="R827" s="77" t="s">
        <v>2953</v>
      </c>
      <c r="T827" s="89"/>
      <c r="X827" s="81"/>
      <c r="Y827" s="81"/>
      <c r="Z827" s="79"/>
      <c r="AA827" s="87"/>
      <c r="AB827" s="88" t="s">
        <v>7544</v>
      </c>
    </row>
    <row r="828" spans="1:28" s="77" customFormat="1" ht="21.75" customHeight="1" x14ac:dyDescent="0.2">
      <c r="A828" s="77" t="s">
        <v>7444</v>
      </c>
      <c r="B828" s="77" t="s">
        <v>7447</v>
      </c>
      <c r="C828" s="77" t="s">
        <v>7445</v>
      </c>
      <c r="E828" s="77" t="s">
        <v>33</v>
      </c>
      <c r="F828" s="77" t="s">
        <v>212</v>
      </c>
      <c r="G828" s="77" t="s">
        <v>7546</v>
      </c>
      <c r="H828" s="78" t="s">
        <v>7545</v>
      </c>
      <c r="I828" s="80">
        <v>1.6</v>
      </c>
      <c r="J828" s="80" t="s">
        <v>4367</v>
      </c>
      <c r="K828" s="80" t="s">
        <v>4386</v>
      </c>
      <c r="L828" s="79"/>
      <c r="M828" s="79"/>
      <c r="N828" s="79"/>
      <c r="O828" s="111"/>
      <c r="P828" s="80"/>
      <c r="R828" s="77" t="s">
        <v>3489</v>
      </c>
      <c r="T828" s="89"/>
      <c r="X828" s="81"/>
      <c r="Y828" s="81"/>
      <c r="Z828" s="79"/>
      <c r="AA828" s="87"/>
      <c r="AB828" s="88" t="s">
        <v>7547</v>
      </c>
    </row>
    <row r="829" spans="1:28" s="98" customFormat="1" ht="21.75" customHeight="1" x14ac:dyDescent="0.2">
      <c r="A829" s="98" t="s">
        <v>7444</v>
      </c>
      <c r="B829" s="98" t="s">
        <v>7447</v>
      </c>
      <c r="C829" s="98" t="s">
        <v>7445</v>
      </c>
      <c r="D829" s="98" t="s">
        <v>7666</v>
      </c>
      <c r="E829" s="98" t="s">
        <v>736</v>
      </c>
      <c r="F829" s="98" t="s">
        <v>212</v>
      </c>
      <c r="G829" s="98" t="s">
        <v>7549</v>
      </c>
      <c r="H829" s="99" t="s">
        <v>7548</v>
      </c>
      <c r="I829" s="100">
        <v>2.4</v>
      </c>
      <c r="J829" s="100" t="s">
        <v>4367</v>
      </c>
      <c r="K829" s="100" t="s">
        <v>4386</v>
      </c>
      <c r="L829" s="101"/>
      <c r="M829" s="101"/>
      <c r="N829" s="101"/>
      <c r="O829" s="115"/>
      <c r="P829" s="100"/>
      <c r="R829" s="98" t="s">
        <v>2953</v>
      </c>
      <c r="T829" s="102"/>
      <c r="X829" s="103">
        <v>35.718699999999998</v>
      </c>
      <c r="Y829" s="103">
        <v>139.74520000000001</v>
      </c>
      <c r="Z829" s="101">
        <v>946</v>
      </c>
      <c r="AA829" s="104"/>
      <c r="AB829" s="105" t="s">
        <v>7667</v>
      </c>
    </row>
    <row r="830" spans="1:28" s="77" customFormat="1" ht="21.75" customHeight="1" x14ac:dyDescent="0.2">
      <c r="A830" s="77" t="s">
        <v>7444</v>
      </c>
      <c r="B830" s="77" t="s">
        <v>7447</v>
      </c>
      <c r="C830" s="77" t="s">
        <v>7445</v>
      </c>
      <c r="E830" s="77" t="s">
        <v>33</v>
      </c>
      <c r="F830" s="77" t="s">
        <v>212</v>
      </c>
      <c r="G830" s="77" t="s">
        <v>7551</v>
      </c>
      <c r="H830" s="78" t="s">
        <v>7550</v>
      </c>
      <c r="I830" s="80">
        <v>2.6</v>
      </c>
      <c r="J830" s="80" t="s">
        <v>4367</v>
      </c>
      <c r="K830" s="80" t="s">
        <v>4386</v>
      </c>
      <c r="L830" s="79"/>
      <c r="M830" s="79"/>
      <c r="N830" s="79"/>
      <c r="O830" s="111"/>
      <c r="P830" s="80"/>
      <c r="R830" s="77" t="s">
        <v>7553</v>
      </c>
      <c r="T830" s="89"/>
      <c r="X830" s="81"/>
      <c r="Y830" s="81"/>
      <c r="Z830" s="79"/>
      <c r="AA830" s="87"/>
      <c r="AB830" s="88" t="s">
        <v>7552</v>
      </c>
    </row>
    <row r="831" spans="1:28" s="77" customFormat="1" ht="21.75" customHeight="1" x14ac:dyDescent="0.2">
      <c r="A831" s="77" t="s">
        <v>7444</v>
      </c>
      <c r="B831" s="77" t="s">
        <v>7447</v>
      </c>
      <c r="C831" s="77" t="s">
        <v>7445</v>
      </c>
      <c r="E831" s="77" t="s">
        <v>736</v>
      </c>
      <c r="F831" s="77" t="s">
        <v>212</v>
      </c>
      <c r="G831" s="77" t="s">
        <v>7555</v>
      </c>
      <c r="H831" s="78" t="s">
        <v>7554</v>
      </c>
      <c r="I831" s="80">
        <v>2.8</v>
      </c>
      <c r="J831" s="80" t="s">
        <v>4367</v>
      </c>
      <c r="K831" s="80" t="s">
        <v>4386</v>
      </c>
      <c r="L831" s="79"/>
      <c r="M831" s="79"/>
      <c r="N831" s="79"/>
      <c r="O831" s="111"/>
      <c r="P831" s="80"/>
      <c r="R831" s="77" t="s">
        <v>7450</v>
      </c>
      <c r="T831" s="89"/>
      <c r="X831" s="81"/>
      <c r="Y831" s="81"/>
      <c r="Z831" s="79"/>
      <c r="AA831" s="87"/>
      <c r="AB831" s="88" t="s">
        <v>7556</v>
      </c>
    </row>
    <row r="832" spans="1:28" s="77" customFormat="1" ht="21.75" customHeight="1" x14ac:dyDescent="0.2">
      <c r="A832" s="77" t="s">
        <v>7444</v>
      </c>
      <c r="B832" s="77" t="s">
        <v>7447</v>
      </c>
      <c r="C832" s="77" t="s">
        <v>7445</v>
      </c>
      <c r="E832" s="77" t="s">
        <v>33</v>
      </c>
      <c r="F832" s="77" t="s">
        <v>212</v>
      </c>
      <c r="G832" s="77" t="s">
        <v>7558</v>
      </c>
      <c r="H832" s="78" t="s">
        <v>7557</v>
      </c>
      <c r="I832" s="80">
        <v>1.2</v>
      </c>
      <c r="J832" s="80" t="s">
        <v>4367</v>
      </c>
      <c r="K832" s="80" t="s">
        <v>4386</v>
      </c>
      <c r="L832" s="79"/>
      <c r="M832" s="79"/>
      <c r="N832" s="79"/>
      <c r="O832" s="111"/>
      <c r="P832" s="80"/>
      <c r="R832" s="77" t="s">
        <v>7450</v>
      </c>
      <c r="T832" s="89"/>
      <c r="X832" s="81"/>
      <c r="Y832" s="81"/>
      <c r="Z832" s="79"/>
      <c r="AA832" s="87"/>
      <c r="AB832" s="88" t="s">
        <v>7559</v>
      </c>
    </row>
    <row r="833" spans="1:28" s="77" customFormat="1" ht="21.75" customHeight="1" x14ac:dyDescent="0.2">
      <c r="A833" s="77" t="s">
        <v>7444</v>
      </c>
      <c r="B833" s="77" t="s">
        <v>7447</v>
      </c>
      <c r="C833" s="77" t="s">
        <v>7445</v>
      </c>
      <c r="E833" s="77" t="s">
        <v>33</v>
      </c>
      <c r="F833" s="77" t="s">
        <v>212</v>
      </c>
      <c r="G833" s="77" t="s">
        <v>7561</v>
      </c>
      <c r="H833" s="78" t="s">
        <v>7560</v>
      </c>
      <c r="I833" s="80">
        <v>1</v>
      </c>
      <c r="J833" s="80" t="s">
        <v>4367</v>
      </c>
      <c r="K833" s="80" t="s">
        <v>4386</v>
      </c>
      <c r="L833" s="79"/>
      <c r="M833" s="79"/>
      <c r="N833" s="79"/>
      <c r="O833" s="111"/>
      <c r="P833" s="80"/>
      <c r="R833" s="77" t="s">
        <v>3489</v>
      </c>
      <c r="T833" s="89"/>
      <c r="X833" s="81"/>
      <c r="Y833" s="81"/>
      <c r="Z833" s="79"/>
      <c r="AA833" s="87"/>
      <c r="AB833" s="88" t="s">
        <v>7562</v>
      </c>
    </row>
    <row r="834" spans="1:28" s="77" customFormat="1" ht="21.75" customHeight="1" x14ac:dyDescent="0.2">
      <c r="A834" s="77" t="s">
        <v>7444</v>
      </c>
      <c r="B834" s="77" t="s">
        <v>7447</v>
      </c>
      <c r="C834" s="77" t="s">
        <v>7445</v>
      </c>
      <c r="E834" s="77" t="s">
        <v>33</v>
      </c>
      <c r="F834" s="77" t="s">
        <v>212</v>
      </c>
      <c r="G834" s="77" t="s">
        <v>7561</v>
      </c>
      <c r="H834" s="78" t="s">
        <v>7560</v>
      </c>
      <c r="I834" s="80">
        <v>1.4</v>
      </c>
      <c r="J834" s="80" t="s">
        <v>4367</v>
      </c>
      <c r="K834" s="80" t="s">
        <v>4386</v>
      </c>
      <c r="L834" s="79"/>
      <c r="M834" s="79"/>
      <c r="N834" s="79"/>
      <c r="O834" s="111"/>
      <c r="P834" s="80"/>
      <c r="R834" s="77" t="s">
        <v>3489</v>
      </c>
      <c r="T834" s="89"/>
      <c r="X834" s="81"/>
      <c r="Y834" s="81"/>
      <c r="Z834" s="79"/>
      <c r="AA834" s="87"/>
      <c r="AB834" s="88" t="s">
        <v>7563</v>
      </c>
    </row>
    <row r="835" spans="1:28" s="77" customFormat="1" ht="21.75" customHeight="1" x14ac:dyDescent="0.2">
      <c r="A835" s="77" t="s">
        <v>7444</v>
      </c>
      <c r="B835" s="77" t="s">
        <v>7447</v>
      </c>
      <c r="C835" s="77" t="s">
        <v>7445</v>
      </c>
      <c r="E835" s="77" t="s">
        <v>33</v>
      </c>
      <c r="F835" s="77" t="s">
        <v>1302</v>
      </c>
      <c r="G835" s="77" t="s">
        <v>7565</v>
      </c>
      <c r="H835" s="78" t="s">
        <v>7564</v>
      </c>
      <c r="I835" s="80">
        <v>1.4</v>
      </c>
      <c r="J835" s="80" t="s">
        <v>4367</v>
      </c>
      <c r="K835" s="80" t="s">
        <v>4386</v>
      </c>
      <c r="L835" s="79"/>
      <c r="M835" s="79"/>
      <c r="N835" s="79"/>
      <c r="O835" s="111"/>
      <c r="P835" s="80"/>
      <c r="R835" s="77" t="s">
        <v>7450</v>
      </c>
      <c r="T835" s="89"/>
      <c r="X835" s="81"/>
      <c r="Y835" s="81"/>
      <c r="Z835" s="79"/>
      <c r="AA835" s="87"/>
      <c r="AB835" s="88" t="s">
        <v>7566</v>
      </c>
    </row>
    <row r="836" spans="1:28" s="77" customFormat="1" ht="21.75" customHeight="1" x14ac:dyDescent="0.2">
      <c r="A836" s="77" t="s">
        <v>7444</v>
      </c>
      <c r="B836" s="77" t="s">
        <v>7447</v>
      </c>
      <c r="C836" s="77" t="s">
        <v>7445</v>
      </c>
      <c r="E836" s="77" t="s">
        <v>33</v>
      </c>
      <c r="F836" s="77" t="s">
        <v>1302</v>
      </c>
      <c r="G836" s="77" t="s">
        <v>7565</v>
      </c>
      <c r="H836" s="78" t="s">
        <v>7564</v>
      </c>
      <c r="I836" s="80">
        <v>1.1000000000000001</v>
      </c>
      <c r="J836" s="80" t="s">
        <v>4367</v>
      </c>
      <c r="K836" s="80" t="s">
        <v>4386</v>
      </c>
      <c r="L836" s="79"/>
      <c r="M836" s="79"/>
      <c r="N836" s="79"/>
      <c r="O836" s="111"/>
      <c r="P836" s="80"/>
      <c r="R836" s="77" t="s">
        <v>3489</v>
      </c>
      <c r="T836" s="89"/>
      <c r="X836" s="81"/>
      <c r="Y836" s="81"/>
      <c r="Z836" s="79"/>
      <c r="AA836" s="87"/>
      <c r="AB836" s="88" t="s">
        <v>7567</v>
      </c>
    </row>
    <row r="837" spans="1:28" s="77" customFormat="1" ht="21.75" customHeight="1" x14ac:dyDescent="0.2">
      <c r="A837" s="77" t="s">
        <v>7444</v>
      </c>
      <c r="B837" s="77" t="s">
        <v>7447</v>
      </c>
      <c r="C837" s="77" t="s">
        <v>7445</v>
      </c>
      <c r="E837" s="77" t="s">
        <v>33</v>
      </c>
      <c r="F837" s="77" t="s">
        <v>212</v>
      </c>
      <c r="G837" s="77" t="s">
        <v>7569</v>
      </c>
      <c r="H837" s="78" t="s">
        <v>7568</v>
      </c>
      <c r="I837" s="80">
        <v>1.9</v>
      </c>
      <c r="J837" s="80" t="s">
        <v>4367</v>
      </c>
      <c r="K837" s="80" t="s">
        <v>4386</v>
      </c>
      <c r="L837" s="79"/>
      <c r="M837" s="79"/>
      <c r="N837" s="79"/>
      <c r="O837" s="111"/>
      <c r="P837" s="80"/>
      <c r="R837" s="77" t="s">
        <v>7450</v>
      </c>
      <c r="T837" s="89"/>
      <c r="X837" s="81"/>
      <c r="Y837" s="81"/>
      <c r="Z837" s="79"/>
      <c r="AA837" s="87"/>
      <c r="AB837" s="88" t="s">
        <v>7570</v>
      </c>
    </row>
    <row r="838" spans="1:28" s="77" customFormat="1" ht="21.75" customHeight="1" x14ac:dyDescent="0.2">
      <c r="A838" s="77" t="s">
        <v>7444</v>
      </c>
      <c r="B838" s="77" t="s">
        <v>7447</v>
      </c>
      <c r="C838" s="77" t="s">
        <v>7445</v>
      </c>
      <c r="E838" s="77" t="s">
        <v>33</v>
      </c>
      <c r="F838" s="77" t="s">
        <v>212</v>
      </c>
      <c r="G838" s="77" t="s">
        <v>7572</v>
      </c>
      <c r="H838" s="78" t="s">
        <v>7571</v>
      </c>
      <c r="I838" s="80">
        <v>1.5</v>
      </c>
      <c r="J838" s="80" t="s">
        <v>4367</v>
      </c>
      <c r="K838" s="80" t="s">
        <v>4386</v>
      </c>
      <c r="L838" s="79"/>
      <c r="M838" s="79"/>
      <c r="N838" s="79"/>
      <c r="O838" s="111"/>
      <c r="P838" s="80"/>
      <c r="R838" s="77" t="s">
        <v>3489</v>
      </c>
      <c r="T838" s="89"/>
      <c r="X838" s="81"/>
      <c r="Y838" s="81"/>
      <c r="Z838" s="79"/>
      <c r="AA838" s="87"/>
      <c r="AB838" s="88" t="s">
        <v>7573</v>
      </c>
    </row>
    <row r="839" spans="1:28" s="77" customFormat="1" ht="21.75" customHeight="1" x14ac:dyDescent="0.2">
      <c r="A839" s="77" t="s">
        <v>7444</v>
      </c>
      <c r="B839" s="77" t="s">
        <v>7447</v>
      </c>
      <c r="C839" s="77" t="s">
        <v>7445</v>
      </c>
      <c r="E839" s="77" t="s">
        <v>33</v>
      </c>
      <c r="F839" s="77" t="s">
        <v>212</v>
      </c>
      <c r="G839" s="77" t="s">
        <v>7572</v>
      </c>
      <c r="H839" s="78" t="s">
        <v>7571</v>
      </c>
      <c r="I839" s="80">
        <v>1.7</v>
      </c>
      <c r="J839" s="80" t="s">
        <v>4367</v>
      </c>
      <c r="K839" s="80" t="s">
        <v>4386</v>
      </c>
      <c r="L839" s="79"/>
      <c r="M839" s="79"/>
      <c r="N839" s="79"/>
      <c r="O839" s="111"/>
      <c r="P839" s="80"/>
      <c r="R839" s="77" t="s">
        <v>3489</v>
      </c>
      <c r="T839" s="89"/>
      <c r="X839" s="81"/>
      <c r="Y839" s="81"/>
      <c r="Z839" s="79"/>
      <c r="AA839" s="87"/>
      <c r="AB839" s="88" t="s">
        <v>7574</v>
      </c>
    </row>
    <row r="840" spans="1:28" s="77" customFormat="1" ht="21.75" customHeight="1" x14ac:dyDescent="0.2">
      <c r="A840" s="77" t="s">
        <v>7444</v>
      </c>
      <c r="B840" s="77" t="s">
        <v>7447</v>
      </c>
      <c r="C840" s="77" t="s">
        <v>7445</v>
      </c>
      <c r="E840" s="77" t="s">
        <v>33</v>
      </c>
      <c r="F840" s="77" t="s">
        <v>212</v>
      </c>
      <c r="G840" s="77" t="s">
        <v>7572</v>
      </c>
      <c r="H840" s="78" t="s">
        <v>7571</v>
      </c>
      <c r="I840" s="80">
        <v>0.8</v>
      </c>
      <c r="J840" s="80" t="s">
        <v>4367</v>
      </c>
      <c r="K840" s="80" t="s">
        <v>4386</v>
      </c>
      <c r="L840" s="79"/>
      <c r="M840" s="79"/>
      <c r="N840" s="79"/>
      <c r="O840" s="111"/>
      <c r="P840" s="80"/>
      <c r="R840" s="77" t="s">
        <v>3489</v>
      </c>
      <c r="T840" s="89"/>
      <c r="X840" s="81"/>
      <c r="Y840" s="81"/>
      <c r="Z840" s="79"/>
      <c r="AA840" s="87"/>
      <c r="AB840" s="88" t="s">
        <v>7575</v>
      </c>
    </row>
    <row r="841" spans="1:28" s="77" customFormat="1" ht="21.75" customHeight="1" x14ac:dyDescent="0.2">
      <c r="A841" s="77" t="s">
        <v>7444</v>
      </c>
      <c r="B841" s="77" t="s">
        <v>7447</v>
      </c>
      <c r="C841" s="77" t="s">
        <v>7445</v>
      </c>
      <c r="E841" s="77" t="s">
        <v>33</v>
      </c>
      <c r="F841" s="77" t="s">
        <v>212</v>
      </c>
      <c r="G841" s="77" t="s">
        <v>7572</v>
      </c>
      <c r="H841" s="78" t="s">
        <v>7571</v>
      </c>
      <c r="I841" s="80">
        <v>0.9</v>
      </c>
      <c r="J841" s="80" t="s">
        <v>4367</v>
      </c>
      <c r="K841" s="80" t="s">
        <v>4386</v>
      </c>
      <c r="L841" s="79"/>
      <c r="M841" s="79"/>
      <c r="N841" s="79"/>
      <c r="O841" s="111"/>
      <c r="P841" s="80"/>
      <c r="R841" s="77" t="s">
        <v>3489</v>
      </c>
      <c r="T841" s="89"/>
      <c r="X841" s="81"/>
      <c r="Y841" s="81"/>
      <c r="Z841" s="79"/>
      <c r="AA841" s="87"/>
      <c r="AB841" s="88" t="s">
        <v>7576</v>
      </c>
    </row>
    <row r="842" spans="1:28" s="77" customFormat="1" ht="21.75" customHeight="1" x14ac:dyDescent="0.2">
      <c r="A842" s="77" t="s">
        <v>7444</v>
      </c>
      <c r="B842" s="77" t="s">
        <v>7447</v>
      </c>
      <c r="C842" s="77" t="s">
        <v>7445</v>
      </c>
      <c r="E842" s="77" t="s">
        <v>33</v>
      </c>
      <c r="F842" s="77" t="s">
        <v>212</v>
      </c>
      <c r="G842" s="77" t="s">
        <v>7578</v>
      </c>
      <c r="H842" s="78" t="s">
        <v>7577</v>
      </c>
      <c r="I842" s="80">
        <v>0.5</v>
      </c>
      <c r="J842" s="80" t="s">
        <v>4367</v>
      </c>
      <c r="K842" s="80" t="s">
        <v>4386</v>
      </c>
      <c r="L842" s="79"/>
      <c r="M842" s="79"/>
      <c r="N842" s="79"/>
      <c r="O842" s="111"/>
      <c r="P842" s="80"/>
      <c r="R842" s="77" t="s">
        <v>3489</v>
      </c>
      <c r="T842" s="89"/>
      <c r="X842" s="81"/>
      <c r="Y842" s="81"/>
      <c r="Z842" s="79"/>
      <c r="AA842" s="87"/>
      <c r="AB842" s="88" t="s">
        <v>7579</v>
      </c>
    </row>
    <row r="843" spans="1:28" s="77" customFormat="1" ht="21.75" customHeight="1" x14ac:dyDescent="0.2">
      <c r="A843" s="77" t="s">
        <v>7444</v>
      </c>
      <c r="B843" s="77" t="s">
        <v>7447</v>
      </c>
      <c r="C843" s="77" t="s">
        <v>7445</v>
      </c>
      <c r="E843" s="77" t="s">
        <v>33</v>
      </c>
      <c r="F843" s="77" t="s">
        <v>212</v>
      </c>
      <c r="G843" s="77" t="s">
        <v>7578</v>
      </c>
      <c r="H843" s="78" t="s">
        <v>7580</v>
      </c>
      <c r="I843" s="80">
        <v>1</v>
      </c>
      <c r="J843" s="80" t="s">
        <v>4367</v>
      </c>
      <c r="K843" s="80" t="s">
        <v>4386</v>
      </c>
      <c r="L843" s="79"/>
      <c r="M843" s="79"/>
      <c r="N843" s="79"/>
      <c r="O843" s="111"/>
      <c r="P843" s="80"/>
      <c r="R843" s="77" t="s">
        <v>3489</v>
      </c>
      <c r="T843" s="89"/>
      <c r="X843" s="81"/>
      <c r="Y843" s="81"/>
      <c r="Z843" s="79"/>
      <c r="AA843" s="87"/>
      <c r="AB843" s="88" t="s">
        <v>7581</v>
      </c>
    </row>
    <row r="844" spans="1:28" s="77" customFormat="1" ht="21.75" customHeight="1" x14ac:dyDescent="0.2">
      <c r="A844" s="77" t="s">
        <v>7444</v>
      </c>
      <c r="B844" s="77" t="s">
        <v>7447</v>
      </c>
      <c r="C844" s="77" t="s">
        <v>7445</v>
      </c>
      <c r="E844" s="77" t="s">
        <v>33</v>
      </c>
      <c r="F844" s="77" t="s">
        <v>212</v>
      </c>
      <c r="G844" s="77" t="s">
        <v>7578</v>
      </c>
      <c r="H844" s="78" t="s">
        <v>7582</v>
      </c>
      <c r="I844" s="80">
        <v>1.1000000000000001</v>
      </c>
      <c r="J844" s="80" t="s">
        <v>4367</v>
      </c>
      <c r="K844" s="80" t="s">
        <v>4386</v>
      </c>
      <c r="L844" s="79"/>
      <c r="M844" s="79"/>
      <c r="N844" s="79"/>
      <c r="O844" s="111"/>
      <c r="P844" s="80"/>
      <c r="R844" s="77" t="s">
        <v>3489</v>
      </c>
      <c r="T844" s="89"/>
      <c r="X844" s="81"/>
      <c r="Y844" s="81"/>
      <c r="Z844" s="79"/>
      <c r="AA844" s="87"/>
      <c r="AB844" s="88" t="s">
        <v>7583</v>
      </c>
    </row>
    <row r="845" spans="1:28" s="77" customFormat="1" ht="21.75" customHeight="1" x14ac:dyDescent="0.2">
      <c r="A845" s="77" t="s">
        <v>7444</v>
      </c>
      <c r="B845" s="77" t="s">
        <v>7447</v>
      </c>
      <c r="C845" s="77" t="s">
        <v>7445</v>
      </c>
      <c r="E845" s="77" t="s">
        <v>33</v>
      </c>
      <c r="F845" s="77" t="s">
        <v>212</v>
      </c>
      <c r="G845" s="77" t="s">
        <v>7578</v>
      </c>
      <c r="H845" s="78" t="s">
        <v>7584</v>
      </c>
      <c r="I845" s="80">
        <v>1.2</v>
      </c>
      <c r="J845" s="80" t="s">
        <v>4367</v>
      </c>
      <c r="K845" s="80" t="s">
        <v>4386</v>
      </c>
      <c r="L845" s="79"/>
      <c r="M845" s="79"/>
      <c r="N845" s="79"/>
      <c r="O845" s="111"/>
      <c r="P845" s="80"/>
      <c r="R845" s="77" t="s">
        <v>7450</v>
      </c>
      <c r="T845" s="89"/>
      <c r="X845" s="81"/>
      <c r="Y845" s="81"/>
      <c r="Z845" s="79"/>
      <c r="AA845" s="87"/>
      <c r="AB845" s="88" t="s">
        <v>7585</v>
      </c>
    </row>
    <row r="846" spans="1:28" s="77" customFormat="1" ht="21.75" customHeight="1" x14ac:dyDescent="0.2">
      <c r="A846" s="77" t="s">
        <v>7444</v>
      </c>
      <c r="B846" s="77" t="s">
        <v>7447</v>
      </c>
      <c r="C846" s="77" t="s">
        <v>7445</v>
      </c>
      <c r="E846" s="77" t="s">
        <v>33</v>
      </c>
      <c r="F846" s="77" t="s">
        <v>212</v>
      </c>
      <c r="G846" s="77" t="s">
        <v>7578</v>
      </c>
      <c r="H846" s="78" t="s">
        <v>7586</v>
      </c>
      <c r="I846" s="80">
        <v>1.1000000000000001</v>
      </c>
      <c r="J846" s="80" t="s">
        <v>4367</v>
      </c>
      <c r="K846" s="80" t="s">
        <v>4386</v>
      </c>
      <c r="L846" s="79"/>
      <c r="M846" s="79"/>
      <c r="N846" s="79"/>
      <c r="O846" s="111"/>
      <c r="P846" s="80"/>
      <c r="R846" s="77" t="s">
        <v>3489</v>
      </c>
      <c r="T846" s="89"/>
      <c r="X846" s="81"/>
      <c r="Y846" s="81"/>
      <c r="Z846" s="79"/>
      <c r="AA846" s="87"/>
      <c r="AB846" s="88" t="s">
        <v>7587</v>
      </c>
    </row>
    <row r="847" spans="1:28" s="77" customFormat="1" ht="21.75" customHeight="1" x14ac:dyDescent="0.2">
      <c r="A847" s="77" t="s">
        <v>7444</v>
      </c>
      <c r="B847" s="77" t="s">
        <v>7447</v>
      </c>
      <c r="C847" s="77" t="s">
        <v>7445</v>
      </c>
      <c r="E847" s="77" t="s">
        <v>33</v>
      </c>
      <c r="F847" s="77" t="s">
        <v>212</v>
      </c>
      <c r="G847" s="77" t="s">
        <v>1746</v>
      </c>
      <c r="H847" s="78" t="s">
        <v>7588</v>
      </c>
      <c r="I847" s="80">
        <v>1.8</v>
      </c>
      <c r="J847" s="80" t="s">
        <v>4367</v>
      </c>
      <c r="K847" s="80" t="s">
        <v>4386</v>
      </c>
      <c r="L847" s="79"/>
      <c r="M847" s="79"/>
      <c r="N847" s="79"/>
      <c r="O847" s="111"/>
      <c r="P847" s="80"/>
      <c r="R847" s="77" t="s">
        <v>2953</v>
      </c>
      <c r="T847" s="89"/>
      <c r="X847" s="81"/>
      <c r="Y847" s="81"/>
      <c r="Z847" s="79"/>
      <c r="AA847" s="87"/>
      <c r="AB847" s="88" t="s">
        <v>7589</v>
      </c>
    </row>
    <row r="848" spans="1:28" s="77" customFormat="1" ht="21.75" customHeight="1" x14ac:dyDescent="0.2">
      <c r="A848" s="77" t="s">
        <v>7444</v>
      </c>
      <c r="B848" s="77" t="s">
        <v>7447</v>
      </c>
      <c r="C848" s="77" t="s">
        <v>7445</v>
      </c>
      <c r="E848" s="77" t="s">
        <v>33</v>
      </c>
      <c r="F848" s="77" t="s">
        <v>214</v>
      </c>
      <c r="G848" s="77" t="s">
        <v>7591</v>
      </c>
      <c r="H848" s="78" t="s">
        <v>7590</v>
      </c>
      <c r="I848" s="80">
        <v>0.6</v>
      </c>
      <c r="J848" s="80" t="s">
        <v>4367</v>
      </c>
      <c r="K848" s="80" t="s">
        <v>4386</v>
      </c>
      <c r="L848" s="79"/>
      <c r="M848" s="79"/>
      <c r="N848" s="79"/>
      <c r="O848" s="111"/>
      <c r="P848" s="80"/>
      <c r="R848" s="77" t="s">
        <v>2953</v>
      </c>
      <c r="T848" s="89"/>
      <c r="X848" s="81"/>
      <c r="Y848" s="81"/>
      <c r="Z848" s="79"/>
      <c r="AA848" s="87"/>
      <c r="AB848" s="88" t="s">
        <v>7592</v>
      </c>
    </row>
    <row r="849" spans="1:28" s="77" customFormat="1" ht="21.75" customHeight="1" x14ac:dyDescent="0.2">
      <c r="A849" s="77" t="s">
        <v>7444</v>
      </c>
      <c r="B849" s="77" t="s">
        <v>7447</v>
      </c>
      <c r="C849" s="77" t="s">
        <v>7445</v>
      </c>
      <c r="E849" s="77" t="s">
        <v>33</v>
      </c>
      <c r="F849" s="77" t="s">
        <v>214</v>
      </c>
      <c r="G849" s="77" t="s">
        <v>7594</v>
      </c>
      <c r="H849" s="78" t="s">
        <v>7593</v>
      </c>
      <c r="I849" s="80">
        <v>0.4</v>
      </c>
      <c r="J849" s="80" t="s">
        <v>4367</v>
      </c>
      <c r="K849" s="80" t="s">
        <v>4386</v>
      </c>
      <c r="L849" s="79"/>
      <c r="M849" s="79"/>
      <c r="N849" s="79"/>
      <c r="O849" s="111"/>
      <c r="P849" s="80"/>
      <c r="R849" s="77" t="s">
        <v>2953</v>
      </c>
      <c r="T849" s="89"/>
      <c r="X849" s="81"/>
      <c r="Y849" s="81"/>
      <c r="Z849" s="79"/>
      <c r="AA849" s="87"/>
      <c r="AB849" s="88" t="s">
        <v>7595</v>
      </c>
    </row>
    <row r="850" spans="1:28" s="77" customFormat="1" ht="21.75" customHeight="1" x14ac:dyDescent="0.2">
      <c r="A850" s="77" t="s">
        <v>7444</v>
      </c>
      <c r="B850" s="77" t="s">
        <v>7447</v>
      </c>
      <c r="C850" s="77" t="s">
        <v>7445</v>
      </c>
      <c r="D850" s="106" t="s">
        <v>7674</v>
      </c>
      <c r="E850" s="77" t="s">
        <v>33</v>
      </c>
      <c r="F850" s="77" t="s">
        <v>1302</v>
      </c>
      <c r="G850" s="77" t="s">
        <v>7597</v>
      </c>
      <c r="H850" s="78" t="s">
        <v>7596</v>
      </c>
      <c r="I850" s="80">
        <v>0.7</v>
      </c>
      <c r="J850" s="80" t="s">
        <v>4367</v>
      </c>
      <c r="K850" s="80" t="s">
        <v>4386</v>
      </c>
      <c r="L850" s="79"/>
      <c r="M850" s="79"/>
      <c r="N850" s="79"/>
      <c r="O850" s="111" t="s">
        <v>7676</v>
      </c>
      <c r="P850" s="80"/>
      <c r="R850" s="77" t="s">
        <v>2953</v>
      </c>
      <c r="T850" s="89"/>
      <c r="X850" s="81">
        <v>34.658299999999997</v>
      </c>
      <c r="Y850" s="81">
        <v>133.94759999999999</v>
      </c>
      <c r="Z850" s="79">
        <v>77</v>
      </c>
      <c r="AA850" s="87"/>
      <c r="AB850" s="88" t="s">
        <v>7675</v>
      </c>
    </row>
    <row r="851" spans="1:28" s="77" customFormat="1" ht="21.75" customHeight="1" x14ac:dyDescent="0.2">
      <c r="A851" s="77" t="s">
        <v>7444</v>
      </c>
      <c r="B851" s="77" t="s">
        <v>7447</v>
      </c>
      <c r="C851" s="77" t="s">
        <v>7445</v>
      </c>
      <c r="D851" s="106" t="s">
        <v>7668</v>
      </c>
      <c r="E851" s="77" t="s">
        <v>33</v>
      </c>
      <c r="F851" s="77" t="s">
        <v>212</v>
      </c>
      <c r="G851" s="77" t="s">
        <v>7599</v>
      </c>
      <c r="H851" s="78" t="s">
        <v>7598</v>
      </c>
      <c r="I851" s="80">
        <v>1.8</v>
      </c>
      <c r="J851" s="80" t="s">
        <v>4367</v>
      </c>
      <c r="K851" s="80" t="s">
        <v>4386</v>
      </c>
      <c r="L851" s="79"/>
      <c r="M851" s="79"/>
      <c r="N851" s="79"/>
      <c r="O851" s="111"/>
      <c r="P851" s="80"/>
      <c r="R851" s="77" t="s">
        <v>2953</v>
      </c>
      <c r="T851" s="89"/>
      <c r="X851" s="81">
        <v>35.242600000000003</v>
      </c>
      <c r="Y851" s="81">
        <v>139.6448</v>
      </c>
      <c r="Z851" s="79">
        <v>89</v>
      </c>
      <c r="AA851" s="87"/>
      <c r="AB851" s="88" t="s">
        <v>7669</v>
      </c>
    </row>
    <row r="852" spans="1:28" s="77" customFormat="1" ht="21.75" customHeight="1" x14ac:dyDescent="0.2">
      <c r="A852" s="77" t="s">
        <v>7444</v>
      </c>
      <c r="B852" s="77" t="s">
        <v>7447</v>
      </c>
      <c r="C852" s="77" t="s">
        <v>7445</v>
      </c>
      <c r="E852" s="77" t="s">
        <v>33</v>
      </c>
      <c r="F852" s="77" t="s">
        <v>1302</v>
      </c>
      <c r="G852" s="77" t="s">
        <v>7601</v>
      </c>
      <c r="H852" s="78" t="s">
        <v>7600</v>
      </c>
      <c r="I852" s="80">
        <v>0.6</v>
      </c>
      <c r="J852" s="80" t="s">
        <v>4367</v>
      </c>
      <c r="K852" s="80" t="s">
        <v>4386</v>
      </c>
      <c r="L852" s="79"/>
      <c r="M852" s="79"/>
      <c r="N852" s="79"/>
      <c r="O852" s="111"/>
      <c r="P852" s="80"/>
      <c r="R852" s="77" t="s">
        <v>2953</v>
      </c>
      <c r="T852" s="89"/>
      <c r="X852" s="81"/>
      <c r="Y852" s="81"/>
      <c r="Z852" s="79"/>
      <c r="AA852" s="87"/>
      <c r="AB852" s="88" t="s">
        <v>7602</v>
      </c>
    </row>
    <row r="853" spans="1:28" s="77" customFormat="1" ht="21.75" customHeight="1" x14ac:dyDescent="0.2">
      <c r="A853" s="77" t="s">
        <v>7444</v>
      </c>
      <c r="B853" s="77" t="s">
        <v>7447</v>
      </c>
      <c r="C853" s="77" t="s">
        <v>7445</v>
      </c>
      <c r="E853" s="77" t="s">
        <v>33</v>
      </c>
      <c r="F853" s="77" t="s">
        <v>1302</v>
      </c>
      <c r="G853" s="77" t="s">
        <v>7609</v>
      </c>
      <c r="H853" s="78" t="s">
        <v>7603</v>
      </c>
      <c r="I853" s="80">
        <v>0.7</v>
      </c>
      <c r="J853" s="80" t="s">
        <v>4367</v>
      </c>
      <c r="K853" s="80" t="s">
        <v>4386</v>
      </c>
      <c r="L853" s="79"/>
      <c r="M853" s="79"/>
      <c r="N853" s="79"/>
      <c r="O853" s="111"/>
      <c r="P853" s="80"/>
      <c r="R853" s="77" t="s">
        <v>2953</v>
      </c>
      <c r="T853" s="89"/>
      <c r="X853" s="81"/>
      <c r="Y853" s="81"/>
      <c r="Z853" s="79"/>
      <c r="AA853" s="87"/>
      <c r="AB853" s="88" t="s">
        <v>7604</v>
      </c>
    </row>
    <row r="854" spans="1:28" s="77" customFormat="1" ht="21.75" customHeight="1" x14ac:dyDescent="0.2">
      <c r="A854" s="77" t="s">
        <v>7444</v>
      </c>
      <c r="B854" s="77" t="s">
        <v>7447</v>
      </c>
      <c r="C854" s="77" t="s">
        <v>7445</v>
      </c>
      <c r="E854" s="77" t="s">
        <v>33</v>
      </c>
      <c r="F854" s="77" t="s">
        <v>214</v>
      </c>
      <c r="G854" s="77" t="s">
        <v>7606</v>
      </c>
      <c r="H854" s="78" t="s">
        <v>7605</v>
      </c>
      <c r="I854" s="80">
        <v>0.6</v>
      </c>
      <c r="J854" s="80" t="s">
        <v>4367</v>
      </c>
      <c r="K854" s="80" t="s">
        <v>4386</v>
      </c>
      <c r="L854" s="79"/>
      <c r="M854" s="79"/>
      <c r="N854" s="79"/>
      <c r="O854" s="111"/>
      <c r="P854" s="80"/>
      <c r="R854" s="77" t="s">
        <v>2953</v>
      </c>
      <c r="T854" s="89"/>
      <c r="X854" s="81"/>
      <c r="Y854" s="81"/>
      <c r="Z854" s="79"/>
      <c r="AA854" s="87"/>
      <c r="AB854" s="88" t="s">
        <v>7607</v>
      </c>
    </row>
    <row r="855" spans="1:28" s="77" customFormat="1" ht="21.75" customHeight="1" x14ac:dyDescent="0.2">
      <c r="A855" s="77" t="s">
        <v>7444</v>
      </c>
      <c r="B855" s="77" t="s">
        <v>7447</v>
      </c>
      <c r="C855" s="77" t="s">
        <v>7445</v>
      </c>
      <c r="E855" s="77" t="s">
        <v>33</v>
      </c>
      <c r="F855" s="77" t="s">
        <v>212</v>
      </c>
      <c r="G855" s="77" t="s">
        <v>7610</v>
      </c>
      <c r="H855" s="78" t="s">
        <v>7608</v>
      </c>
      <c r="I855" s="80">
        <v>1.2</v>
      </c>
      <c r="J855" s="80" t="s">
        <v>4367</v>
      </c>
      <c r="K855" s="80" t="s">
        <v>4386</v>
      </c>
      <c r="L855" s="79"/>
      <c r="M855" s="79"/>
      <c r="N855" s="79"/>
      <c r="O855" s="111"/>
      <c r="P855" s="80"/>
      <c r="T855" s="89"/>
      <c r="X855" s="81"/>
      <c r="Y855" s="81"/>
      <c r="Z855" s="79"/>
      <c r="AA855" s="87"/>
      <c r="AB855" s="88" t="s">
        <v>7611</v>
      </c>
    </row>
    <row r="856" spans="1:28" s="98" customFormat="1" ht="21.75" customHeight="1" x14ac:dyDescent="0.2">
      <c r="A856" s="98" t="s">
        <v>7679</v>
      </c>
      <c r="B856" s="98" t="s">
        <v>7682</v>
      </c>
      <c r="E856" s="98" t="s">
        <v>398</v>
      </c>
      <c r="F856" s="98" t="s">
        <v>6607</v>
      </c>
      <c r="G856" s="98" t="s">
        <v>7681</v>
      </c>
      <c r="H856" s="99" t="s">
        <v>7680</v>
      </c>
      <c r="I856" s="100">
        <v>0.01</v>
      </c>
      <c r="J856" s="100" t="s">
        <v>4367</v>
      </c>
      <c r="K856" s="100" t="s">
        <v>5748</v>
      </c>
      <c r="L856" s="101"/>
      <c r="M856" s="101"/>
      <c r="N856" s="101"/>
      <c r="O856" s="115"/>
      <c r="P856" s="100"/>
      <c r="T856" s="102"/>
      <c r="X856" s="103"/>
      <c r="Y856" s="103"/>
      <c r="Z856" s="101"/>
      <c r="AA856" s="104"/>
      <c r="AB856" s="105"/>
    </row>
    <row r="857" spans="1:28" ht="21.75" customHeight="1" x14ac:dyDescent="0.2">
      <c r="A857" s="7" t="s">
        <v>6128</v>
      </c>
      <c r="B857" s="7" t="s">
        <v>6129</v>
      </c>
      <c r="C857" s="7" t="s">
        <v>6134</v>
      </c>
      <c r="D857" s="7" t="s">
        <v>6133</v>
      </c>
      <c r="E857" s="7" t="s">
        <v>6142</v>
      </c>
      <c r="F857" s="7" t="s">
        <v>6140</v>
      </c>
      <c r="G857" s="7" t="s">
        <v>6141</v>
      </c>
      <c r="H857" s="1" t="s">
        <v>6131</v>
      </c>
      <c r="I857" s="2">
        <v>2.5</v>
      </c>
      <c r="J857" s="2" t="s">
        <v>6132</v>
      </c>
      <c r="K857" s="2" t="s">
        <v>4410</v>
      </c>
      <c r="L857" s="6">
        <v>1300</v>
      </c>
      <c r="M857" s="6" t="s">
        <v>6130</v>
      </c>
      <c r="O857" s="45" t="s">
        <v>6143</v>
      </c>
      <c r="R857" s="7" t="s">
        <v>1605</v>
      </c>
      <c r="T857" s="18"/>
      <c r="X857" s="5">
        <v>19.380500000000001</v>
      </c>
      <c r="Y857" s="5">
        <v>-96.317599999999999</v>
      </c>
      <c r="Z857" s="6">
        <v>22</v>
      </c>
      <c r="AA857" s="134" t="s">
        <v>6144</v>
      </c>
      <c r="AB857" s="73" t="s">
        <v>6468</v>
      </c>
    </row>
    <row r="858" spans="1:28" ht="21.75" customHeight="1" x14ac:dyDescent="0.2">
      <c r="A858" s="7" t="s">
        <v>6128</v>
      </c>
      <c r="B858" s="7" t="s">
        <v>6129</v>
      </c>
      <c r="C858" s="7" t="s">
        <v>6134</v>
      </c>
      <c r="D858" s="7" t="s">
        <v>6139</v>
      </c>
      <c r="E858" s="7" t="s">
        <v>6142</v>
      </c>
      <c r="F858" s="7" t="s">
        <v>6140</v>
      </c>
      <c r="G858" s="7" t="s">
        <v>6141</v>
      </c>
      <c r="H858" s="1" t="s">
        <v>6131</v>
      </c>
      <c r="I858" s="2">
        <v>1.5</v>
      </c>
      <c r="J858" s="2" t="s">
        <v>6136</v>
      </c>
      <c r="K858" s="2" t="s">
        <v>4410</v>
      </c>
      <c r="L858" s="6">
        <v>1300</v>
      </c>
      <c r="M858" s="6" t="s">
        <v>6130</v>
      </c>
      <c r="O858" s="45" t="s">
        <v>6143</v>
      </c>
      <c r="R858" s="7" t="s">
        <v>6137</v>
      </c>
      <c r="S858" s="7" t="s">
        <v>309</v>
      </c>
      <c r="T858" s="18" t="s">
        <v>6135</v>
      </c>
      <c r="X858" s="5">
        <v>19.339500000000001</v>
      </c>
      <c r="Y858" s="5">
        <v>-96.317300000000003</v>
      </c>
      <c r="Z858" s="6">
        <v>21</v>
      </c>
      <c r="AA858" s="135"/>
      <c r="AB858" s="73" t="s">
        <v>6138</v>
      </c>
    </row>
    <row r="859" spans="1:28" s="8" customFormat="1" ht="21.75" customHeight="1" x14ac:dyDescent="0.2">
      <c r="A859" s="8" t="s">
        <v>2958</v>
      </c>
      <c r="B859" s="8" t="s">
        <v>2959</v>
      </c>
      <c r="C859" s="8" t="s">
        <v>5878</v>
      </c>
      <c r="D859" s="8" t="s">
        <v>2960</v>
      </c>
      <c r="E859" s="8" t="s">
        <v>263</v>
      </c>
      <c r="F859" s="8" t="s">
        <v>212</v>
      </c>
      <c r="H859" s="3" t="s">
        <v>2962</v>
      </c>
      <c r="I859" s="4">
        <v>2.2999999999999998</v>
      </c>
      <c r="J859" s="4" t="s">
        <v>4367</v>
      </c>
      <c r="K859" s="4" t="s">
        <v>4480</v>
      </c>
      <c r="L859" s="14">
        <v>2800</v>
      </c>
      <c r="M859" s="14"/>
      <c r="N859" s="14"/>
      <c r="O859" s="110"/>
      <c r="P859" s="4"/>
      <c r="R859" s="8" t="s">
        <v>2964</v>
      </c>
      <c r="T859" s="9"/>
      <c r="W859" s="8" t="s">
        <v>5879</v>
      </c>
      <c r="X859" s="13">
        <v>3.6505999999999998</v>
      </c>
      <c r="Y859" s="13">
        <v>113.69970000000001</v>
      </c>
      <c r="Z859" s="14">
        <v>45</v>
      </c>
      <c r="AA859" s="132" t="s">
        <v>2965</v>
      </c>
      <c r="AB859" s="8" t="s">
        <v>2967</v>
      </c>
    </row>
    <row r="860" spans="1:28" s="8" customFormat="1" ht="21.75" customHeight="1" x14ac:dyDescent="0.2">
      <c r="A860" s="8" t="s">
        <v>2958</v>
      </c>
      <c r="B860" s="8" t="s">
        <v>2959</v>
      </c>
      <c r="C860" s="8" t="s">
        <v>5878</v>
      </c>
      <c r="D860" s="8" t="s">
        <v>2961</v>
      </c>
      <c r="E860" s="8" t="s">
        <v>263</v>
      </c>
      <c r="F860" s="8" t="s">
        <v>212</v>
      </c>
      <c r="H860" s="3" t="s">
        <v>2963</v>
      </c>
      <c r="I860" s="4">
        <v>1.2</v>
      </c>
      <c r="J860" s="4" t="s">
        <v>4367</v>
      </c>
      <c r="K860" s="4" t="s">
        <v>4480</v>
      </c>
      <c r="L860" s="14">
        <v>2400</v>
      </c>
      <c r="M860" s="14"/>
      <c r="N860" s="14"/>
      <c r="O860" s="110"/>
      <c r="P860" s="4"/>
      <c r="R860" s="8" t="s">
        <v>2964</v>
      </c>
      <c r="T860" s="9"/>
      <c r="W860" s="8" t="s">
        <v>5879</v>
      </c>
      <c r="X860" s="13">
        <v>4.2361000000000004</v>
      </c>
      <c r="Y860" s="13">
        <v>114.06270000000001</v>
      </c>
      <c r="Z860" s="14">
        <v>60</v>
      </c>
      <c r="AA860" s="133"/>
      <c r="AB860" s="8" t="s">
        <v>2966</v>
      </c>
    </row>
    <row r="861" spans="1:28" ht="21.75" customHeight="1" x14ac:dyDescent="0.2">
      <c r="A861" s="7" t="s">
        <v>5005</v>
      </c>
      <c r="B861" s="7" t="s">
        <v>5006</v>
      </c>
      <c r="C861" s="7" t="s">
        <v>5010</v>
      </c>
      <c r="D861" s="7" t="s">
        <v>5009</v>
      </c>
      <c r="E861" s="7" t="s">
        <v>263</v>
      </c>
      <c r="F861" s="7" t="s">
        <v>212</v>
      </c>
      <c r="G861" s="7" t="s">
        <v>5008</v>
      </c>
      <c r="H861" s="1" t="s">
        <v>5007</v>
      </c>
      <c r="I861" s="2">
        <f>20*0.3048</f>
        <v>6.0960000000000001</v>
      </c>
      <c r="J861" s="2" t="s">
        <v>4367</v>
      </c>
      <c r="K861" s="2" t="s">
        <v>4480</v>
      </c>
      <c r="L861" s="6">
        <f>65*25.4</f>
        <v>1651</v>
      </c>
      <c r="M861" s="6" t="s">
        <v>2865</v>
      </c>
      <c r="O861" s="45" t="s">
        <v>5014</v>
      </c>
      <c r="R861" s="7" t="s">
        <v>5013</v>
      </c>
      <c r="T861" s="18"/>
      <c r="U861" s="7" t="s">
        <v>5012</v>
      </c>
      <c r="X861" s="5">
        <v>-8.8612000000000002</v>
      </c>
      <c r="Y861" s="5">
        <v>33.420499999999997</v>
      </c>
      <c r="Z861" s="6">
        <v>2438</v>
      </c>
      <c r="AA861" s="73" t="s">
        <v>5011</v>
      </c>
    </row>
    <row r="862" spans="1:28" s="8" customFormat="1" ht="21.75" customHeight="1" x14ac:dyDescent="0.2">
      <c r="A862" s="8" t="s">
        <v>2702</v>
      </c>
      <c r="B862" s="8" t="s">
        <v>2709</v>
      </c>
      <c r="C862" s="8" t="s">
        <v>2710</v>
      </c>
      <c r="D862" s="8" t="s">
        <v>2703</v>
      </c>
      <c r="E862" s="8" t="s">
        <v>263</v>
      </c>
      <c r="F862" s="8" t="s">
        <v>212</v>
      </c>
      <c r="G862" s="8" t="s">
        <v>2619</v>
      </c>
      <c r="H862" s="3" t="s">
        <v>2618</v>
      </c>
      <c r="I862" s="4">
        <v>14.9</v>
      </c>
      <c r="J862" s="4" t="s">
        <v>4740</v>
      </c>
      <c r="K862" s="4" t="s">
        <v>4410</v>
      </c>
      <c r="L862" s="14">
        <v>1000</v>
      </c>
      <c r="M862" s="14" t="s">
        <v>2632</v>
      </c>
      <c r="N862" s="14"/>
      <c r="O862" s="110" t="s">
        <v>2704</v>
      </c>
      <c r="P862" s="4"/>
      <c r="Q862" s="8">
        <v>15</v>
      </c>
      <c r="R862" s="8" t="s">
        <v>2707</v>
      </c>
      <c r="S862" s="8" t="s">
        <v>2705</v>
      </c>
      <c r="T862" s="9" t="s">
        <v>2706</v>
      </c>
      <c r="X862" s="13">
        <v>-32.351100000000002</v>
      </c>
      <c r="Y862" s="13">
        <v>116.0485</v>
      </c>
      <c r="Z862" s="14">
        <v>215</v>
      </c>
      <c r="AA862" s="19" t="s">
        <v>2708</v>
      </c>
      <c r="AB862" s="8" t="s">
        <v>2711</v>
      </c>
    </row>
    <row r="863" spans="1:28" ht="21.75" customHeight="1" x14ac:dyDescent="0.2">
      <c r="A863" s="7" t="s">
        <v>7975</v>
      </c>
      <c r="B863" s="7" t="s">
        <v>1275</v>
      </c>
      <c r="C863" s="7" t="s">
        <v>46</v>
      </c>
      <c r="D863" s="7" t="s">
        <v>1276</v>
      </c>
      <c r="E863" s="7" t="s">
        <v>33</v>
      </c>
      <c r="F863" s="7" t="s">
        <v>212</v>
      </c>
      <c r="G863" s="7" t="s">
        <v>1282</v>
      </c>
      <c r="H863" s="1" t="s">
        <v>1283</v>
      </c>
      <c r="I863" s="2">
        <f>7*0.3048</f>
        <v>2.1335999999999999</v>
      </c>
      <c r="J863" s="2" t="s">
        <v>5778</v>
      </c>
      <c r="K863" s="2" t="s">
        <v>4480</v>
      </c>
      <c r="R863" s="7" t="s">
        <v>1287</v>
      </c>
      <c r="T863" s="18"/>
      <c r="U863" s="7" t="s">
        <v>1288</v>
      </c>
      <c r="X863" s="5">
        <v>37.733199999999997</v>
      </c>
      <c r="Y863" s="5">
        <v>-111.09350000000001</v>
      </c>
      <c r="Z863" s="6">
        <v>1801</v>
      </c>
      <c r="AB863" s="7" t="s">
        <v>1286</v>
      </c>
    </row>
    <row r="864" spans="1:28" ht="21.75" customHeight="1" x14ac:dyDescent="0.2">
      <c r="A864" s="7" t="s">
        <v>7975</v>
      </c>
      <c r="B864" s="7" t="s">
        <v>1275</v>
      </c>
      <c r="C864" s="7" t="s">
        <v>46</v>
      </c>
      <c r="D864" s="7" t="s">
        <v>1277</v>
      </c>
      <c r="E864" s="7" t="s">
        <v>33</v>
      </c>
      <c r="F864" s="7" t="s">
        <v>212</v>
      </c>
      <c r="G864" s="7" t="s">
        <v>1284</v>
      </c>
      <c r="H864" s="1" t="s">
        <v>1285</v>
      </c>
      <c r="I864" s="2">
        <f>25*0.3048</f>
        <v>7.62</v>
      </c>
      <c r="J864" s="2" t="s">
        <v>5778</v>
      </c>
      <c r="K864" s="2" t="s">
        <v>4480</v>
      </c>
      <c r="R864" s="7" t="s">
        <v>1287</v>
      </c>
      <c r="T864" s="18"/>
      <c r="U864" s="7" t="s">
        <v>1288</v>
      </c>
      <c r="X864" s="5">
        <v>37.725999999999999</v>
      </c>
      <c r="Y864" s="5">
        <v>-111.11</v>
      </c>
      <c r="Z864" s="6">
        <v>1678</v>
      </c>
    </row>
    <row r="865" spans="1:28" ht="21.75" customHeight="1" x14ac:dyDescent="0.2">
      <c r="A865" s="7" t="s">
        <v>7975</v>
      </c>
      <c r="B865" s="7" t="s">
        <v>1275</v>
      </c>
      <c r="C865" s="7" t="s">
        <v>46</v>
      </c>
      <c r="D865" s="7" t="s">
        <v>1278</v>
      </c>
      <c r="E865" s="7" t="s">
        <v>33</v>
      </c>
      <c r="F865" s="7" t="s">
        <v>212</v>
      </c>
      <c r="G865" s="7" t="s">
        <v>1282</v>
      </c>
      <c r="H865" s="1" t="s">
        <v>1283</v>
      </c>
      <c r="I865" s="2">
        <f>50*0.3048</f>
        <v>15.24</v>
      </c>
      <c r="J865" s="2" t="s">
        <v>5778</v>
      </c>
      <c r="K865" s="2" t="s">
        <v>4480</v>
      </c>
      <c r="R865" s="7" t="s">
        <v>1287</v>
      </c>
      <c r="T865" s="18"/>
      <c r="U865" s="7" t="s">
        <v>1288</v>
      </c>
      <c r="X865" s="5">
        <v>37.7532</v>
      </c>
      <c r="Y865" s="5">
        <v>-111.10680000000001</v>
      </c>
      <c r="Z865" s="6">
        <v>1855</v>
      </c>
    </row>
    <row r="866" spans="1:28" ht="21.75" customHeight="1" x14ac:dyDescent="0.2">
      <c r="A866" s="7" t="s">
        <v>7975</v>
      </c>
      <c r="B866" s="7" t="s">
        <v>1275</v>
      </c>
      <c r="C866" s="7" t="s">
        <v>46</v>
      </c>
      <c r="D866" s="7" t="s">
        <v>1279</v>
      </c>
      <c r="E866" s="7" t="s">
        <v>33</v>
      </c>
      <c r="F866" s="7" t="s">
        <v>212</v>
      </c>
      <c r="G866" s="7" t="s">
        <v>1282</v>
      </c>
      <c r="H866" s="1" t="s">
        <v>1283</v>
      </c>
      <c r="I866" s="2">
        <f>60*0.3048</f>
        <v>18.288</v>
      </c>
      <c r="J866" s="2" t="s">
        <v>5778</v>
      </c>
      <c r="K866" s="2" t="s">
        <v>4480</v>
      </c>
      <c r="R866" s="7" t="s">
        <v>1287</v>
      </c>
      <c r="T866" s="18"/>
      <c r="U866" s="7" t="s">
        <v>1288</v>
      </c>
      <c r="X866" s="5">
        <v>37.832799999999999</v>
      </c>
      <c r="Y866" s="5">
        <v>-111.22539999999999</v>
      </c>
      <c r="Z866" s="6">
        <v>1866</v>
      </c>
    </row>
    <row r="867" spans="1:28" ht="21.75" customHeight="1" x14ac:dyDescent="0.2">
      <c r="A867" s="7" t="s">
        <v>7975</v>
      </c>
      <c r="B867" s="7" t="s">
        <v>1275</v>
      </c>
      <c r="C867" s="7" t="s">
        <v>46</v>
      </c>
      <c r="D867" s="7" t="s">
        <v>1280</v>
      </c>
      <c r="E867" s="7" t="s">
        <v>33</v>
      </c>
      <c r="F867" s="7" t="s">
        <v>212</v>
      </c>
      <c r="G867" s="7" t="s">
        <v>1282</v>
      </c>
      <c r="H867" s="1" t="s">
        <v>1283</v>
      </c>
      <c r="I867" s="2">
        <f>70*0.3048</f>
        <v>21.336000000000002</v>
      </c>
      <c r="J867" s="2" t="s">
        <v>5778</v>
      </c>
      <c r="K867" s="2" t="s">
        <v>4480</v>
      </c>
      <c r="R867" s="7" t="s">
        <v>1287</v>
      </c>
      <c r="T867" s="18"/>
      <c r="U867" s="7" t="s">
        <v>1288</v>
      </c>
      <c r="X867" s="5">
        <v>37.989199999999997</v>
      </c>
      <c r="Y867" s="5">
        <v>-111.2174</v>
      </c>
      <c r="Z867" s="6">
        <v>1984</v>
      </c>
    </row>
    <row r="868" spans="1:28" ht="21.75" customHeight="1" x14ac:dyDescent="0.2">
      <c r="A868" s="7" t="s">
        <v>7975</v>
      </c>
      <c r="B868" s="7" t="s">
        <v>1275</v>
      </c>
      <c r="C868" s="7" t="s">
        <v>46</v>
      </c>
      <c r="D868" s="7" t="s">
        <v>1281</v>
      </c>
      <c r="E868" s="7" t="s">
        <v>33</v>
      </c>
      <c r="F868" s="7" t="s">
        <v>212</v>
      </c>
      <c r="G868" s="7" t="s">
        <v>1282</v>
      </c>
      <c r="H868" s="1" t="s">
        <v>1283</v>
      </c>
      <c r="I868" s="2">
        <f>110*0.3048</f>
        <v>33.527999999999999</v>
      </c>
      <c r="J868" s="2" t="s">
        <v>5778</v>
      </c>
      <c r="K868" s="2" t="s">
        <v>4480</v>
      </c>
      <c r="R868" s="7" t="s">
        <v>1287</v>
      </c>
      <c r="T868" s="18"/>
      <c r="U868" s="7" t="s">
        <v>1288</v>
      </c>
      <c r="X868" s="5">
        <v>37.878100000000003</v>
      </c>
      <c r="Y868" s="5">
        <v>-111.0312</v>
      </c>
      <c r="Z868" s="6">
        <v>1563</v>
      </c>
    </row>
    <row r="869" spans="1:28" s="82" customFormat="1" ht="21.75" customHeight="1" x14ac:dyDescent="0.2">
      <c r="A869" s="82" t="s">
        <v>7974</v>
      </c>
      <c r="B869" s="82" t="s">
        <v>7935</v>
      </c>
      <c r="C869" s="82" t="s">
        <v>7786</v>
      </c>
      <c r="D869" s="82" t="s">
        <v>426</v>
      </c>
      <c r="E869" s="82" t="s">
        <v>33</v>
      </c>
      <c r="F869" s="128" t="s">
        <v>214</v>
      </c>
      <c r="G869" s="128" t="s">
        <v>7782</v>
      </c>
      <c r="H869" s="129" t="s">
        <v>8025</v>
      </c>
      <c r="I869" s="84">
        <v>2.5</v>
      </c>
      <c r="J869" s="84" t="s">
        <v>4367</v>
      </c>
      <c r="K869" s="84" t="s">
        <v>4410</v>
      </c>
      <c r="L869" s="85">
        <v>176</v>
      </c>
      <c r="M869" s="85"/>
      <c r="N869" s="85"/>
      <c r="O869" s="116" t="s">
        <v>8001</v>
      </c>
      <c r="P869" s="84"/>
      <c r="R869" s="82" t="s">
        <v>7998</v>
      </c>
      <c r="T869" s="127"/>
      <c r="X869" s="86">
        <v>46.532699999999998</v>
      </c>
      <c r="Y869" s="86">
        <v>-119.63</v>
      </c>
      <c r="Z869" s="85">
        <v>203</v>
      </c>
      <c r="AA869" s="82" t="s">
        <v>8005</v>
      </c>
      <c r="AB869" s="143" t="s">
        <v>8016</v>
      </c>
    </row>
    <row r="870" spans="1:28" s="82" customFormat="1" ht="21.75" customHeight="1" x14ac:dyDescent="0.2">
      <c r="A870" s="82" t="s">
        <v>7974</v>
      </c>
      <c r="B870" s="82" t="s">
        <v>7935</v>
      </c>
      <c r="C870" s="82" t="s">
        <v>7786</v>
      </c>
      <c r="D870" s="82" t="s">
        <v>426</v>
      </c>
      <c r="E870" s="82" t="s">
        <v>280</v>
      </c>
      <c r="F870" s="128" t="s">
        <v>214</v>
      </c>
      <c r="G870" s="128" t="s">
        <v>7976</v>
      </c>
      <c r="H870" s="129" t="s">
        <v>4334</v>
      </c>
      <c r="I870" s="84">
        <v>2.5</v>
      </c>
      <c r="J870" s="84" t="s">
        <v>4367</v>
      </c>
      <c r="K870" s="84" t="s">
        <v>4410</v>
      </c>
      <c r="L870" s="85">
        <v>176</v>
      </c>
      <c r="M870" s="85"/>
      <c r="N870" s="85"/>
      <c r="O870" s="116" t="s">
        <v>8001</v>
      </c>
      <c r="P870" s="84"/>
      <c r="R870" s="82" t="s">
        <v>7998</v>
      </c>
      <c r="T870" s="127"/>
      <c r="X870" s="86">
        <v>46.532699999999998</v>
      </c>
      <c r="Y870" s="86">
        <v>-119.63</v>
      </c>
      <c r="Z870" s="85">
        <v>203</v>
      </c>
      <c r="AA870" s="82" t="s">
        <v>8006</v>
      </c>
      <c r="AB870" s="159"/>
    </row>
    <row r="871" spans="1:28" s="82" customFormat="1" ht="21.75" customHeight="1" x14ac:dyDescent="0.2">
      <c r="A871" s="82" t="s">
        <v>7974</v>
      </c>
      <c r="B871" s="82" t="s">
        <v>7935</v>
      </c>
      <c r="C871" s="82" t="s">
        <v>7786</v>
      </c>
      <c r="D871" s="82" t="s">
        <v>425</v>
      </c>
      <c r="E871" s="82" t="s">
        <v>280</v>
      </c>
      <c r="F871" s="128" t="s">
        <v>214</v>
      </c>
      <c r="G871" s="128" t="s">
        <v>7977</v>
      </c>
      <c r="H871" s="129" t="s">
        <v>7978</v>
      </c>
      <c r="I871" s="84">
        <v>1.6</v>
      </c>
      <c r="J871" s="84" t="s">
        <v>4367</v>
      </c>
      <c r="K871" s="84" t="s">
        <v>4480</v>
      </c>
      <c r="L871" s="85">
        <v>176</v>
      </c>
      <c r="M871" s="85"/>
      <c r="N871" s="85"/>
      <c r="O871" s="116" t="s">
        <v>8002</v>
      </c>
      <c r="P871" s="84"/>
      <c r="R871" s="82" t="s">
        <v>7998</v>
      </c>
      <c r="T871" s="127"/>
      <c r="X871" s="86">
        <v>46.556600000000003</v>
      </c>
      <c r="Y871" s="86">
        <v>-119.5004</v>
      </c>
      <c r="Z871" s="85">
        <v>180</v>
      </c>
      <c r="AA871" s="82" t="s">
        <v>8006</v>
      </c>
      <c r="AB871" s="159"/>
    </row>
    <row r="872" spans="1:28" s="82" customFormat="1" ht="21.75" customHeight="1" x14ac:dyDescent="0.2">
      <c r="A872" s="82" t="s">
        <v>7974</v>
      </c>
      <c r="B872" s="82" t="s">
        <v>7935</v>
      </c>
      <c r="C872" s="82" t="s">
        <v>7786</v>
      </c>
      <c r="D872" s="82" t="s">
        <v>426</v>
      </c>
      <c r="E872" s="82" t="s">
        <v>280</v>
      </c>
      <c r="F872" s="128" t="s">
        <v>214</v>
      </c>
      <c r="G872" s="128" t="s">
        <v>7979</v>
      </c>
      <c r="H872" s="129" t="s">
        <v>7980</v>
      </c>
      <c r="I872" s="84">
        <v>3</v>
      </c>
      <c r="J872" s="84" t="s">
        <v>4367</v>
      </c>
      <c r="K872" s="84" t="s">
        <v>4480</v>
      </c>
      <c r="L872" s="85">
        <v>176</v>
      </c>
      <c r="M872" s="85"/>
      <c r="N872" s="85"/>
      <c r="O872" s="116" t="s">
        <v>8001</v>
      </c>
      <c r="P872" s="84"/>
      <c r="R872" s="82" t="s">
        <v>7998</v>
      </c>
      <c r="T872" s="127"/>
      <c r="X872" s="86">
        <v>46.532699999999998</v>
      </c>
      <c r="Y872" s="86">
        <v>-119.63</v>
      </c>
      <c r="Z872" s="85">
        <v>203</v>
      </c>
      <c r="AA872" s="82" t="s">
        <v>8007</v>
      </c>
      <c r="AB872" s="159"/>
    </row>
    <row r="873" spans="1:28" s="82" customFormat="1" ht="21.75" customHeight="1" x14ac:dyDescent="0.2">
      <c r="A873" s="82" t="s">
        <v>7974</v>
      </c>
      <c r="B873" s="82" t="s">
        <v>7935</v>
      </c>
      <c r="C873" s="82" t="s">
        <v>7786</v>
      </c>
      <c r="D873" s="82" t="s">
        <v>426</v>
      </c>
      <c r="E873" s="82" t="s">
        <v>280</v>
      </c>
      <c r="F873" s="128" t="s">
        <v>214</v>
      </c>
      <c r="G873" s="128" t="s">
        <v>7946</v>
      </c>
      <c r="H873" s="129" t="s">
        <v>7981</v>
      </c>
      <c r="I873" s="84">
        <v>1.95</v>
      </c>
      <c r="J873" s="84" t="s">
        <v>4367</v>
      </c>
      <c r="K873" s="84" t="s">
        <v>4480</v>
      </c>
      <c r="L873" s="85">
        <v>176</v>
      </c>
      <c r="M873" s="85"/>
      <c r="N873" s="85"/>
      <c r="O873" s="116" t="s">
        <v>8001</v>
      </c>
      <c r="P873" s="84"/>
      <c r="R873" s="82" t="s">
        <v>7998</v>
      </c>
      <c r="T873" s="127"/>
      <c r="X873" s="86">
        <v>46.532699999999998</v>
      </c>
      <c r="Y873" s="86">
        <v>-119.63</v>
      </c>
      <c r="Z873" s="85">
        <v>203</v>
      </c>
      <c r="AA873" s="82" t="s">
        <v>8008</v>
      </c>
      <c r="AB873" s="159"/>
    </row>
    <row r="874" spans="1:28" s="82" customFormat="1" ht="21.75" customHeight="1" x14ac:dyDescent="0.2">
      <c r="A874" s="82" t="s">
        <v>7974</v>
      </c>
      <c r="B874" s="82" t="s">
        <v>7935</v>
      </c>
      <c r="C874" s="82" t="s">
        <v>7786</v>
      </c>
      <c r="D874" s="82" t="s">
        <v>425</v>
      </c>
      <c r="E874" s="82" t="s">
        <v>398</v>
      </c>
      <c r="F874" s="128" t="s">
        <v>62</v>
      </c>
      <c r="G874" s="128" t="s">
        <v>7982</v>
      </c>
      <c r="H874" s="129" t="s">
        <v>1563</v>
      </c>
      <c r="I874" s="84">
        <v>1.6</v>
      </c>
      <c r="J874" s="84" t="s">
        <v>4367</v>
      </c>
      <c r="K874" s="84" t="s">
        <v>4480</v>
      </c>
      <c r="L874" s="85">
        <v>176</v>
      </c>
      <c r="M874" s="85"/>
      <c r="N874" s="85"/>
      <c r="O874" s="116" t="s">
        <v>8002</v>
      </c>
      <c r="P874" s="84"/>
      <c r="R874" s="82" t="s">
        <v>7998</v>
      </c>
      <c r="T874" s="127"/>
      <c r="X874" s="86">
        <v>46.556600000000003</v>
      </c>
      <c r="Y874" s="86">
        <v>-119.5004</v>
      </c>
      <c r="Z874" s="85">
        <v>180</v>
      </c>
      <c r="AA874" s="82" t="s">
        <v>8009</v>
      </c>
      <c r="AB874" s="159"/>
    </row>
    <row r="875" spans="1:28" s="82" customFormat="1" ht="21.75" customHeight="1" x14ac:dyDescent="0.2">
      <c r="A875" s="82" t="s">
        <v>7974</v>
      </c>
      <c r="B875" s="82" t="s">
        <v>7935</v>
      </c>
      <c r="C875" s="82" t="s">
        <v>7786</v>
      </c>
      <c r="D875" s="82" t="s">
        <v>8000</v>
      </c>
      <c r="E875" s="82" t="s">
        <v>398</v>
      </c>
      <c r="F875" s="128" t="s">
        <v>62</v>
      </c>
      <c r="G875" s="128" t="s">
        <v>7963</v>
      </c>
      <c r="H875" s="129" t="s">
        <v>7962</v>
      </c>
      <c r="I875" s="84">
        <v>1.25</v>
      </c>
      <c r="J875" s="84" t="s">
        <v>4367</v>
      </c>
      <c r="K875" s="84" t="s">
        <v>4480</v>
      </c>
      <c r="L875" s="85">
        <v>176</v>
      </c>
      <c r="M875" s="85"/>
      <c r="N875" s="85"/>
      <c r="O875" s="116" t="s">
        <v>8003</v>
      </c>
      <c r="P875" s="84"/>
      <c r="R875" s="82" t="s">
        <v>7998</v>
      </c>
      <c r="T875" s="127"/>
      <c r="X875" s="86">
        <v>46.471600000000002</v>
      </c>
      <c r="Y875" s="86">
        <v>-119.3672</v>
      </c>
      <c r="Z875" s="85">
        <v>152</v>
      </c>
      <c r="AA875" s="82" t="s">
        <v>8010</v>
      </c>
      <c r="AB875" s="159"/>
    </row>
    <row r="876" spans="1:28" s="82" customFormat="1" ht="21.75" customHeight="1" x14ac:dyDescent="0.2">
      <c r="A876" s="82" t="s">
        <v>7974</v>
      </c>
      <c r="B876" s="82" t="s">
        <v>7935</v>
      </c>
      <c r="C876" s="82" t="s">
        <v>7786</v>
      </c>
      <c r="D876" s="82" t="s">
        <v>7999</v>
      </c>
      <c r="E876" s="82" t="s">
        <v>398</v>
      </c>
      <c r="F876" s="128" t="s">
        <v>7886</v>
      </c>
      <c r="G876" s="128" t="s">
        <v>7983</v>
      </c>
      <c r="H876" s="129" t="s">
        <v>7984</v>
      </c>
      <c r="I876" s="84">
        <v>1.55</v>
      </c>
      <c r="J876" s="84" t="s">
        <v>4367</v>
      </c>
      <c r="K876" s="84" t="s">
        <v>4480</v>
      </c>
      <c r="L876" s="85">
        <v>176</v>
      </c>
      <c r="M876" s="85"/>
      <c r="N876" s="85"/>
      <c r="O876" s="116" t="s">
        <v>8004</v>
      </c>
      <c r="P876" s="84"/>
      <c r="R876" s="82" t="s">
        <v>7998</v>
      </c>
      <c r="T876" s="127"/>
      <c r="X876" s="86">
        <v>46.492600000000003</v>
      </c>
      <c r="Y876" s="86">
        <v>-119.29170000000001</v>
      </c>
      <c r="Z876" s="85">
        <v>134</v>
      </c>
      <c r="AA876" s="82" t="s">
        <v>8011</v>
      </c>
      <c r="AB876" s="159"/>
    </row>
    <row r="877" spans="1:28" s="82" customFormat="1" ht="21.75" customHeight="1" x14ac:dyDescent="0.2">
      <c r="A877" s="82" t="s">
        <v>7974</v>
      </c>
      <c r="B877" s="82" t="s">
        <v>7935</v>
      </c>
      <c r="C877" s="82" t="s">
        <v>7786</v>
      </c>
      <c r="D877" s="82" t="s">
        <v>425</v>
      </c>
      <c r="E877" s="82" t="s">
        <v>398</v>
      </c>
      <c r="F877" s="128" t="s">
        <v>7886</v>
      </c>
      <c r="G877" s="128" t="s">
        <v>7985</v>
      </c>
      <c r="H877" s="129" t="s">
        <v>7986</v>
      </c>
      <c r="I877" s="84">
        <v>1.6</v>
      </c>
      <c r="J877" s="84" t="s">
        <v>4367</v>
      </c>
      <c r="K877" s="84" t="s">
        <v>4480</v>
      </c>
      <c r="L877" s="85">
        <v>176</v>
      </c>
      <c r="M877" s="85"/>
      <c r="N877" s="85"/>
      <c r="O877" s="116" t="s">
        <v>8002</v>
      </c>
      <c r="P877" s="84"/>
      <c r="R877" s="82" t="s">
        <v>7998</v>
      </c>
      <c r="T877" s="127"/>
      <c r="X877" s="86">
        <v>46.556600000000003</v>
      </c>
      <c r="Y877" s="86">
        <v>-119.5004</v>
      </c>
      <c r="Z877" s="85">
        <v>180</v>
      </c>
      <c r="AA877" s="82" t="s">
        <v>8012</v>
      </c>
      <c r="AB877" s="159"/>
    </row>
    <row r="878" spans="1:28" s="82" customFormat="1" ht="21.75" customHeight="1" x14ac:dyDescent="0.2">
      <c r="A878" s="82" t="s">
        <v>7974</v>
      </c>
      <c r="B878" s="82" t="s">
        <v>7935</v>
      </c>
      <c r="C878" s="82" t="s">
        <v>7786</v>
      </c>
      <c r="D878" s="82" t="s">
        <v>7999</v>
      </c>
      <c r="E878" s="82" t="s">
        <v>398</v>
      </c>
      <c r="F878" s="128" t="s">
        <v>7886</v>
      </c>
      <c r="G878" s="128" t="s">
        <v>7987</v>
      </c>
      <c r="H878" s="129" t="s">
        <v>7988</v>
      </c>
      <c r="I878" s="84">
        <v>1.5</v>
      </c>
      <c r="J878" s="84" t="s">
        <v>4367</v>
      </c>
      <c r="K878" s="84" t="s">
        <v>4480</v>
      </c>
      <c r="L878" s="85">
        <v>176</v>
      </c>
      <c r="M878" s="85"/>
      <c r="N878" s="85"/>
      <c r="O878" s="116" t="s">
        <v>8004</v>
      </c>
      <c r="P878" s="84"/>
      <c r="R878" s="82" t="s">
        <v>7998</v>
      </c>
      <c r="T878" s="127"/>
      <c r="X878" s="86">
        <v>46.492600000000003</v>
      </c>
      <c r="Y878" s="86">
        <v>-119.29170000000001</v>
      </c>
      <c r="Z878" s="85">
        <v>134</v>
      </c>
      <c r="AA878" s="82" t="s">
        <v>8013</v>
      </c>
      <c r="AB878" s="159"/>
    </row>
    <row r="879" spans="1:28" s="82" customFormat="1" ht="21.75" customHeight="1" x14ac:dyDescent="0.2">
      <c r="A879" s="82" t="s">
        <v>7974</v>
      </c>
      <c r="B879" s="82" t="s">
        <v>7935</v>
      </c>
      <c r="C879" s="82" t="s">
        <v>7786</v>
      </c>
      <c r="D879" s="82" t="s">
        <v>7999</v>
      </c>
      <c r="E879" s="82" t="s">
        <v>398</v>
      </c>
      <c r="F879" s="128" t="s">
        <v>7886</v>
      </c>
      <c r="G879" s="128" t="s">
        <v>7989</v>
      </c>
      <c r="H879" s="129" t="s">
        <v>7990</v>
      </c>
      <c r="I879" s="84">
        <v>1.5</v>
      </c>
      <c r="J879" s="84" t="s">
        <v>4367</v>
      </c>
      <c r="K879" s="84" t="s">
        <v>4480</v>
      </c>
      <c r="L879" s="85">
        <v>176</v>
      </c>
      <c r="M879" s="85"/>
      <c r="N879" s="85"/>
      <c r="O879" s="116" t="s">
        <v>8004</v>
      </c>
      <c r="P879" s="84"/>
      <c r="R879" s="82" t="s">
        <v>7998</v>
      </c>
      <c r="T879" s="127"/>
      <c r="X879" s="86">
        <v>46.492600000000003</v>
      </c>
      <c r="Y879" s="86">
        <v>-119.29170000000001</v>
      </c>
      <c r="Z879" s="85">
        <v>134</v>
      </c>
      <c r="AA879" s="82" t="s">
        <v>8014</v>
      </c>
      <c r="AB879" s="159"/>
    </row>
    <row r="880" spans="1:28" s="82" customFormat="1" ht="21.75" customHeight="1" x14ac:dyDescent="0.2">
      <c r="A880" s="82" t="s">
        <v>7974</v>
      </c>
      <c r="B880" s="82" t="s">
        <v>7935</v>
      </c>
      <c r="C880" s="82" t="s">
        <v>7786</v>
      </c>
      <c r="D880" s="82" t="s">
        <v>426</v>
      </c>
      <c r="E880" s="82" t="s">
        <v>7996</v>
      </c>
      <c r="F880" s="128" t="s">
        <v>6049</v>
      </c>
      <c r="G880" s="128" t="s">
        <v>7997</v>
      </c>
      <c r="H880" s="129" t="s">
        <v>7991</v>
      </c>
      <c r="I880" s="84">
        <v>2.09</v>
      </c>
      <c r="J880" s="84" t="s">
        <v>4367</v>
      </c>
      <c r="K880" s="84" t="s">
        <v>4410</v>
      </c>
      <c r="L880" s="85">
        <v>176</v>
      </c>
      <c r="M880" s="85"/>
      <c r="N880" s="85"/>
      <c r="O880" s="116" t="s">
        <v>8001</v>
      </c>
      <c r="P880" s="84"/>
      <c r="R880" s="82" t="s">
        <v>7998</v>
      </c>
      <c r="T880" s="127"/>
      <c r="X880" s="86">
        <v>46.532699999999998</v>
      </c>
      <c r="Y880" s="86">
        <v>-119.63</v>
      </c>
      <c r="Z880" s="85">
        <v>203</v>
      </c>
      <c r="AA880" s="82" t="s">
        <v>8015</v>
      </c>
      <c r="AB880" s="159"/>
    </row>
    <row r="881" spans="1:28" s="82" customFormat="1" ht="21.75" customHeight="1" x14ac:dyDescent="0.2">
      <c r="A881" s="82" t="s">
        <v>7974</v>
      </c>
      <c r="B881" s="82" t="s">
        <v>7935</v>
      </c>
      <c r="C881" s="82" t="s">
        <v>7786</v>
      </c>
      <c r="D881" s="82" t="s">
        <v>425</v>
      </c>
      <c r="E881" s="82" t="s">
        <v>7996</v>
      </c>
      <c r="F881" s="128" t="s">
        <v>6049</v>
      </c>
      <c r="G881" s="128" t="s">
        <v>7992</v>
      </c>
      <c r="H881" s="129" t="s">
        <v>7993</v>
      </c>
      <c r="I881" s="84">
        <v>1.8</v>
      </c>
      <c r="J881" s="84" t="s">
        <v>4367</v>
      </c>
      <c r="K881" s="84" t="s">
        <v>4410</v>
      </c>
      <c r="L881" s="85">
        <v>176</v>
      </c>
      <c r="M881" s="85"/>
      <c r="N881" s="85"/>
      <c r="O881" s="116" t="s">
        <v>8002</v>
      </c>
      <c r="P881" s="84"/>
      <c r="R881" s="82" t="s">
        <v>7998</v>
      </c>
      <c r="T881" s="127"/>
      <c r="X881" s="86">
        <v>46.556600000000003</v>
      </c>
      <c r="Y881" s="86">
        <v>-119.5004</v>
      </c>
      <c r="Z881" s="85">
        <v>180</v>
      </c>
      <c r="AA881" s="82" t="s">
        <v>8017</v>
      </c>
      <c r="AB881" s="159"/>
    </row>
    <row r="882" spans="1:28" s="82" customFormat="1" ht="21.75" customHeight="1" x14ac:dyDescent="0.2">
      <c r="A882" s="82" t="s">
        <v>7974</v>
      </c>
      <c r="B882" s="82" t="s">
        <v>7935</v>
      </c>
      <c r="C882" s="82" t="s">
        <v>7786</v>
      </c>
      <c r="D882" s="82" t="s">
        <v>8000</v>
      </c>
      <c r="E882" s="82" t="s">
        <v>7996</v>
      </c>
      <c r="F882" s="128" t="s">
        <v>6049</v>
      </c>
      <c r="G882" s="128" t="s">
        <v>7994</v>
      </c>
      <c r="H882" s="129" t="s">
        <v>7995</v>
      </c>
      <c r="I882" s="84">
        <v>0.85</v>
      </c>
      <c r="J882" s="84" t="s">
        <v>4367</v>
      </c>
      <c r="K882" s="84" t="s">
        <v>4480</v>
      </c>
      <c r="L882" s="85">
        <v>176</v>
      </c>
      <c r="M882" s="85"/>
      <c r="N882" s="85"/>
      <c r="O882" s="116" t="s">
        <v>8003</v>
      </c>
      <c r="P882" s="84"/>
      <c r="R882" s="82" t="s">
        <v>7998</v>
      </c>
      <c r="T882" s="127"/>
      <c r="X882" s="86">
        <v>46.471600000000002</v>
      </c>
      <c r="Y882" s="86">
        <v>-119.3672</v>
      </c>
      <c r="Z882" s="85">
        <v>152</v>
      </c>
      <c r="AA882" s="82" t="s">
        <v>8018</v>
      </c>
      <c r="AB882" s="144"/>
    </row>
    <row r="883" spans="1:28" ht="21.75" customHeight="1" x14ac:dyDescent="0.2">
      <c r="A883" s="7" t="s">
        <v>4119</v>
      </c>
      <c r="B883" s="7" t="s">
        <v>4120</v>
      </c>
      <c r="C883" s="7" t="s">
        <v>374</v>
      </c>
      <c r="D883" s="7" t="s">
        <v>4121</v>
      </c>
      <c r="E883" s="7" t="s">
        <v>398</v>
      </c>
      <c r="F883" s="7" t="s">
        <v>62</v>
      </c>
      <c r="G883" s="7" t="s">
        <v>4134</v>
      </c>
      <c r="H883" s="1" t="s">
        <v>4133</v>
      </c>
      <c r="I883" s="2">
        <v>0.7</v>
      </c>
      <c r="J883" s="2" t="s">
        <v>5779</v>
      </c>
      <c r="K883" s="2" t="s">
        <v>4480</v>
      </c>
      <c r="L883" s="6">
        <v>1581</v>
      </c>
      <c r="O883" s="45" t="s">
        <v>4135</v>
      </c>
      <c r="Q883" s="7">
        <v>0.2</v>
      </c>
      <c r="R883" s="7" t="s">
        <v>4141</v>
      </c>
      <c r="T883" s="18"/>
      <c r="X883" s="5">
        <v>35.058599999999998</v>
      </c>
      <c r="Y883" s="5">
        <v>135.76929999999999</v>
      </c>
      <c r="Z883" s="6">
        <v>75</v>
      </c>
      <c r="AB883" s="139" t="s">
        <v>4142</v>
      </c>
    </row>
    <row r="884" spans="1:28" ht="21.75" customHeight="1" x14ac:dyDescent="0.2">
      <c r="A884" s="7" t="s">
        <v>4119</v>
      </c>
      <c r="B884" s="7" t="s">
        <v>4120</v>
      </c>
      <c r="C884" s="7" t="s">
        <v>374</v>
      </c>
      <c r="D884" s="7" t="s">
        <v>4121</v>
      </c>
      <c r="E884" s="7" t="s">
        <v>398</v>
      </c>
      <c r="F884" s="7" t="s">
        <v>62</v>
      </c>
      <c r="G884" s="7" t="s">
        <v>4132</v>
      </c>
      <c r="H884" s="1" t="s">
        <v>4122</v>
      </c>
      <c r="I884" s="2">
        <v>0.25</v>
      </c>
      <c r="J884" s="2" t="s">
        <v>5779</v>
      </c>
      <c r="K884" s="2" t="s">
        <v>4480</v>
      </c>
      <c r="L884" s="6">
        <v>1581</v>
      </c>
      <c r="O884" s="45" t="s">
        <v>4135</v>
      </c>
      <c r="Q884" s="7">
        <v>0.2</v>
      </c>
      <c r="R884" s="7" t="s">
        <v>4141</v>
      </c>
      <c r="T884" s="18"/>
      <c r="X884" s="5">
        <v>35.058599999999998</v>
      </c>
      <c r="Y884" s="5">
        <v>135.76929999999999</v>
      </c>
      <c r="Z884" s="6">
        <v>75</v>
      </c>
      <c r="AB884" s="139"/>
    </row>
    <row r="885" spans="1:28" ht="21.75" customHeight="1" x14ac:dyDescent="0.2">
      <c r="A885" s="7" t="s">
        <v>4119</v>
      </c>
      <c r="B885" s="7" t="s">
        <v>4120</v>
      </c>
      <c r="C885" s="7" t="s">
        <v>374</v>
      </c>
      <c r="D885" s="7" t="s">
        <v>4121</v>
      </c>
      <c r="E885" s="7" t="s">
        <v>398</v>
      </c>
      <c r="F885" s="7" t="s">
        <v>217</v>
      </c>
      <c r="G885" s="7" t="s">
        <v>4130</v>
      </c>
      <c r="H885" s="1" t="s">
        <v>4123</v>
      </c>
      <c r="I885" s="2">
        <v>0.3</v>
      </c>
      <c r="J885" s="2" t="s">
        <v>5779</v>
      </c>
      <c r="K885" s="2" t="s">
        <v>4480</v>
      </c>
      <c r="L885" s="6">
        <v>1581</v>
      </c>
      <c r="O885" s="45" t="s">
        <v>4135</v>
      </c>
      <c r="Q885" s="7">
        <v>0.2</v>
      </c>
      <c r="R885" s="7" t="s">
        <v>4141</v>
      </c>
      <c r="T885" s="18"/>
      <c r="X885" s="5">
        <v>35.058599999999998</v>
      </c>
      <c r="Y885" s="5">
        <v>135.76929999999999</v>
      </c>
      <c r="Z885" s="6">
        <v>75</v>
      </c>
      <c r="AB885" s="139"/>
    </row>
    <row r="886" spans="1:28" ht="21.75" customHeight="1" x14ac:dyDescent="0.2">
      <c r="A886" s="7" t="s">
        <v>4119</v>
      </c>
      <c r="B886" s="7" t="s">
        <v>4120</v>
      </c>
      <c r="C886" s="7" t="s">
        <v>374</v>
      </c>
      <c r="D886" s="7" t="s">
        <v>4121</v>
      </c>
      <c r="E886" s="7" t="s">
        <v>398</v>
      </c>
      <c r="F886" s="7" t="s">
        <v>217</v>
      </c>
      <c r="H886" s="1" t="s">
        <v>4124</v>
      </c>
      <c r="I886" s="2">
        <v>0.15</v>
      </c>
      <c r="J886" s="2" t="s">
        <v>5779</v>
      </c>
      <c r="K886" s="2" t="s">
        <v>4480</v>
      </c>
      <c r="L886" s="6">
        <v>1581</v>
      </c>
      <c r="O886" s="45" t="s">
        <v>4135</v>
      </c>
      <c r="Q886" s="7">
        <v>0.2</v>
      </c>
      <c r="R886" s="7" t="s">
        <v>4141</v>
      </c>
      <c r="T886" s="18"/>
      <c r="X886" s="5">
        <v>35.058599999999998</v>
      </c>
      <c r="Y886" s="5">
        <v>135.76929999999999</v>
      </c>
      <c r="Z886" s="6">
        <v>75</v>
      </c>
      <c r="AB886" s="139"/>
    </row>
    <row r="887" spans="1:28" ht="21.75" customHeight="1" x14ac:dyDescent="0.2">
      <c r="A887" s="7" t="s">
        <v>4119</v>
      </c>
      <c r="B887" s="7" t="s">
        <v>4120</v>
      </c>
      <c r="C887" s="7" t="s">
        <v>374</v>
      </c>
      <c r="D887" s="7" t="s">
        <v>4121</v>
      </c>
      <c r="E887" s="7" t="s">
        <v>280</v>
      </c>
      <c r="F887" s="7" t="s">
        <v>214</v>
      </c>
      <c r="G887" s="7" t="s">
        <v>4129</v>
      </c>
      <c r="H887" s="1" t="s">
        <v>4125</v>
      </c>
      <c r="I887" s="2">
        <v>0.2</v>
      </c>
      <c r="J887" s="2" t="s">
        <v>5779</v>
      </c>
      <c r="K887" s="2" t="s">
        <v>4480</v>
      </c>
      <c r="L887" s="6">
        <v>1581</v>
      </c>
      <c r="O887" s="45" t="s">
        <v>4135</v>
      </c>
      <c r="Q887" s="7">
        <v>0.2</v>
      </c>
      <c r="R887" s="7" t="s">
        <v>4141</v>
      </c>
      <c r="T887" s="18"/>
      <c r="X887" s="5">
        <v>35.058599999999998</v>
      </c>
      <c r="Y887" s="5">
        <v>135.76929999999999</v>
      </c>
      <c r="Z887" s="6">
        <v>75</v>
      </c>
      <c r="AB887" s="7" t="s">
        <v>4146</v>
      </c>
    </row>
    <row r="888" spans="1:28" ht="21.75" customHeight="1" x14ac:dyDescent="0.2">
      <c r="A888" s="7" t="s">
        <v>4119</v>
      </c>
      <c r="B888" s="7" t="s">
        <v>4120</v>
      </c>
      <c r="C888" s="7" t="s">
        <v>374</v>
      </c>
      <c r="D888" s="7" t="s">
        <v>4121</v>
      </c>
      <c r="E888" s="7" t="s">
        <v>263</v>
      </c>
      <c r="F888" s="7" t="s">
        <v>213</v>
      </c>
      <c r="G888" s="7" t="s">
        <v>4131</v>
      </c>
      <c r="H888" s="1" t="s">
        <v>4126</v>
      </c>
      <c r="I888" s="2">
        <v>0.18</v>
      </c>
      <c r="J888" s="2" t="s">
        <v>5779</v>
      </c>
      <c r="K888" s="2" t="s">
        <v>4480</v>
      </c>
      <c r="L888" s="6">
        <v>1581</v>
      </c>
      <c r="O888" s="45" t="s">
        <v>4135</v>
      </c>
      <c r="Q888" s="7">
        <v>0.2</v>
      </c>
      <c r="R888" s="7" t="s">
        <v>4141</v>
      </c>
      <c r="T888" s="18"/>
      <c r="X888" s="5">
        <v>35.058599999999998</v>
      </c>
      <c r="Y888" s="5">
        <v>135.76929999999999</v>
      </c>
      <c r="Z888" s="6">
        <v>75</v>
      </c>
    </row>
    <row r="889" spans="1:28" ht="21.75" customHeight="1" x14ac:dyDescent="0.2">
      <c r="A889" s="7" t="s">
        <v>4119</v>
      </c>
      <c r="B889" s="7" t="s">
        <v>4120</v>
      </c>
      <c r="C889" s="7" t="s">
        <v>374</v>
      </c>
      <c r="D889" s="7" t="s">
        <v>4121</v>
      </c>
      <c r="E889" s="7" t="s">
        <v>33</v>
      </c>
      <c r="F889" s="7" t="s">
        <v>212</v>
      </c>
      <c r="G889" s="7" t="s">
        <v>4128</v>
      </c>
      <c r="H889" s="1" t="s">
        <v>4127</v>
      </c>
      <c r="I889" s="2">
        <v>0.13</v>
      </c>
      <c r="J889" s="2" t="s">
        <v>5779</v>
      </c>
      <c r="K889" s="2" t="s">
        <v>4480</v>
      </c>
      <c r="L889" s="6">
        <v>1581</v>
      </c>
      <c r="O889" s="45" t="s">
        <v>4135</v>
      </c>
      <c r="Q889" s="7">
        <v>0.2</v>
      </c>
      <c r="R889" s="7" t="s">
        <v>4141</v>
      </c>
      <c r="T889" s="18"/>
      <c r="X889" s="5">
        <v>35.058599999999998</v>
      </c>
      <c r="Y889" s="5">
        <v>135.76929999999999</v>
      </c>
      <c r="Z889" s="6">
        <v>75</v>
      </c>
    </row>
    <row r="890" spans="1:28" ht="21.75" customHeight="1" x14ac:dyDescent="0.2">
      <c r="A890" s="7" t="s">
        <v>4119</v>
      </c>
      <c r="B890" s="7" t="s">
        <v>4120</v>
      </c>
      <c r="C890" s="7" t="s">
        <v>374</v>
      </c>
      <c r="D890" s="7" t="s">
        <v>4121</v>
      </c>
      <c r="E890" s="7" t="s">
        <v>398</v>
      </c>
      <c r="F890" s="7" t="s">
        <v>62</v>
      </c>
      <c r="G890" s="7" t="s">
        <v>4134</v>
      </c>
      <c r="H890" s="1" t="s">
        <v>4133</v>
      </c>
      <c r="I890" s="2">
        <v>2.5</v>
      </c>
      <c r="J890" s="2" t="s">
        <v>5779</v>
      </c>
      <c r="K890" s="2" t="s">
        <v>4480</v>
      </c>
      <c r="L890" s="6">
        <v>1581</v>
      </c>
      <c r="O890" s="45" t="s">
        <v>4136</v>
      </c>
      <c r="Q890" s="7">
        <v>0.2</v>
      </c>
      <c r="R890" s="7" t="s">
        <v>4141</v>
      </c>
      <c r="T890" s="18"/>
      <c r="X890" s="5">
        <v>35.057899999999997</v>
      </c>
      <c r="Y890" s="5">
        <v>135.7722</v>
      </c>
      <c r="Z890" s="6">
        <v>82</v>
      </c>
      <c r="AA890" s="7" t="s">
        <v>4140</v>
      </c>
    </row>
    <row r="891" spans="1:28" ht="21.75" customHeight="1" x14ac:dyDescent="0.2">
      <c r="A891" s="7" t="s">
        <v>4119</v>
      </c>
      <c r="B891" s="7" t="s">
        <v>4120</v>
      </c>
      <c r="C891" s="7" t="s">
        <v>374</v>
      </c>
      <c r="D891" s="7" t="s">
        <v>4121</v>
      </c>
      <c r="E891" s="7" t="s">
        <v>398</v>
      </c>
      <c r="F891" s="7" t="s">
        <v>217</v>
      </c>
      <c r="G891" s="7" t="s">
        <v>4130</v>
      </c>
      <c r="H891" s="1" t="s">
        <v>4123</v>
      </c>
      <c r="I891" s="2">
        <v>1.2</v>
      </c>
      <c r="J891" s="2" t="s">
        <v>5779</v>
      </c>
      <c r="K891" s="2" t="s">
        <v>4480</v>
      </c>
      <c r="L891" s="6">
        <v>1581</v>
      </c>
      <c r="O891" s="45" t="s">
        <v>4136</v>
      </c>
      <c r="Q891" s="7">
        <v>0.2</v>
      </c>
      <c r="R891" s="7" t="s">
        <v>4141</v>
      </c>
      <c r="T891" s="18"/>
      <c r="X891" s="5">
        <v>35.057899999999997</v>
      </c>
      <c r="Y891" s="5">
        <v>135.7722</v>
      </c>
      <c r="Z891" s="6">
        <v>82</v>
      </c>
    </row>
    <row r="892" spans="1:28" ht="21.75" customHeight="1" x14ac:dyDescent="0.2">
      <c r="A892" s="7" t="s">
        <v>4119</v>
      </c>
      <c r="B892" s="7" t="s">
        <v>4120</v>
      </c>
      <c r="C892" s="7" t="s">
        <v>374</v>
      </c>
      <c r="D892" s="7" t="s">
        <v>4121</v>
      </c>
      <c r="E892" s="7" t="s">
        <v>398</v>
      </c>
      <c r="F892" s="7" t="s">
        <v>217</v>
      </c>
      <c r="G892" s="7" t="s">
        <v>4143</v>
      </c>
      <c r="H892" s="1" t="s">
        <v>4137</v>
      </c>
      <c r="I892" s="2">
        <v>0.3</v>
      </c>
      <c r="J892" s="2" t="s">
        <v>5779</v>
      </c>
      <c r="K892" s="2" t="s">
        <v>4480</v>
      </c>
      <c r="L892" s="6">
        <v>1581</v>
      </c>
      <c r="O892" s="45" t="s">
        <v>4136</v>
      </c>
      <c r="Q892" s="7">
        <v>0.2</v>
      </c>
      <c r="R892" s="7" t="s">
        <v>4141</v>
      </c>
      <c r="T892" s="18"/>
      <c r="X892" s="5">
        <v>35.057899999999997</v>
      </c>
      <c r="Y892" s="5">
        <v>135.7722</v>
      </c>
      <c r="Z892" s="6">
        <v>82</v>
      </c>
    </row>
    <row r="893" spans="1:28" ht="21.75" customHeight="1" x14ac:dyDescent="0.2">
      <c r="A893" s="7" t="s">
        <v>4119</v>
      </c>
      <c r="B893" s="7" t="s">
        <v>4120</v>
      </c>
      <c r="C893" s="7" t="s">
        <v>374</v>
      </c>
      <c r="D893" s="7" t="s">
        <v>4121</v>
      </c>
      <c r="E893" s="7" t="s">
        <v>275</v>
      </c>
      <c r="F893" s="7" t="s">
        <v>217</v>
      </c>
      <c r="G893" s="7" t="s">
        <v>4144</v>
      </c>
      <c r="H893" s="1" t="s">
        <v>4138</v>
      </c>
      <c r="I893" s="7">
        <v>0.05</v>
      </c>
      <c r="J893" s="2" t="s">
        <v>5779</v>
      </c>
      <c r="K893" s="2" t="s">
        <v>4480</v>
      </c>
      <c r="L893" s="6">
        <v>1581</v>
      </c>
      <c r="O893" s="45" t="s">
        <v>4136</v>
      </c>
      <c r="Q893" s="7">
        <v>0.2</v>
      </c>
      <c r="R893" s="7" t="s">
        <v>4141</v>
      </c>
      <c r="T893" s="18"/>
      <c r="X893" s="5">
        <v>35.057899999999997</v>
      </c>
      <c r="Y893" s="5">
        <v>135.7722</v>
      </c>
      <c r="Z893" s="6">
        <v>82</v>
      </c>
    </row>
    <row r="894" spans="1:28" ht="21.75" customHeight="1" x14ac:dyDescent="0.2">
      <c r="A894" s="7" t="s">
        <v>4119</v>
      </c>
      <c r="B894" s="7" t="s">
        <v>4120</v>
      </c>
      <c r="C894" s="7" t="s">
        <v>374</v>
      </c>
      <c r="D894" s="7" t="s">
        <v>4121</v>
      </c>
      <c r="E894" s="7" t="s">
        <v>3074</v>
      </c>
      <c r="F894" s="7" t="s">
        <v>217</v>
      </c>
      <c r="G894" s="7" t="s">
        <v>4145</v>
      </c>
      <c r="H894" s="1" t="s">
        <v>4139</v>
      </c>
      <c r="I894" s="2">
        <v>0.15</v>
      </c>
      <c r="J894" s="2" t="s">
        <v>5779</v>
      </c>
      <c r="K894" s="2" t="s">
        <v>4480</v>
      </c>
      <c r="L894" s="6">
        <v>1581</v>
      </c>
      <c r="O894" s="45" t="s">
        <v>4136</v>
      </c>
      <c r="Q894" s="7">
        <v>0.2</v>
      </c>
      <c r="R894" s="7" t="s">
        <v>4141</v>
      </c>
      <c r="T894" s="18"/>
      <c r="X894" s="5">
        <v>35.057899999999997</v>
      </c>
      <c r="Y894" s="5">
        <v>135.7722</v>
      </c>
      <c r="Z894" s="6">
        <v>82</v>
      </c>
    </row>
    <row r="895" spans="1:28" s="8" customFormat="1" ht="21.75" customHeight="1" x14ac:dyDescent="0.2">
      <c r="A895" s="8" t="s">
        <v>6470</v>
      </c>
      <c r="B895" s="8" t="s">
        <v>6474</v>
      </c>
      <c r="C895" s="8" t="s">
        <v>188</v>
      </c>
      <c r="E895" s="8" t="s">
        <v>734</v>
      </c>
      <c r="F895" s="8" t="s">
        <v>212</v>
      </c>
      <c r="G895" s="8" t="s">
        <v>6473</v>
      </c>
      <c r="H895" s="3" t="s">
        <v>6471</v>
      </c>
      <c r="I895" s="4">
        <v>4</v>
      </c>
      <c r="J895" s="4" t="s">
        <v>4367</v>
      </c>
      <c r="K895" s="4" t="s">
        <v>4386</v>
      </c>
      <c r="L895" s="14"/>
      <c r="M895" s="14"/>
      <c r="N895" s="14"/>
      <c r="O895" s="110"/>
      <c r="P895" s="4"/>
      <c r="R895" s="8" t="s">
        <v>6475</v>
      </c>
      <c r="T895" s="9"/>
      <c r="X895" s="13">
        <v>43.241799999999998</v>
      </c>
      <c r="Y895" s="13">
        <v>76.990499999999997</v>
      </c>
      <c r="Z895" s="14">
        <v>1000</v>
      </c>
      <c r="AA895" s="132" t="s">
        <v>6476</v>
      </c>
      <c r="AB895" s="132" t="s">
        <v>6477</v>
      </c>
    </row>
    <row r="896" spans="1:28" s="8" customFormat="1" ht="21.75" customHeight="1" x14ac:dyDescent="0.2">
      <c r="A896" s="8" t="s">
        <v>6470</v>
      </c>
      <c r="B896" s="8" t="s">
        <v>6474</v>
      </c>
      <c r="C896" s="8" t="s">
        <v>188</v>
      </c>
      <c r="E896" s="8" t="s">
        <v>734</v>
      </c>
      <c r="F896" s="8" t="s">
        <v>212</v>
      </c>
      <c r="G896" s="8" t="s">
        <v>6472</v>
      </c>
      <c r="H896" s="3" t="s">
        <v>6471</v>
      </c>
      <c r="I896" s="4">
        <v>6.4</v>
      </c>
      <c r="J896" s="4" t="s">
        <v>4367</v>
      </c>
      <c r="K896" s="4" t="s">
        <v>4386</v>
      </c>
      <c r="L896" s="14"/>
      <c r="M896" s="14"/>
      <c r="N896" s="14"/>
      <c r="O896" s="110"/>
      <c r="P896" s="4"/>
      <c r="R896" s="8" t="s">
        <v>6475</v>
      </c>
      <c r="T896" s="9"/>
      <c r="X896" s="13">
        <v>43.241799999999998</v>
      </c>
      <c r="Y896" s="13">
        <v>76.990499999999997</v>
      </c>
      <c r="Z896" s="14">
        <v>1000</v>
      </c>
      <c r="AA896" s="133"/>
      <c r="AB896" s="133"/>
    </row>
    <row r="897" spans="1:36" ht="21.75" customHeight="1" x14ac:dyDescent="0.2">
      <c r="A897" s="7" t="s">
        <v>2743</v>
      </c>
      <c r="B897" s="7" t="s">
        <v>2744</v>
      </c>
      <c r="C897" s="7" t="s">
        <v>2745</v>
      </c>
      <c r="D897" s="7" t="s">
        <v>2747</v>
      </c>
      <c r="E897" s="7" t="s">
        <v>398</v>
      </c>
      <c r="F897" s="7" t="s">
        <v>2755</v>
      </c>
      <c r="H897" s="1" t="s">
        <v>2756</v>
      </c>
      <c r="I897" s="2">
        <v>0.7</v>
      </c>
      <c r="J897" s="2" t="s">
        <v>4433</v>
      </c>
      <c r="K897" s="2" t="s">
        <v>5780</v>
      </c>
      <c r="L897" s="6">
        <v>900</v>
      </c>
      <c r="M897" s="6" t="s">
        <v>2759</v>
      </c>
      <c r="O897" s="45" t="s">
        <v>2746</v>
      </c>
      <c r="R897" s="7" t="s">
        <v>2751</v>
      </c>
      <c r="T897" s="18"/>
      <c r="U897" s="7" t="s">
        <v>2752</v>
      </c>
      <c r="X897" s="5">
        <v>37.860999999999997</v>
      </c>
      <c r="Y897" s="5">
        <v>-122.52249999999999</v>
      </c>
      <c r="Z897" s="6">
        <v>220</v>
      </c>
      <c r="AA897" s="139" t="s">
        <v>2762</v>
      </c>
      <c r="AB897" s="7" t="s">
        <v>2764</v>
      </c>
    </row>
    <row r="898" spans="1:36" ht="21.75" customHeight="1" x14ac:dyDescent="0.2">
      <c r="A898" s="7" t="s">
        <v>2743</v>
      </c>
      <c r="B898" s="7" t="s">
        <v>2744</v>
      </c>
      <c r="C898" s="7" t="s">
        <v>2745</v>
      </c>
      <c r="D898" s="7" t="s">
        <v>2747</v>
      </c>
      <c r="E898" s="7" t="s">
        <v>398</v>
      </c>
      <c r="F898" s="7" t="s">
        <v>884</v>
      </c>
      <c r="H898" s="1" t="s">
        <v>2757</v>
      </c>
      <c r="I898" s="2">
        <v>0.7</v>
      </c>
      <c r="J898" s="2" t="s">
        <v>4433</v>
      </c>
      <c r="K898" s="2" t="s">
        <v>5780</v>
      </c>
      <c r="L898" s="6">
        <v>900</v>
      </c>
      <c r="M898" s="6" t="s">
        <v>2759</v>
      </c>
      <c r="O898" s="45" t="s">
        <v>2746</v>
      </c>
      <c r="R898" s="7" t="s">
        <v>2751</v>
      </c>
      <c r="T898" s="18"/>
      <c r="U898" s="7" t="s">
        <v>2752</v>
      </c>
      <c r="X898" s="5">
        <v>37.860999999999997</v>
      </c>
      <c r="Y898" s="5">
        <v>-122.52249999999999</v>
      </c>
      <c r="Z898" s="6">
        <v>220</v>
      </c>
      <c r="AA898" s="139"/>
      <c r="AB898" s="7" t="s">
        <v>2764</v>
      </c>
    </row>
    <row r="899" spans="1:36" ht="21.75" customHeight="1" x14ac:dyDescent="0.2">
      <c r="A899" s="7" t="s">
        <v>2743</v>
      </c>
      <c r="B899" s="7" t="s">
        <v>2744</v>
      </c>
      <c r="C899" s="7" t="s">
        <v>2745</v>
      </c>
      <c r="D899" s="7" t="s">
        <v>2748</v>
      </c>
      <c r="E899" s="7" t="s">
        <v>275</v>
      </c>
      <c r="F899" s="7" t="s">
        <v>62</v>
      </c>
      <c r="H899" s="1" t="s">
        <v>2754</v>
      </c>
      <c r="I899" s="2">
        <v>0.5</v>
      </c>
      <c r="J899" s="2" t="s">
        <v>4433</v>
      </c>
      <c r="K899" s="2" t="s">
        <v>5780</v>
      </c>
      <c r="L899" s="6">
        <v>900</v>
      </c>
      <c r="M899" s="6" t="s">
        <v>2759</v>
      </c>
      <c r="O899" s="45" t="s">
        <v>2746</v>
      </c>
      <c r="R899" s="7" t="s">
        <v>2751</v>
      </c>
      <c r="T899" s="18"/>
      <c r="U899" s="7" t="s">
        <v>2752</v>
      </c>
      <c r="W899" s="7" t="s">
        <v>2758</v>
      </c>
      <c r="X899" s="5">
        <v>37.860999999999997</v>
      </c>
      <c r="Y899" s="5">
        <v>-122.52249999999999</v>
      </c>
      <c r="Z899" s="6">
        <v>220</v>
      </c>
      <c r="AA899" s="73" t="s">
        <v>2763</v>
      </c>
      <c r="AB899" s="7" t="s">
        <v>2764</v>
      </c>
    </row>
    <row r="900" spans="1:36" ht="21.75" customHeight="1" x14ac:dyDescent="0.2">
      <c r="A900" s="7" t="s">
        <v>2743</v>
      </c>
      <c r="B900" s="7" t="s">
        <v>2744</v>
      </c>
      <c r="C900" s="7" t="s">
        <v>2745</v>
      </c>
      <c r="D900" s="7" t="s">
        <v>2749</v>
      </c>
      <c r="E900" s="7" t="s">
        <v>398</v>
      </c>
      <c r="F900" s="7" t="s">
        <v>62</v>
      </c>
      <c r="H900" s="1" t="s">
        <v>2761</v>
      </c>
      <c r="I900" s="2">
        <v>0.7</v>
      </c>
      <c r="J900" s="2" t="s">
        <v>4433</v>
      </c>
      <c r="K900" s="2" t="s">
        <v>5780</v>
      </c>
      <c r="L900" s="6">
        <v>900</v>
      </c>
      <c r="M900" s="6" t="s">
        <v>2759</v>
      </c>
      <c r="O900" s="45" t="s">
        <v>2753</v>
      </c>
      <c r="R900" s="7" t="s">
        <v>2751</v>
      </c>
      <c r="T900" s="18"/>
      <c r="U900" s="7" t="s">
        <v>2752</v>
      </c>
      <c r="X900" s="5">
        <v>37.930999999999997</v>
      </c>
      <c r="Y900" s="5">
        <v>-112.673</v>
      </c>
      <c r="Z900" s="6">
        <v>168</v>
      </c>
      <c r="AB900" s="7" t="s">
        <v>2765</v>
      </c>
    </row>
    <row r="901" spans="1:36" ht="21.75" customHeight="1" x14ac:dyDescent="0.2">
      <c r="A901" s="7" t="s">
        <v>2743</v>
      </c>
      <c r="B901" s="7" t="s">
        <v>2744</v>
      </c>
      <c r="C901" s="7" t="s">
        <v>2745</v>
      </c>
      <c r="D901" s="7" t="s">
        <v>2750</v>
      </c>
      <c r="E901" s="7" t="s">
        <v>275</v>
      </c>
      <c r="F901" s="7" t="s">
        <v>62</v>
      </c>
      <c r="H901" s="1" t="s">
        <v>2760</v>
      </c>
      <c r="I901" s="2">
        <v>0.5</v>
      </c>
      <c r="J901" s="2" t="s">
        <v>4433</v>
      </c>
      <c r="K901" s="2" t="s">
        <v>5780</v>
      </c>
      <c r="L901" s="6">
        <v>900</v>
      </c>
      <c r="M901" s="6" t="s">
        <v>2759</v>
      </c>
      <c r="O901" s="45" t="s">
        <v>2753</v>
      </c>
      <c r="R901" s="7" t="s">
        <v>2751</v>
      </c>
      <c r="T901" s="18"/>
      <c r="U901" s="7" t="s">
        <v>2752</v>
      </c>
      <c r="W901" s="7" t="s">
        <v>2758</v>
      </c>
      <c r="X901" s="5">
        <v>37.930999999999997</v>
      </c>
      <c r="Y901" s="5">
        <v>-112.673</v>
      </c>
      <c r="Z901" s="6">
        <v>168</v>
      </c>
      <c r="AB901" s="7" t="s">
        <v>2765</v>
      </c>
    </row>
    <row r="902" spans="1:36" s="8" customFormat="1" ht="21.75" customHeight="1" x14ac:dyDescent="0.2">
      <c r="A902" s="8" t="s">
        <v>2735</v>
      </c>
      <c r="B902" s="8" t="s">
        <v>2740</v>
      </c>
      <c r="C902" s="8" t="s">
        <v>116</v>
      </c>
      <c r="E902" s="8" t="s">
        <v>278</v>
      </c>
      <c r="F902" s="8" t="s">
        <v>2738</v>
      </c>
      <c r="G902" s="8" t="s">
        <v>2737</v>
      </c>
      <c r="H902" s="3" t="s">
        <v>2736</v>
      </c>
      <c r="I902" s="4">
        <v>1.4</v>
      </c>
      <c r="J902" s="4" t="s">
        <v>5781</v>
      </c>
      <c r="K902" s="4" t="s">
        <v>5753</v>
      </c>
      <c r="L902" s="14">
        <v>265</v>
      </c>
      <c r="M902" s="14"/>
      <c r="N902" s="14"/>
      <c r="O902" s="110"/>
      <c r="P902" s="4"/>
      <c r="R902" s="8" t="s">
        <v>2741</v>
      </c>
      <c r="T902" s="9"/>
      <c r="X902" s="13">
        <v>17.501200000000001</v>
      </c>
      <c r="Y902" s="13">
        <v>78.278999999999996</v>
      </c>
      <c r="Z902" s="14">
        <v>519</v>
      </c>
      <c r="AA902" s="8" t="s">
        <v>2742</v>
      </c>
      <c r="AB902" s="8" t="s">
        <v>2739</v>
      </c>
    </row>
    <row r="903" spans="1:36" ht="21.75" customHeight="1" x14ac:dyDescent="0.2">
      <c r="A903" s="7" t="s">
        <v>3911</v>
      </c>
      <c r="B903" s="7" t="s">
        <v>3912</v>
      </c>
      <c r="C903" s="7" t="s">
        <v>143</v>
      </c>
      <c r="D903" s="7" t="s">
        <v>3916</v>
      </c>
      <c r="E903" s="7" t="s">
        <v>734</v>
      </c>
      <c r="F903" s="7" t="s">
        <v>212</v>
      </c>
      <c r="G903" s="7" t="s">
        <v>3915</v>
      </c>
      <c r="H903" s="1" t="s">
        <v>3914</v>
      </c>
      <c r="I903" s="2">
        <v>0.25</v>
      </c>
      <c r="J903" s="2" t="s">
        <v>5755</v>
      </c>
      <c r="K903" s="2" t="s">
        <v>4480</v>
      </c>
      <c r="L903" s="6">
        <v>2100</v>
      </c>
      <c r="O903" s="45" t="s">
        <v>3913</v>
      </c>
      <c r="R903" s="7" t="s">
        <v>3921</v>
      </c>
      <c r="T903" s="18"/>
      <c r="U903" s="7" t="s">
        <v>3920</v>
      </c>
      <c r="X903" s="5">
        <f>36+50/60+30/3600</f>
        <v>36.841666666666669</v>
      </c>
      <c r="Y903" s="5">
        <f>138+44/60+5/3600</f>
        <v>138.73472222222222</v>
      </c>
      <c r="Z903" s="6">
        <v>1500</v>
      </c>
      <c r="AB903" s="7" t="s">
        <v>3923</v>
      </c>
    </row>
    <row r="904" spans="1:36" ht="21.75" customHeight="1" x14ac:dyDescent="0.2">
      <c r="A904" s="7" t="s">
        <v>3911</v>
      </c>
      <c r="B904" s="7" t="s">
        <v>3912</v>
      </c>
      <c r="C904" s="7" t="s">
        <v>143</v>
      </c>
      <c r="D904" s="7" t="s">
        <v>3917</v>
      </c>
      <c r="E904" s="7" t="s">
        <v>734</v>
      </c>
      <c r="F904" s="7" t="s">
        <v>212</v>
      </c>
      <c r="G904" s="7" t="s">
        <v>3915</v>
      </c>
      <c r="H904" s="1" t="s">
        <v>3914</v>
      </c>
      <c r="I904" s="2">
        <v>1.5</v>
      </c>
      <c r="J904" s="2" t="s">
        <v>5755</v>
      </c>
      <c r="K904" s="2" t="s">
        <v>4480</v>
      </c>
      <c r="L904" s="6">
        <v>2100</v>
      </c>
      <c r="O904" s="45" t="s">
        <v>3913</v>
      </c>
      <c r="R904" s="7" t="s">
        <v>3922</v>
      </c>
      <c r="T904" s="18"/>
      <c r="U904" s="7" t="s">
        <v>3920</v>
      </c>
      <c r="X904" s="5">
        <f>36+53/60+20/3600</f>
        <v>36.888888888888886</v>
      </c>
      <c r="Y904" s="5">
        <f>138+46/60+10/3600</f>
        <v>138.76944444444445</v>
      </c>
      <c r="Z904" s="6">
        <v>900</v>
      </c>
      <c r="AB904" s="7" t="s">
        <v>3924</v>
      </c>
    </row>
    <row r="905" spans="1:36" ht="21.75" customHeight="1" x14ac:dyDescent="0.2">
      <c r="A905" s="7" t="s">
        <v>3911</v>
      </c>
      <c r="B905" s="7" t="s">
        <v>3912</v>
      </c>
      <c r="C905" s="7" t="s">
        <v>143</v>
      </c>
      <c r="D905" s="7" t="s">
        <v>3918</v>
      </c>
      <c r="E905" s="7" t="s">
        <v>734</v>
      </c>
      <c r="F905" s="7" t="s">
        <v>212</v>
      </c>
      <c r="G905" s="7" t="s">
        <v>3915</v>
      </c>
      <c r="H905" s="1" t="s">
        <v>3914</v>
      </c>
      <c r="I905" s="2">
        <v>0.4</v>
      </c>
      <c r="J905" s="2" t="s">
        <v>5755</v>
      </c>
      <c r="K905" s="2" t="s">
        <v>4480</v>
      </c>
      <c r="L905" s="6">
        <v>2100</v>
      </c>
      <c r="O905" s="45" t="s">
        <v>3919</v>
      </c>
      <c r="R905" s="7" t="s">
        <v>3921</v>
      </c>
      <c r="T905" s="18"/>
      <c r="U905" s="7" t="s">
        <v>3920</v>
      </c>
      <c r="X905" s="5">
        <f>36+55/60+20/3600</f>
        <v>36.922222222222217</v>
      </c>
      <c r="Y905" s="5">
        <f>138+45/60+58/3600</f>
        <v>138.76611111111112</v>
      </c>
      <c r="Z905" s="6">
        <v>550</v>
      </c>
      <c r="AB905" s="7" t="s">
        <v>3925</v>
      </c>
    </row>
    <row r="906" spans="1:36" s="8" customFormat="1" ht="21.75" customHeight="1" x14ac:dyDescent="0.2">
      <c r="A906" s="8" t="s">
        <v>1289</v>
      </c>
      <c r="B906" s="8" t="s">
        <v>1290</v>
      </c>
      <c r="C906" s="8" t="s">
        <v>143</v>
      </c>
      <c r="E906" s="8" t="s">
        <v>33</v>
      </c>
      <c r="F906" s="8" t="s">
        <v>212</v>
      </c>
      <c r="G906" s="8" t="s">
        <v>1291</v>
      </c>
      <c r="H906" s="3" t="s">
        <v>1292</v>
      </c>
      <c r="I906" s="8">
        <v>0.8</v>
      </c>
      <c r="J906" s="8" t="s">
        <v>4367</v>
      </c>
      <c r="K906" s="8" t="s">
        <v>4480</v>
      </c>
      <c r="L906" s="14"/>
      <c r="M906" s="14"/>
      <c r="N906" s="14"/>
      <c r="O906" s="110"/>
      <c r="P906" s="4"/>
      <c r="R906" s="8" t="s">
        <v>1293</v>
      </c>
      <c r="T906" s="9"/>
      <c r="X906" s="13">
        <v>52.079599999999999</v>
      </c>
      <c r="Y906" s="13">
        <v>5.6497999999999999</v>
      </c>
      <c r="Z906" s="14">
        <v>36</v>
      </c>
      <c r="AA906" s="8" t="s">
        <v>6441</v>
      </c>
    </row>
    <row r="907" spans="1:36" ht="21.75" customHeight="1" x14ac:dyDescent="0.2">
      <c r="A907" s="7" t="s">
        <v>6439</v>
      </c>
      <c r="B907" s="7" t="s">
        <v>6440</v>
      </c>
      <c r="C907" s="7" t="s">
        <v>6452</v>
      </c>
      <c r="E907" s="7" t="s">
        <v>233</v>
      </c>
      <c r="F907" s="7" t="s">
        <v>6445</v>
      </c>
      <c r="G907" s="7" t="s">
        <v>6444</v>
      </c>
      <c r="H907" s="1" t="s">
        <v>6443</v>
      </c>
      <c r="I907" s="7">
        <v>0.4</v>
      </c>
      <c r="J907" s="7" t="s">
        <v>4367</v>
      </c>
      <c r="K907" s="7" t="s">
        <v>4386</v>
      </c>
      <c r="O907" s="45" t="s">
        <v>6442</v>
      </c>
      <c r="T907" s="18"/>
      <c r="X907" s="5">
        <v>-22.592500000000001</v>
      </c>
      <c r="Y907" s="5">
        <v>16.996600000000001</v>
      </c>
      <c r="Z907" s="6">
        <v>1659</v>
      </c>
      <c r="AA907" s="7" t="s">
        <v>6447</v>
      </c>
      <c r="AB907" s="7" t="s">
        <v>6446</v>
      </c>
    </row>
    <row r="908" spans="1:36" ht="21.75" customHeight="1" x14ac:dyDescent="0.2">
      <c r="A908" s="7" t="s">
        <v>6439</v>
      </c>
      <c r="B908" s="7" t="s">
        <v>6450</v>
      </c>
      <c r="C908" s="7" t="s">
        <v>6452</v>
      </c>
      <c r="E908" s="7" t="s">
        <v>233</v>
      </c>
      <c r="F908" s="7" t="s">
        <v>214</v>
      </c>
      <c r="G908" s="7" t="s">
        <v>6451</v>
      </c>
      <c r="H908" s="1" t="s">
        <v>6448</v>
      </c>
      <c r="I908" s="7">
        <v>0.35</v>
      </c>
      <c r="J908" s="7" t="s">
        <v>4367</v>
      </c>
      <c r="K908" s="7" t="s">
        <v>4386</v>
      </c>
      <c r="O908" s="45" t="s">
        <v>6449</v>
      </c>
      <c r="T908" s="18"/>
      <c r="X908" s="5">
        <v>-21.214099999999998</v>
      </c>
      <c r="Y908" s="5">
        <v>14.856400000000001</v>
      </c>
      <c r="Z908" s="6">
        <v>802</v>
      </c>
      <c r="AA908" s="7" t="s">
        <v>6447</v>
      </c>
      <c r="AB908" s="7" t="s">
        <v>6459</v>
      </c>
    </row>
    <row r="909" spans="1:36" ht="21.75" customHeight="1" x14ac:dyDescent="0.2">
      <c r="A909" s="7" t="s">
        <v>6439</v>
      </c>
      <c r="B909" s="7" t="s">
        <v>6458</v>
      </c>
      <c r="C909" s="7" t="s">
        <v>46</v>
      </c>
      <c r="E909" s="7" t="s">
        <v>6455</v>
      </c>
      <c r="F909" s="7" t="s">
        <v>214</v>
      </c>
      <c r="G909" s="7" t="s">
        <v>6454</v>
      </c>
      <c r="H909" s="1" t="s">
        <v>6453</v>
      </c>
      <c r="I909" s="7">
        <v>4.75</v>
      </c>
      <c r="J909" s="7" t="s">
        <v>4367</v>
      </c>
      <c r="K909" s="7" t="s">
        <v>4386</v>
      </c>
      <c r="O909" s="45" t="s">
        <v>6457</v>
      </c>
      <c r="T909" s="18"/>
      <c r="X909" s="5">
        <v>-22.689299999999999</v>
      </c>
      <c r="Y909" s="5">
        <v>14.527799999999999</v>
      </c>
      <c r="Z909" s="6">
        <v>7</v>
      </c>
      <c r="AA909" s="7" t="s">
        <v>6456</v>
      </c>
      <c r="AB909" s="7" t="s">
        <v>6460</v>
      </c>
    </row>
    <row r="910" spans="1:36" s="8" customFormat="1" ht="21.75" customHeight="1" x14ac:dyDescent="0.2">
      <c r="A910" s="8" t="s">
        <v>7390</v>
      </c>
      <c r="B910" s="8" t="s">
        <v>7383</v>
      </c>
      <c r="C910" s="8" t="s">
        <v>94</v>
      </c>
      <c r="E910" s="8" t="s">
        <v>263</v>
      </c>
      <c r="F910" s="8" t="s">
        <v>212</v>
      </c>
      <c r="G910" s="8" t="s">
        <v>7386</v>
      </c>
      <c r="H910" s="3" t="s">
        <v>7387</v>
      </c>
      <c r="I910" s="8" t="s">
        <v>7384</v>
      </c>
      <c r="J910" s="8" t="s">
        <v>7388</v>
      </c>
      <c r="K910" s="8" t="s">
        <v>4410</v>
      </c>
      <c r="L910" s="14">
        <v>1200</v>
      </c>
      <c r="M910" s="14" t="s">
        <v>2759</v>
      </c>
      <c r="N910" s="14"/>
      <c r="O910" s="110"/>
      <c r="P910" s="4"/>
      <c r="R910" s="8" t="s">
        <v>7385</v>
      </c>
      <c r="T910" s="9"/>
      <c r="W910" s="8" t="s">
        <v>94</v>
      </c>
      <c r="X910" s="13">
        <v>-4.5895000000000001</v>
      </c>
      <c r="Y910" s="13">
        <v>11.8491</v>
      </c>
      <c r="Z910" s="14">
        <v>80</v>
      </c>
      <c r="AA910" s="8" t="s">
        <v>7391</v>
      </c>
      <c r="AB910" s="8" t="s">
        <v>7389</v>
      </c>
    </row>
    <row r="911" spans="1:36" ht="21.75" customHeight="1" x14ac:dyDescent="0.2">
      <c r="A911" s="7" t="s">
        <v>1036</v>
      </c>
      <c r="B911" s="7" t="s">
        <v>1037</v>
      </c>
      <c r="C911" s="7" t="s">
        <v>94</v>
      </c>
      <c r="D911" s="7" t="s">
        <v>1045</v>
      </c>
      <c r="E911" s="7" t="s">
        <v>263</v>
      </c>
      <c r="F911" s="7" t="s">
        <v>212</v>
      </c>
      <c r="G911" s="7" t="s">
        <v>1044</v>
      </c>
      <c r="H911" s="1" t="s">
        <v>1043</v>
      </c>
      <c r="I911" s="7">
        <v>12</v>
      </c>
      <c r="J911" s="7" t="s">
        <v>5782</v>
      </c>
      <c r="K911" s="7" t="s">
        <v>4410</v>
      </c>
      <c r="L911" s="6">
        <v>1360</v>
      </c>
      <c r="M911" s="6">
        <v>6</v>
      </c>
      <c r="Q911" s="7">
        <v>14</v>
      </c>
      <c r="R911" s="7" t="s">
        <v>1040</v>
      </c>
      <c r="U911" s="7" t="s">
        <v>1038</v>
      </c>
      <c r="V911" s="7" t="s">
        <v>4565</v>
      </c>
      <c r="W911" s="7" t="s">
        <v>1039</v>
      </c>
      <c r="X911" s="5">
        <v>-23.022600000000001</v>
      </c>
      <c r="Y911" s="5">
        <v>-48.6083</v>
      </c>
      <c r="Z911" s="6">
        <v>850</v>
      </c>
      <c r="AA911" s="7" t="s">
        <v>1054</v>
      </c>
      <c r="AB911" s="7" t="s">
        <v>1053</v>
      </c>
      <c r="AI911" s="130"/>
      <c r="AJ911" s="130"/>
    </row>
    <row r="912" spans="1:36" ht="21.75" customHeight="1" x14ac:dyDescent="0.2">
      <c r="A912" s="7" t="s">
        <v>1036</v>
      </c>
      <c r="B912" s="7" t="s">
        <v>1037</v>
      </c>
      <c r="C912" s="7" t="s">
        <v>94</v>
      </c>
      <c r="D912" s="7" t="s">
        <v>1046</v>
      </c>
      <c r="E912" s="7" t="s">
        <v>263</v>
      </c>
      <c r="F912" s="7" t="s">
        <v>212</v>
      </c>
      <c r="G912" s="7" t="s">
        <v>1044</v>
      </c>
      <c r="H912" s="1" t="s">
        <v>1043</v>
      </c>
      <c r="I912" s="7">
        <v>11</v>
      </c>
      <c r="J912" s="7" t="s">
        <v>5782</v>
      </c>
      <c r="K912" s="7" t="s">
        <v>4410</v>
      </c>
      <c r="L912" s="6">
        <v>1360</v>
      </c>
      <c r="M912" s="6">
        <v>6</v>
      </c>
      <c r="Q912" s="7">
        <v>14</v>
      </c>
      <c r="R912" s="7" t="s">
        <v>1041</v>
      </c>
      <c r="U912" s="7" t="s">
        <v>128</v>
      </c>
      <c r="V912" s="7" t="s">
        <v>4565</v>
      </c>
      <c r="W912" s="7" t="s">
        <v>1039</v>
      </c>
      <c r="X912" s="5">
        <v>-23.077000000000002</v>
      </c>
      <c r="Y912" s="5">
        <v>-48.636099999999999</v>
      </c>
      <c r="Z912" s="6">
        <v>850</v>
      </c>
      <c r="AA912" s="7" t="s">
        <v>1055</v>
      </c>
      <c r="AB912" s="7" t="s">
        <v>1042</v>
      </c>
    </row>
    <row r="913" spans="1:28" s="8" customFormat="1" ht="21.75" customHeight="1" x14ac:dyDescent="0.2">
      <c r="A913" s="8" t="s">
        <v>4599</v>
      </c>
      <c r="B913" s="8" t="s">
        <v>4603</v>
      </c>
      <c r="C913" s="8" t="s">
        <v>4604</v>
      </c>
      <c r="D913" s="8" t="s">
        <v>4605</v>
      </c>
      <c r="E913" s="8" t="s">
        <v>263</v>
      </c>
      <c r="F913" s="8" t="s">
        <v>4602</v>
      </c>
      <c r="G913" s="8" t="s">
        <v>4601</v>
      </c>
      <c r="H913" s="3" t="s">
        <v>4600</v>
      </c>
      <c r="I913" s="8" t="s">
        <v>2658</v>
      </c>
      <c r="J913" s="8" t="s">
        <v>4367</v>
      </c>
      <c r="K913" s="8" t="s">
        <v>4410</v>
      </c>
      <c r="L913" s="14"/>
      <c r="M913" s="14"/>
      <c r="N913" s="14"/>
      <c r="O913" s="110"/>
      <c r="P913" s="4"/>
      <c r="R913" s="8" t="s">
        <v>4608</v>
      </c>
      <c r="U913" s="8" t="s">
        <v>4606</v>
      </c>
      <c r="V913" s="8">
        <v>0.6</v>
      </c>
      <c r="X913" s="13">
        <f>-(34+18/60)</f>
        <v>-34.299999999999997</v>
      </c>
      <c r="Y913" s="13">
        <f>19+9/60</f>
        <v>19.149999999999999</v>
      </c>
      <c r="Z913" s="14">
        <v>40</v>
      </c>
      <c r="AA913" s="8" t="s">
        <v>4607</v>
      </c>
      <c r="AB913" s="8" t="s">
        <v>4609</v>
      </c>
    </row>
    <row r="914" spans="1:28" ht="21.75" customHeight="1" x14ac:dyDescent="0.2">
      <c r="A914" s="7" t="s">
        <v>4753</v>
      </c>
      <c r="B914" s="7" t="s">
        <v>4756</v>
      </c>
      <c r="C914" s="7" t="s">
        <v>4757</v>
      </c>
      <c r="D914" s="7" t="s">
        <v>4754</v>
      </c>
      <c r="E914" s="7" t="s">
        <v>5960</v>
      </c>
      <c r="F914" s="7" t="s">
        <v>212</v>
      </c>
      <c r="H914" s="1" t="s">
        <v>7394</v>
      </c>
      <c r="I914" s="7">
        <v>0.9</v>
      </c>
      <c r="J914" s="7" t="s">
        <v>4367</v>
      </c>
      <c r="K914" s="7" t="s">
        <v>4410</v>
      </c>
      <c r="O914" s="45" t="s">
        <v>4758</v>
      </c>
      <c r="R914" s="7" t="s">
        <v>4762</v>
      </c>
      <c r="U914" s="7" t="s">
        <v>4761</v>
      </c>
      <c r="V914" s="7" t="s">
        <v>4763</v>
      </c>
      <c r="W914" s="7" t="s">
        <v>4760</v>
      </c>
      <c r="X914" s="5">
        <v>9.4024000000000001</v>
      </c>
      <c r="Y914" s="5">
        <v>-1.9845999999999999</v>
      </c>
      <c r="Z914" s="6">
        <v>165</v>
      </c>
      <c r="AA914" s="7" t="s">
        <v>4755</v>
      </c>
      <c r="AB914" s="7" t="s">
        <v>4759</v>
      </c>
    </row>
    <row r="915" spans="1:28" s="8" customFormat="1" ht="21.75" customHeight="1" x14ac:dyDescent="0.2">
      <c r="A915" s="8" t="s">
        <v>5896</v>
      </c>
      <c r="B915" s="8" t="s">
        <v>5897</v>
      </c>
      <c r="C915" s="8" t="s">
        <v>5898</v>
      </c>
      <c r="D915" s="8" t="s">
        <v>5899</v>
      </c>
      <c r="E915" s="8" t="s">
        <v>5915</v>
      </c>
      <c r="F915" s="8" t="s">
        <v>212</v>
      </c>
      <c r="H915" s="3" t="s">
        <v>5913</v>
      </c>
      <c r="I915" s="8">
        <v>0.6</v>
      </c>
      <c r="J915" s="8" t="s">
        <v>5903</v>
      </c>
      <c r="K915" s="8" t="s">
        <v>4410</v>
      </c>
      <c r="L915" s="14">
        <v>1700</v>
      </c>
      <c r="M915" s="14" t="s">
        <v>5902</v>
      </c>
      <c r="N915" s="14"/>
      <c r="O915" s="110" t="s">
        <v>3886</v>
      </c>
      <c r="P915" s="4"/>
      <c r="R915" s="8" t="s">
        <v>5905</v>
      </c>
      <c r="U915" s="8" t="s">
        <v>5904</v>
      </c>
      <c r="W915" s="8" t="s">
        <v>5910</v>
      </c>
      <c r="X915" s="13">
        <v>6.1502999999999997</v>
      </c>
      <c r="Y915" s="13">
        <v>-0.91190000000000004</v>
      </c>
      <c r="Z915" s="14">
        <v>193</v>
      </c>
      <c r="AA915" s="132" t="s">
        <v>5909</v>
      </c>
      <c r="AB915" s="132" t="s">
        <v>5916</v>
      </c>
    </row>
    <row r="916" spans="1:28" s="8" customFormat="1" ht="21.75" customHeight="1" x14ac:dyDescent="0.2">
      <c r="A916" s="8" t="s">
        <v>5896</v>
      </c>
      <c r="B916" s="8" t="s">
        <v>5897</v>
      </c>
      <c r="C916" s="8" t="s">
        <v>5898</v>
      </c>
      <c r="D916" s="8" t="s">
        <v>5900</v>
      </c>
      <c r="E916" s="8" t="s">
        <v>5915</v>
      </c>
      <c r="F916" s="8" t="s">
        <v>212</v>
      </c>
      <c r="H916" s="3" t="s">
        <v>5914</v>
      </c>
      <c r="I916" s="8">
        <v>0.7</v>
      </c>
      <c r="J916" s="8" t="s">
        <v>5903</v>
      </c>
      <c r="K916" s="8" t="s">
        <v>4410</v>
      </c>
      <c r="L916" s="14">
        <v>1700</v>
      </c>
      <c r="M916" s="14" t="s">
        <v>5902</v>
      </c>
      <c r="N916" s="14"/>
      <c r="O916" s="110" t="s">
        <v>2978</v>
      </c>
      <c r="P916" s="4"/>
      <c r="R916" s="8" t="s">
        <v>5906</v>
      </c>
      <c r="U916" s="8" t="s">
        <v>5904</v>
      </c>
      <c r="W916" s="8" t="s">
        <v>5910</v>
      </c>
      <c r="X916" s="13">
        <v>6.1536999999999997</v>
      </c>
      <c r="Y916" s="13">
        <v>-0.9103</v>
      </c>
      <c r="Z916" s="14">
        <v>180</v>
      </c>
      <c r="AA916" s="133"/>
      <c r="AB916" s="133"/>
    </row>
    <row r="917" spans="1:28" s="8" customFormat="1" ht="21.75" customHeight="1" x14ac:dyDescent="0.2">
      <c r="A917" s="8" t="s">
        <v>5896</v>
      </c>
      <c r="B917" s="8" t="s">
        <v>5897</v>
      </c>
      <c r="C917" s="8" t="s">
        <v>5898</v>
      </c>
      <c r="D917" s="8" t="s">
        <v>5901</v>
      </c>
      <c r="E917" s="8" t="s">
        <v>5915</v>
      </c>
      <c r="F917" s="8" t="s">
        <v>212</v>
      </c>
      <c r="H917" s="3" t="s">
        <v>5917</v>
      </c>
      <c r="I917" s="8">
        <v>0.6</v>
      </c>
      <c r="J917" s="8" t="s">
        <v>5903</v>
      </c>
      <c r="K917" s="8" t="s">
        <v>4410</v>
      </c>
      <c r="L917" s="14">
        <v>1700</v>
      </c>
      <c r="M917" s="14" t="s">
        <v>5902</v>
      </c>
      <c r="N917" s="14"/>
      <c r="O917" s="110" t="s">
        <v>2648</v>
      </c>
      <c r="P917" s="4"/>
      <c r="Q917" s="8">
        <v>0.5</v>
      </c>
      <c r="R917" s="8" t="s">
        <v>5907</v>
      </c>
      <c r="U917" s="8" t="s">
        <v>5904</v>
      </c>
      <c r="W917" s="8" t="s">
        <v>5911</v>
      </c>
      <c r="X917" s="13">
        <v>6.1571999999999996</v>
      </c>
      <c r="Y917" s="13">
        <v>-0.90859999999999996</v>
      </c>
      <c r="Z917" s="14">
        <v>169</v>
      </c>
      <c r="AA917" s="8" t="s">
        <v>5912</v>
      </c>
      <c r="AB917" s="8" t="s">
        <v>5908</v>
      </c>
    </row>
    <row r="918" spans="1:28" ht="21.75" customHeight="1" x14ac:dyDescent="0.2">
      <c r="A918" s="7" t="s">
        <v>1128</v>
      </c>
      <c r="B918" s="7" t="s">
        <v>1129</v>
      </c>
      <c r="C918" s="7" t="s">
        <v>253</v>
      </c>
      <c r="D918" s="7" t="s">
        <v>1130</v>
      </c>
      <c r="E918" s="7" t="s">
        <v>398</v>
      </c>
      <c r="F918" s="7" t="s">
        <v>884</v>
      </c>
      <c r="G918" s="7" t="s">
        <v>1135</v>
      </c>
      <c r="H918" s="1" t="s">
        <v>1132</v>
      </c>
      <c r="I918" s="7">
        <v>0.92</v>
      </c>
      <c r="J918" s="7" t="s">
        <v>5766</v>
      </c>
      <c r="K918" s="7" t="s">
        <v>5783</v>
      </c>
      <c r="L918" s="6">
        <v>321</v>
      </c>
      <c r="R918" s="7" t="s">
        <v>1138</v>
      </c>
      <c r="W918" s="7" t="s">
        <v>1166</v>
      </c>
      <c r="X918" s="5">
        <v>40.863399999999999</v>
      </c>
      <c r="Y918" s="5">
        <v>-104.60550000000001</v>
      </c>
      <c r="Z918" s="6">
        <v>1649</v>
      </c>
      <c r="AA918" s="7" t="s">
        <v>1140</v>
      </c>
      <c r="AB918" s="7" t="s">
        <v>1144</v>
      </c>
    </row>
    <row r="919" spans="1:28" ht="21.75" customHeight="1" x14ac:dyDescent="0.2">
      <c r="A919" s="7" t="s">
        <v>1128</v>
      </c>
      <c r="B919" s="7" t="s">
        <v>1129</v>
      </c>
      <c r="C919" s="7" t="s">
        <v>253</v>
      </c>
      <c r="D919" s="7" t="s">
        <v>1131</v>
      </c>
      <c r="E919" s="7" t="s">
        <v>398</v>
      </c>
      <c r="F919" s="7" t="s">
        <v>884</v>
      </c>
      <c r="G919" s="7" t="s">
        <v>1135</v>
      </c>
      <c r="H919" s="1" t="s">
        <v>1132</v>
      </c>
      <c r="I919" s="7">
        <v>1.1000000000000001</v>
      </c>
      <c r="J919" s="7" t="s">
        <v>5766</v>
      </c>
      <c r="K919" s="7" t="s">
        <v>5783</v>
      </c>
      <c r="L919" s="6">
        <v>321</v>
      </c>
      <c r="R919" s="7" t="s">
        <v>1139</v>
      </c>
      <c r="W919" s="7" t="s">
        <v>1165</v>
      </c>
      <c r="X919" s="5">
        <v>40.875900000000001</v>
      </c>
      <c r="Y919" s="5">
        <v>-104.6206</v>
      </c>
      <c r="Z919" s="6">
        <v>1653</v>
      </c>
      <c r="AA919" s="7" t="s">
        <v>1141</v>
      </c>
      <c r="AB919" s="7" t="s">
        <v>1145</v>
      </c>
    </row>
    <row r="920" spans="1:28" ht="21.75" customHeight="1" x14ac:dyDescent="0.2">
      <c r="A920" s="7" t="s">
        <v>1128</v>
      </c>
      <c r="B920" s="7" t="s">
        <v>1129</v>
      </c>
      <c r="C920" s="7" t="s">
        <v>253</v>
      </c>
      <c r="D920" s="7" t="s">
        <v>1130</v>
      </c>
      <c r="E920" s="7" t="s">
        <v>280</v>
      </c>
      <c r="F920" s="7" t="s">
        <v>1134</v>
      </c>
      <c r="G920" s="7" t="s">
        <v>1136</v>
      </c>
      <c r="H920" s="1" t="s">
        <v>1133</v>
      </c>
      <c r="I920" s="7">
        <v>1.05</v>
      </c>
      <c r="J920" s="7" t="s">
        <v>5766</v>
      </c>
      <c r="K920" s="7" t="s">
        <v>5783</v>
      </c>
      <c r="L920" s="6">
        <v>321</v>
      </c>
      <c r="R920" s="7" t="s">
        <v>1138</v>
      </c>
      <c r="W920" s="7" t="s">
        <v>1166</v>
      </c>
      <c r="X920" s="5">
        <v>40.863399999999999</v>
      </c>
      <c r="Y920" s="5">
        <v>-104.60550000000001</v>
      </c>
      <c r="Z920" s="6">
        <v>1649</v>
      </c>
      <c r="AA920" s="7" t="s">
        <v>1142</v>
      </c>
      <c r="AB920" s="7" t="s">
        <v>1146</v>
      </c>
    </row>
    <row r="921" spans="1:28" ht="21.75" customHeight="1" x14ac:dyDescent="0.2">
      <c r="A921" s="7" t="s">
        <v>1128</v>
      </c>
      <c r="B921" s="7" t="s">
        <v>1129</v>
      </c>
      <c r="C921" s="7" t="s">
        <v>253</v>
      </c>
      <c r="D921" s="7" t="s">
        <v>1131</v>
      </c>
      <c r="E921" s="7" t="s">
        <v>280</v>
      </c>
      <c r="F921" s="7" t="s">
        <v>1134</v>
      </c>
      <c r="G921" s="7" t="s">
        <v>1136</v>
      </c>
      <c r="H921" s="1" t="s">
        <v>1133</v>
      </c>
      <c r="I921" s="7">
        <v>2.0499999999999998</v>
      </c>
      <c r="J921" s="7" t="s">
        <v>5766</v>
      </c>
      <c r="K921" s="7" t="s">
        <v>5783</v>
      </c>
      <c r="L921" s="6">
        <v>321</v>
      </c>
      <c r="R921" s="7" t="s">
        <v>1139</v>
      </c>
      <c r="W921" s="7" t="s">
        <v>1165</v>
      </c>
      <c r="X921" s="5">
        <v>40.875900000000001</v>
      </c>
      <c r="Y921" s="5">
        <v>-104.6206</v>
      </c>
      <c r="Z921" s="6">
        <v>1653</v>
      </c>
      <c r="AA921" s="7" t="s">
        <v>1148</v>
      </c>
      <c r="AB921" s="7" t="s">
        <v>1143</v>
      </c>
    </row>
    <row r="922" spans="1:28" ht="21.75" customHeight="1" x14ac:dyDescent="0.2">
      <c r="A922" s="7" t="s">
        <v>1128</v>
      </c>
      <c r="B922" s="7" t="s">
        <v>1129</v>
      </c>
      <c r="C922" s="7" t="s">
        <v>253</v>
      </c>
      <c r="D922" s="7" t="s">
        <v>1131</v>
      </c>
      <c r="E922" s="7" t="s">
        <v>263</v>
      </c>
      <c r="F922" s="7" t="s">
        <v>214</v>
      </c>
      <c r="G922" s="7" t="s">
        <v>1137</v>
      </c>
      <c r="H922" s="1" t="s">
        <v>534</v>
      </c>
      <c r="I922" s="7">
        <v>2.0299999999999998</v>
      </c>
      <c r="J922" s="7" t="s">
        <v>5766</v>
      </c>
      <c r="K922" s="7" t="s">
        <v>5783</v>
      </c>
      <c r="L922" s="6">
        <v>321</v>
      </c>
      <c r="R922" s="7" t="s">
        <v>1139</v>
      </c>
      <c r="W922" s="7" t="s">
        <v>1165</v>
      </c>
      <c r="X922" s="5">
        <v>40.875900000000001</v>
      </c>
      <c r="Y922" s="5">
        <v>-104.6206</v>
      </c>
      <c r="Z922" s="6">
        <v>1653</v>
      </c>
      <c r="AA922" s="7" t="s">
        <v>1147</v>
      </c>
    </row>
    <row r="923" spans="1:28" s="8" customFormat="1" ht="21.75" customHeight="1" x14ac:dyDescent="0.2">
      <c r="A923" s="8" t="s">
        <v>6886</v>
      </c>
      <c r="B923" s="8" t="s">
        <v>4440</v>
      </c>
      <c r="C923" s="8" t="s">
        <v>4416</v>
      </c>
      <c r="D923" s="8" t="s">
        <v>4448</v>
      </c>
      <c r="E923" s="8" t="s">
        <v>280</v>
      </c>
      <c r="F923" s="8" t="s">
        <v>4443</v>
      </c>
      <c r="H923" s="3" t="s">
        <v>4446</v>
      </c>
      <c r="I923" s="8">
        <v>2</v>
      </c>
      <c r="J923" s="8" t="s">
        <v>4328</v>
      </c>
      <c r="K923" s="8" t="s">
        <v>4410</v>
      </c>
      <c r="L923" s="14">
        <v>1210</v>
      </c>
      <c r="M923" s="14" t="s">
        <v>4442</v>
      </c>
      <c r="N923" s="14"/>
      <c r="O923" s="110" t="s">
        <v>4449</v>
      </c>
      <c r="P923" s="4"/>
      <c r="R923" s="8" t="s">
        <v>4441</v>
      </c>
      <c r="X923" s="13">
        <f>6+13/60</f>
        <v>6.2166666666666668</v>
      </c>
      <c r="Y923" s="13">
        <f>-(5+2/60)</f>
        <v>-5.0333333333333332</v>
      </c>
      <c r="Z923" s="14">
        <v>72</v>
      </c>
      <c r="AA923" s="132" t="s">
        <v>4450</v>
      </c>
      <c r="AB923" s="8" t="s">
        <v>4444</v>
      </c>
    </row>
    <row r="924" spans="1:28" s="8" customFormat="1" ht="21.75" customHeight="1" x14ac:dyDescent="0.2">
      <c r="A924" s="8" t="s">
        <v>6886</v>
      </c>
      <c r="B924" s="8" t="s">
        <v>4440</v>
      </c>
      <c r="C924" s="8" t="s">
        <v>4416</v>
      </c>
      <c r="D924" s="8" t="s">
        <v>4448</v>
      </c>
      <c r="E924" s="8" t="s">
        <v>398</v>
      </c>
      <c r="F924" s="8" t="s">
        <v>884</v>
      </c>
      <c r="H924" s="3" t="s">
        <v>4445</v>
      </c>
      <c r="I924" s="8">
        <v>1.7</v>
      </c>
      <c r="J924" s="8" t="s">
        <v>4328</v>
      </c>
      <c r="K924" s="8" t="s">
        <v>4410</v>
      </c>
      <c r="L924" s="14">
        <v>1210</v>
      </c>
      <c r="M924" s="14" t="s">
        <v>4442</v>
      </c>
      <c r="N924" s="14"/>
      <c r="O924" s="110" t="s">
        <v>4449</v>
      </c>
      <c r="P924" s="4"/>
      <c r="R924" s="8" t="s">
        <v>4441</v>
      </c>
      <c r="X924" s="13">
        <f>6+13/60</f>
        <v>6.2166666666666668</v>
      </c>
      <c r="Y924" s="13">
        <f>-(5+2/60)</f>
        <v>-5.0333333333333332</v>
      </c>
      <c r="Z924" s="14">
        <v>72</v>
      </c>
      <c r="AA924" s="133"/>
      <c r="AB924" s="8" t="s">
        <v>4447</v>
      </c>
    </row>
    <row r="925" spans="1:28" ht="21.75" customHeight="1" x14ac:dyDescent="0.2">
      <c r="A925" s="7" t="s">
        <v>4764</v>
      </c>
      <c r="B925" s="7" t="s">
        <v>4765</v>
      </c>
      <c r="C925" s="7" t="s">
        <v>4766</v>
      </c>
      <c r="D925" s="7" t="s">
        <v>4767</v>
      </c>
      <c r="E925" s="7" t="s">
        <v>280</v>
      </c>
      <c r="F925" s="7" t="s">
        <v>212</v>
      </c>
      <c r="G925" s="7" t="s">
        <v>4771</v>
      </c>
      <c r="H925" s="1" t="s">
        <v>4769</v>
      </c>
      <c r="I925" s="2">
        <f>(24.3-5)*0.3048</f>
        <v>5.8826400000000003</v>
      </c>
      <c r="J925" s="7" t="s">
        <v>4775</v>
      </c>
      <c r="K925" s="7" t="s">
        <v>4480</v>
      </c>
      <c r="O925" s="45" t="s">
        <v>4781</v>
      </c>
      <c r="Q925" s="2">
        <f>(24.3)*0.3048</f>
        <v>7.4066400000000003</v>
      </c>
      <c r="U925" s="7" t="s">
        <v>4779</v>
      </c>
      <c r="V925" s="18" t="s">
        <v>3907</v>
      </c>
      <c r="X925" s="5">
        <v>38.981900000000003</v>
      </c>
      <c r="Y925" s="5">
        <v>-121.22669999999999</v>
      </c>
      <c r="Z925" s="6">
        <v>474</v>
      </c>
      <c r="AA925" s="134" t="s">
        <v>4780</v>
      </c>
      <c r="AB925" s="134" t="s">
        <v>4784</v>
      </c>
    </row>
    <row r="926" spans="1:28" ht="21.75" customHeight="1" x14ac:dyDescent="0.2">
      <c r="A926" s="7" t="s">
        <v>4764</v>
      </c>
      <c r="B926" s="7" t="s">
        <v>4765</v>
      </c>
      <c r="C926" s="7" t="s">
        <v>4766</v>
      </c>
      <c r="D926" s="7" t="s">
        <v>4768</v>
      </c>
      <c r="E926" s="7" t="s">
        <v>280</v>
      </c>
      <c r="F926" s="7" t="s">
        <v>212</v>
      </c>
      <c r="G926" s="7" t="s">
        <v>4772</v>
      </c>
      <c r="H926" s="1" t="s">
        <v>4770</v>
      </c>
      <c r="I926" s="2">
        <f>(42.1-5)*0.3048</f>
        <v>11.30808</v>
      </c>
      <c r="J926" s="7" t="s">
        <v>4775</v>
      </c>
      <c r="K926" s="7" t="s">
        <v>4480</v>
      </c>
      <c r="O926" s="45" t="s">
        <v>4785</v>
      </c>
      <c r="Q926" s="2">
        <f>(42.1)*0.3048</f>
        <v>12.832080000000001</v>
      </c>
      <c r="U926" s="7" t="s">
        <v>4779</v>
      </c>
      <c r="V926" s="18" t="s">
        <v>3907</v>
      </c>
      <c r="X926" s="5">
        <v>38.9786</v>
      </c>
      <c r="Y926" s="5">
        <v>-121.2256</v>
      </c>
      <c r="Z926" s="6">
        <v>655</v>
      </c>
      <c r="AA926" s="136"/>
      <c r="AB926" s="136"/>
    </row>
    <row r="927" spans="1:28" ht="21.75" customHeight="1" x14ac:dyDescent="0.2">
      <c r="A927" s="7" t="s">
        <v>4764</v>
      </c>
      <c r="B927" s="7" t="s">
        <v>4765</v>
      </c>
      <c r="C927" s="7" t="s">
        <v>4766</v>
      </c>
      <c r="D927" s="7" t="s">
        <v>4776</v>
      </c>
      <c r="E927" s="7" t="s">
        <v>280</v>
      </c>
      <c r="F927" s="7" t="s">
        <v>212</v>
      </c>
      <c r="G927" s="7" t="s">
        <v>4774</v>
      </c>
      <c r="H927" s="1" t="s">
        <v>4773</v>
      </c>
      <c r="I927" s="2">
        <f>(71.9-5)*0.3048</f>
        <v>20.391120000000004</v>
      </c>
      <c r="J927" s="7" t="s">
        <v>4775</v>
      </c>
      <c r="K927" s="7" t="s">
        <v>4480</v>
      </c>
      <c r="O927" s="45" t="s">
        <v>4782</v>
      </c>
      <c r="Q927" s="2">
        <f>(71.9)*0.3048</f>
        <v>21.915120000000002</v>
      </c>
      <c r="U927" s="7" t="s">
        <v>4779</v>
      </c>
      <c r="V927" s="18" t="s">
        <v>3907</v>
      </c>
      <c r="X927" s="5">
        <v>38.982700000000001</v>
      </c>
      <c r="Y927" s="5">
        <v>-121.2244</v>
      </c>
      <c r="Z927" s="6">
        <v>585</v>
      </c>
      <c r="AA927" s="136"/>
      <c r="AB927" s="136"/>
    </row>
    <row r="928" spans="1:28" ht="21.75" customHeight="1" x14ac:dyDescent="0.2">
      <c r="A928" s="7" t="s">
        <v>4764</v>
      </c>
      <c r="B928" s="7" t="s">
        <v>4765</v>
      </c>
      <c r="C928" s="7" t="s">
        <v>4766</v>
      </c>
      <c r="D928" s="7" t="s">
        <v>4777</v>
      </c>
      <c r="E928" s="7" t="s">
        <v>280</v>
      </c>
      <c r="F928" s="7" t="s">
        <v>212</v>
      </c>
      <c r="G928" s="7" t="s">
        <v>4774</v>
      </c>
      <c r="H928" s="1" t="s">
        <v>4773</v>
      </c>
      <c r="I928" s="2">
        <f>(54-5)*0.3048</f>
        <v>14.9352</v>
      </c>
      <c r="J928" s="7" t="s">
        <v>4775</v>
      </c>
      <c r="K928" s="7" t="s">
        <v>4480</v>
      </c>
      <c r="O928" s="45" t="s">
        <v>4783</v>
      </c>
      <c r="Q928" s="2">
        <f>(54)*0.3048</f>
        <v>16.459199999999999</v>
      </c>
      <c r="U928" s="7" t="s">
        <v>4779</v>
      </c>
      <c r="V928" s="18" t="s">
        <v>3907</v>
      </c>
      <c r="X928" s="5">
        <v>38.982199999999999</v>
      </c>
      <c r="Y928" s="5">
        <v>-121.2259</v>
      </c>
      <c r="Z928" s="6">
        <v>474</v>
      </c>
      <c r="AA928" s="136"/>
      <c r="AB928" s="136"/>
    </row>
    <row r="929" spans="1:28" ht="21.75" customHeight="1" x14ac:dyDescent="0.2">
      <c r="A929" s="7" t="s">
        <v>4764</v>
      </c>
      <c r="B929" s="7" t="s">
        <v>4765</v>
      </c>
      <c r="C929" s="7" t="s">
        <v>4766</v>
      </c>
      <c r="D929" s="7" t="s">
        <v>4778</v>
      </c>
      <c r="E929" s="7" t="s">
        <v>280</v>
      </c>
      <c r="F929" s="7" t="s">
        <v>212</v>
      </c>
      <c r="G929" s="7" t="s">
        <v>4774</v>
      </c>
      <c r="H929" s="1" t="s">
        <v>4773</v>
      </c>
      <c r="I929" s="2">
        <f>(55.7-5)*0.3048</f>
        <v>15.453360000000002</v>
      </c>
      <c r="J929" s="7" t="s">
        <v>4796</v>
      </c>
      <c r="K929" s="7" t="s">
        <v>4480</v>
      </c>
      <c r="O929" s="45" t="s">
        <v>4786</v>
      </c>
      <c r="Q929" s="2">
        <f>(55.7)*0.3048</f>
        <v>16.977360000000001</v>
      </c>
      <c r="U929" s="7" t="s">
        <v>4779</v>
      </c>
      <c r="V929" s="18" t="s">
        <v>3907</v>
      </c>
      <c r="X929" s="5">
        <v>38.981699999999996</v>
      </c>
      <c r="Y929" s="5">
        <v>-121.2253</v>
      </c>
      <c r="Z929" s="6">
        <v>479</v>
      </c>
      <c r="AA929" s="135"/>
      <c r="AB929" s="135"/>
    </row>
    <row r="930" spans="1:28" s="8" customFormat="1" ht="21.75" customHeight="1" x14ac:dyDescent="0.2">
      <c r="A930" s="8" t="s">
        <v>6641</v>
      </c>
      <c r="B930" s="8" t="s">
        <v>6642</v>
      </c>
      <c r="C930" s="8" t="s">
        <v>4451</v>
      </c>
      <c r="E930" s="8" t="s">
        <v>398</v>
      </c>
      <c r="F930" s="8" t="s">
        <v>6647</v>
      </c>
      <c r="G930" s="8" t="s">
        <v>6645</v>
      </c>
      <c r="H930" s="3" t="s">
        <v>6644</v>
      </c>
      <c r="I930" s="4">
        <v>4.3</v>
      </c>
      <c r="J930" s="8" t="s">
        <v>4367</v>
      </c>
      <c r="K930" s="8" t="s">
        <v>4386</v>
      </c>
      <c r="L930" s="14"/>
      <c r="M930" s="14"/>
      <c r="N930" s="14"/>
      <c r="O930" s="110" t="s">
        <v>6643</v>
      </c>
      <c r="P930" s="4"/>
      <c r="Q930" s="4"/>
      <c r="R930" s="8" t="s">
        <v>6656</v>
      </c>
      <c r="V930" s="9"/>
      <c r="X930" s="13">
        <v>51.824300000000001</v>
      </c>
      <c r="Y930" s="13">
        <v>6.1277999999999997</v>
      </c>
      <c r="Z930" s="14">
        <v>14</v>
      </c>
      <c r="AA930" s="19" t="s">
        <v>6648</v>
      </c>
      <c r="AB930" s="8" t="s">
        <v>6646</v>
      </c>
    </row>
    <row r="931" spans="1:28" s="8" customFormat="1" ht="21.75" customHeight="1" x14ac:dyDescent="0.2">
      <c r="A931" s="8" t="s">
        <v>6641</v>
      </c>
      <c r="E931" s="8" t="s">
        <v>398</v>
      </c>
      <c r="F931" s="8" t="s">
        <v>6049</v>
      </c>
      <c r="H931" s="3" t="s">
        <v>6649</v>
      </c>
      <c r="I931" s="4">
        <v>1.1499999999999999</v>
      </c>
      <c r="J931" s="8" t="s">
        <v>4367</v>
      </c>
      <c r="K931" s="8" t="s">
        <v>4386</v>
      </c>
      <c r="L931" s="14"/>
      <c r="M931" s="14"/>
      <c r="N931" s="14"/>
      <c r="O931" s="110" t="s">
        <v>6643</v>
      </c>
      <c r="P931" s="4"/>
      <c r="Q931" s="4"/>
      <c r="R931" s="8" t="s">
        <v>6656</v>
      </c>
      <c r="V931" s="9"/>
      <c r="X931" s="13"/>
      <c r="Y931" s="13"/>
      <c r="Z931" s="14"/>
      <c r="AA931" s="8" t="s">
        <v>6650</v>
      </c>
    </row>
    <row r="932" spans="1:28" s="8" customFormat="1" ht="21.75" customHeight="1" x14ac:dyDescent="0.2">
      <c r="A932" s="8" t="s">
        <v>6641</v>
      </c>
      <c r="E932" s="8" t="s">
        <v>398</v>
      </c>
      <c r="F932" s="8" t="s">
        <v>6049</v>
      </c>
      <c r="G932" s="8" t="s">
        <v>6658</v>
      </c>
      <c r="H932" s="3" t="s">
        <v>6651</v>
      </c>
      <c r="I932" s="4">
        <v>0.8</v>
      </c>
      <c r="J932" s="8" t="s">
        <v>4367</v>
      </c>
      <c r="K932" s="8" t="s">
        <v>4386</v>
      </c>
      <c r="L932" s="14"/>
      <c r="M932" s="14"/>
      <c r="N932" s="14"/>
      <c r="O932" s="110" t="s">
        <v>6643</v>
      </c>
      <c r="P932" s="4"/>
      <c r="Q932" s="4"/>
      <c r="R932" s="8" t="s">
        <v>6662</v>
      </c>
      <c r="V932" s="9"/>
      <c r="X932" s="13"/>
      <c r="Y932" s="13"/>
      <c r="Z932" s="14"/>
      <c r="AA932" s="8" t="s">
        <v>6657</v>
      </c>
    </row>
    <row r="933" spans="1:28" s="8" customFormat="1" ht="21.75" customHeight="1" x14ac:dyDescent="0.2">
      <c r="A933" s="8" t="s">
        <v>6641</v>
      </c>
      <c r="E933" s="8" t="s">
        <v>398</v>
      </c>
      <c r="F933" s="8" t="s">
        <v>6049</v>
      </c>
      <c r="G933" s="8" t="s">
        <v>6660</v>
      </c>
      <c r="H933" s="3" t="s">
        <v>6659</v>
      </c>
      <c r="I933" s="4">
        <v>0.52</v>
      </c>
      <c r="J933" s="8" t="s">
        <v>4367</v>
      </c>
      <c r="K933" s="8" t="s">
        <v>4386</v>
      </c>
      <c r="L933" s="14"/>
      <c r="M933" s="14"/>
      <c r="N933" s="14"/>
      <c r="O933" s="110" t="s">
        <v>6643</v>
      </c>
      <c r="P933" s="4"/>
      <c r="Q933" s="4"/>
      <c r="R933" s="8" t="s">
        <v>6661</v>
      </c>
      <c r="V933" s="9"/>
      <c r="X933" s="13"/>
      <c r="Y933" s="13"/>
      <c r="Z933" s="14"/>
      <c r="AA933" s="8" t="s">
        <v>6655</v>
      </c>
    </row>
    <row r="934" spans="1:28" s="8" customFormat="1" ht="21.75" customHeight="1" x14ac:dyDescent="0.2">
      <c r="A934" s="8" t="s">
        <v>6641</v>
      </c>
      <c r="E934" s="8" t="s">
        <v>398</v>
      </c>
      <c r="F934" s="8" t="s">
        <v>6049</v>
      </c>
      <c r="G934" s="8" t="s">
        <v>6666</v>
      </c>
      <c r="H934" s="3" t="s">
        <v>6665</v>
      </c>
      <c r="I934" s="4">
        <v>0.9</v>
      </c>
      <c r="J934" s="8" t="s">
        <v>4367</v>
      </c>
      <c r="K934" s="8" t="s">
        <v>4386</v>
      </c>
      <c r="L934" s="14"/>
      <c r="M934" s="14"/>
      <c r="N934" s="14"/>
      <c r="O934" s="110" t="s">
        <v>6643</v>
      </c>
      <c r="P934" s="4"/>
      <c r="Q934" s="4"/>
      <c r="R934" s="8" t="s">
        <v>6663</v>
      </c>
      <c r="V934" s="9"/>
      <c r="X934" s="13"/>
      <c r="Y934" s="13"/>
      <c r="Z934" s="14"/>
      <c r="AA934" s="8" t="s">
        <v>6664</v>
      </c>
      <c r="AB934" s="8" t="s">
        <v>6668</v>
      </c>
    </row>
    <row r="935" spans="1:28" s="8" customFormat="1" ht="21.75" customHeight="1" x14ac:dyDescent="0.2">
      <c r="A935" s="8" t="s">
        <v>6641</v>
      </c>
      <c r="E935" s="8" t="s">
        <v>398</v>
      </c>
      <c r="F935" s="8" t="s">
        <v>6670</v>
      </c>
      <c r="G935" s="8" t="s">
        <v>6669</v>
      </c>
      <c r="H935" s="3" t="s">
        <v>6667</v>
      </c>
      <c r="I935" s="4">
        <v>1.7</v>
      </c>
      <c r="J935" s="8" t="s">
        <v>4367</v>
      </c>
      <c r="K935" s="8" t="s">
        <v>4386</v>
      </c>
      <c r="L935" s="14"/>
      <c r="M935" s="14"/>
      <c r="N935" s="14"/>
      <c r="O935" s="110" t="s">
        <v>6643</v>
      </c>
      <c r="P935" s="4"/>
      <c r="Q935" s="4"/>
      <c r="V935" s="9"/>
      <c r="X935" s="13"/>
      <c r="Y935" s="13"/>
      <c r="Z935" s="14"/>
      <c r="AA935" s="8" t="s">
        <v>6671</v>
      </c>
    </row>
    <row r="936" spans="1:28" s="8" customFormat="1" ht="21.75" customHeight="1" x14ac:dyDescent="0.2">
      <c r="A936" s="8" t="s">
        <v>6641</v>
      </c>
      <c r="E936" s="8" t="s">
        <v>398</v>
      </c>
      <c r="F936" s="8" t="s">
        <v>6670</v>
      </c>
      <c r="H936" s="3" t="s">
        <v>6652</v>
      </c>
      <c r="I936" s="4">
        <v>2</v>
      </c>
      <c r="J936" s="8" t="s">
        <v>4367</v>
      </c>
      <c r="K936" s="8" t="s">
        <v>4386</v>
      </c>
      <c r="L936" s="14"/>
      <c r="M936" s="14"/>
      <c r="N936" s="14"/>
      <c r="O936" s="110" t="s">
        <v>6643</v>
      </c>
      <c r="P936" s="4"/>
      <c r="Q936" s="4"/>
      <c r="R936" s="8" t="s">
        <v>6672</v>
      </c>
      <c r="V936" s="9"/>
      <c r="X936" s="13"/>
      <c r="Y936" s="13"/>
      <c r="Z936" s="14"/>
    </row>
    <row r="937" spans="1:28" s="8" customFormat="1" ht="21.75" customHeight="1" x14ac:dyDescent="0.2">
      <c r="A937" s="8" t="s">
        <v>6641</v>
      </c>
      <c r="B937" s="8" t="s">
        <v>6684</v>
      </c>
      <c r="E937" s="8" t="s">
        <v>398</v>
      </c>
      <c r="F937" s="8" t="s">
        <v>214</v>
      </c>
      <c r="H937" s="3" t="s">
        <v>6653</v>
      </c>
      <c r="I937" s="4">
        <v>1.5</v>
      </c>
      <c r="J937" s="8" t="s">
        <v>4367</v>
      </c>
      <c r="K937" s="8" t="s">
        <v>4386</v>
      </c>
      <c r="L937" s="14"/>
      <c r="M937" s="14"/>
      <c r="N937" s="14"/>
      <c r="O937" s="110" t="s">
        <v>6654</v>
      </c>
      <c r="P937" s="4"/>
      <c r="Q937" s="4"/>
      <c r="V937" s="9"/>
      <c r="X937" s="13"/>
      <c r="Y937" s="13"/>
      <c r="Z937" s="14"/>
      <c r="AA937" s="8" t="s">
        <v>6673</v>
      </c>
    </row>
    <row r="938" spans="1:28" s="8" customFormat="1" ht="21.75" customHeight="1" x14ac:dyDescent="0.2">
      <c r="A938" s="8" t="s">
        <v>6641</v>
      </c>
      <c r="B938" s="8" t="s">
        <v>6696</v>
      </c>
      <c r="E938" s="8" t="s">
        <v>398</v>
      </c>
      <c r="F938" s="8" t="s">
        <v>6049</v>
      </c>
      <c r="G938" s="8" t="s">
        <v>6675</v>
      </c>
      <c r="H938" s="3" t="s">
        <v>6674</v>
      </c>
      <c r="I938" s="4">
        <v>0.75</v>
      </c>
      <c r="J938" s="8" t="s">
        <v>4367</v>
      </c>
      <c r="K938" s="8" t="s">
        <v>4386</v>
      </c>
      <c r="L938" s="14"/>
      <c r="M938" s="14"/>
      <c r="N938" s="14"/>
      <c r="O938" s="110"/>
      <c r="P938" s="4"/>
      <c r="Q938" s="4"/>
      <c r="R938" s="8" t="s">
        <v>6697</v>
      </c>
      <c r="V938" s="9"/>
      <c r="X938" s="13">
        <v>44.934699999999999</v>
      </c>
      <c r="Y938" s="13">
        <v>13.847899999999999</v>
      </c>
      <c r="Z938" s="14">
        <v>69</v>
      </c>
      <c r="AA938" s="8" t="s">
        <v>6695</v>
      </c>
      <c r="AB938" s="8" t="s">
        <v>6698</v>
      </c>
    </row>
    <row r="939" spans="1:28" s="8" customFormat="1" ht="21.75" customHeight="1" x14ac:dyDescent="0.2">
      <c r="A939" s="8" t="s">
        <v>6641</v>
      </c>
      <c r="B939" s="8" t="s">
        <v>6680</v>
      </c>
      <c r="E939" s="8" t="s">
        <v>398</v>
      </c>
      <c r="F939" s="8" t="s">
        <v>6049</v>
      </c>
      <c r="G939" s="8" t="s">
        <v>6679</v>
      </c>
      <c r="H939" s="3" t="s">
        <v>6678</v>
      </c>
      <c r="I939" s="4">
        <v>2.4</v>
      </c>
      <c r="J939" s="8" t="s">
        <v>4367</v>
      </c>
      <c r="K939" s="8" t="s">
        <v>4386</v>
      </c>
      <c r="L939" s="14"/>
      <c r="M939" s="14"/>
      <c r="N939" s="14"/>
      <c r="O939" s="110"/>
      <c r="P939" s="4"/>
      <c r="Q939" s="4"/>
      <c r="R939" s="8" t="s">
        <v>6676</v>
      </c>
      <c r="V939" s="9"/>
      <c r="X939" s="13"/>
      <c r="Y939" s="13"/>
      <c r="Z939" s="14"/>
      <c r="AA939" s="8" t="s">
        <v>6677</v>
      </c>
    </row>
    <row r="940" spans="1:28" s="8" customFormat="1" ht="21.75" customHeight="1" x14ac:dyDescent="0.2">
      <c r="A940" s="8" t="s">
        <v>6641</v>
      </c>
      <c r="E940" s="8" t="s">
        <v>398</v>
      </c>
      <c r="F940" s="8" t="s">
        <v>6670</v>
      </c>
      <c r="G940" s="8" t="s">
        <v>6683</v>
      </c>
      <c r="H940" s="3" t="s">
        <v>6682</v>
      </c>
      <c r="I940" s="4">
        <v>1.25</v>
      </c>
      <c r="J940" s="8" t="s">
        <v>4367</v>
      </c>
      <c r="K940" s="8" t="s">
        <v>4386</v>
      </c>
      <c r="L940" s="14"/>
      <c r="M940" s="14"/>
      <c r="N940" s="14"/>
      <c r="O940" s="110"/>
      <c r="P940" s="4"/>
      <c r="Q940" s="4"/>
      <c r="V940" s="9"/>
      <c r="X940" s="13"/>
      <c r="Y940" s="13"/>
      <c r="Z940" s="14"/>
      <c r="AA940" s="8" t="s">
        <v>6681</v>
      </c>
    </row>
    <row r="941" spans="1:28" s="8" customFormat="1" ht="21.75" customHeight="1" x14ac:dyDescent="0.2">
      <c r="A941" s="8" t="s">
        <v>6641</v>
      </c>
      <c r="B941" s="8" t="s">
        <v>6684</v>
      </c>
      <c r="C941" s="8" t="s">
        <v>4160</v>
      </c>
      <c r="E941" s="8" t="s">
        <v>398</v>
      </c>
      <c r="F941" s="8" t="s">
        <v>6049</v>
      </c>
      <c r="H941" s="3" t="s">
        <v>6686</v>
      </c>
      <c r="I941" s="4">
        <v>1.1000000000000001</v>
      </c>
      <c r="J941" s="8" t="s">
        <v>4367</v>
      </c>
      <c r="K941" s="8" t="s">
        <v>4386</v>
      </c>
      <c r="L941" s="14"/>
      <c r="M941" s="14"/>
      <c r="N941" s="14"/>
      <c r="O941" s="110" t="s">
        <v>6687</v>
      </c>
      <c r="P941" s="4"/>
      <c r="Q941" s="4"/>
      <c r="V941" s="9"/>
      <c r="X941" s="13"/>
      <c r="Y941" s="13"/>
      <c r="Z941" s="14">
        <v>1850</v>
      </c>
      <c r="AA941" s="8" t="s">
        <v>6685</v>
      </c>
    </row>
    <row r="942" spans="1:28" s="8" customFormat="1" ht="21.75" customHeight="1" x14ac:dyDescent="0.2">
      <c r="A942" s="8" t="s">
        <v>6641</v>
      </c>
      <c r="B942" s="8" t="s">
        <v>6689</v>
      </c>
      <c r="C942" s="8" t="s">
        <v>4451</v>
      </c>
      <c r="E942" s="8" t="s">
        <v>6692</v>
      </c>
      <c r="F942" s="8" t="s">
        <v>6049</v>
      </c>
      <c r="G942" s="8" t="s">
        <v>6693</v>
      </c>
      <c r="H942" s="3" t="s">
        <v>6691</v>
      </c>
      <c r="I942" s="4">
        <v>1.3</v>
      </c>
      <c r="J942" s="8" t="s">
        <v>4367</v>
      </c>
      <c r="K942" s="8" t="s">
        <v>4386</v>
      </c>
      <c r="L942" s="14"/>
      <c r="M942" s="14"/>
      <c r="N942" s="14"/>
      <c r="O942" s="110" t="s">
        <v>6690</v>
      </c>
      <c r="P942" s="4"/>
      <c r="Q942" s="4"/>
      <c r="R942" s="8" t="s">
        <v>2538</v>
      </c>
      <c r="V942" s="9"/>
      <c r="X942" s="13">
        <v>50.013500000000001</v>
      </c>
      <c r="Y942" s="13">
        <v>8.2103000000000002</v>
      </c>
      <c r="Z942" s="14">
        <v>124</v>
      </c>
      <c r="AA942" s="8" t="s">
        <v>6688</v>
      </c>
      <c r="AB942" s="8" t="s">
        <v>6694</v>
      </c>
    </row>
    <row r="943" spans="1:28" s="8" customFormat="1" ht="21.75" customHeight="1" x14ac:dyDescent="0.2">
      <c r="A943" s="8" t="s">
        <v>6641</v>
      </c>
      <c r="E943" s="8" t="s">
        <v>398</v>
      </c>
      <c r="F943" s="8" t="s">
        <v>6049</v>
      </c>
      <c r="G943" s="8" t="s">
        <v>6701</v>
      </c>
      <c r="H943" s="3" t="s">
        <v>6700</v>
      </c>
      <c r="I943" s="4">
        <v>0.5</v>
      </c>
      <c r="J943" s="8" t="s">
        <v>4367</v>
      </c>
      <c r="K943" s="8" t="s">
        <v>4386</v>
      </c>
      <c r="L943" s="14"/>
      <c r="M943" s="14"/>
      <c r="N943" s="14"/>
      <c r="O943" s="110"/>
      <c r="P943" s="4"/>
      <c r="Q943" s="4"/>
      <c r="V943" s="9"/>
      <c r="X943" s="13"/>
      <c r="Y943" s="13"/>
      <c r="Z943" s="14"/>
      <c r="AA943" s="8" t="s">
        <v>6699</v>
      </c>
      <c r="AB943" s="8" t="s">
        <v>6702</v>
      </c>
    </row>
    <row r="944" spans="1:28" s="8" customFormat="1" ht="21.75" customHeight="1" x14ac:dyDescent="0.2">
      <c r="A944" s="8" t="s">
        <v>6641</v>
      </c>
      <c r="E944" s="8" t="s">
        <v>398</v>
      </c>
      <c r="F944" s="8" t="s">
        <v>6049</v>
      </c>
      <c r="G944" s="8" t="s">
        <v>6706</v>
      </c>
      <c r="H944" s="3" t="s">
        <v>6705</v>
      </c>
      <c r="I944" s="4">
        <v>0.21</v>
      </c>
      <c r="J944" s="8" t="s">
        <v>4367</v>
      </c>
      <c r="K944" s="8" t="s">
        <v>4386</v>
      </c>
      <c r="L944" s="14"/>
      <c r="M944" s="14"/>
      <c r="N944" s="14"/>
      <c r="O944" s="110"/>
      <c r="P944" s="4"/>
      <c r="Q944" s="4"/>
      <c r="R944" s="8" t="s">
        <v>6703</v>
      </c>
      <c r="V944" s="9"/>
      <c r="X944" s="13"/>
      <c r="Y944" s="13"/>
      <c r="Z944" s="14"/>
      <c r="AA944" s="8" t="s">
        <v>6704</v>
      </c>
      <c r="AB944" s="8" t="s">
        <v>6707</v>
      </c>
    </row>
    <row r="945" spans="1:28" s="8" customFormat="1" ht="21.75" customHeight="1" x14ac:dyDescent="0.2">
      <c r="A945" s="8" t="s">
        <v>6641</v>
      </c>
      <c r="C945" s="8" t="s">
        <v>6718</v>
      </c>
      <c r="E945" s="8" t="s">
        <v>398</v>
      </c>
      <c r="F945" s="8" t="s">
        <v>6712</v>
      </c>
      <c r="G945" s="8" t="s">
        <v>6710</v>
      </c>
      <c r="H945" s="3" t="s">
        <v>6709</v>
      </c>
      <c r="I945" s="4">
        <v>0.09</v>
      </c>
      <c r="J945" s="8" t="s">
        <v>4367</v>
      </c>
      <c r="K945" s="8" t="s">
        <v>4386</v>
      </c>
      <c r="L945" s="14"/>
      <c r="M945" s="14"/>
      <c r="N945" s="14"/>
      <c r="O945" s="110"/>
      <c r="P945" s="4"/>
      <c r="Q945" s="4"/>
      <c r="R945" s="8" t="s">
        <v>6264</v>
      </c>
      <c r="V945" s="9"/>
      <c r="X945" s="13"/>
      <c r="Y945" s="13"/>
      <c r="Z945" s="14"/>
      <c r="AA945" s="8" t="s">
        <v>6708</v>
      </c>
      <c r="AB945" s="8" t="s">
        <v>6711</v>
      </c>
    </row>
    <row r="946" spans="1:28" s="8" customFormat="1" ht="21.75" customHeight="1" x14ac:dyDescent="0.2">
      <c r="A946" s="8" t="s">
        <v>6641</v>
      </c>
      <c r="C946" s="8" t="s">
        <v>6717</v>
      </c>
      <c r="E946" s="8" t="s">
        <v>398</v>
      </c>
      <c r="F946" s="8" t="s">
        <v>214</v>
      </c>
      <c r="G946" s="8" t="s">
        <v>6716</v>
      </c>
      <c r="H946" s="3" t="s">
        <v>6715</v>
      </c>
      <c r="I946" s="4">
        <v>0.3</v>
      </c>
      <c r="J946" s="8" t="s">
        <v>4367</v>
      </c>
      <c r="K946" s="8" t="s">
        <v>4386</v>
      </c>
      <c r="L946" s="14"/>
      <c r="M946" s="14"/>
      <c r="N946" s="14"/>
      <c r="O946" s="110" t="s">
        <v>6714</v>
      </c>
      <c r="P946" s="4"/>
      <c r="Q946" s="4"/>
      <c r="V946" s="9"/>
      <c r="X946" s="13"/>
      <c r="Y946" s="13"/>
      <c r="Z946" s="14"/>
      <c r="AA946" s="8" t="s">
        <v>6713</v>
      </c>
    </row>
    <row r="947" spans="1:28" ht="21.75" customHeight="1" x14ac:dyDescent="0.2">
      <c r="A947" s="7" t="s">
        <v>6542</v>
      </c>
      <c r="B947" s="7" t="s">
        <v>6526</v>
      </c>
      <c r="C947" s="7" t="s">
        <v>143</v>
      </c>
      <c r="D947" s="7" t="s">
        <v>6523</v>
      </c>
      <c r="E947" s="7" t="s">
        <v>398</v>
      </c>
      <c r="F947" s="7" t="s">
        <v>6049</v>
      </c>
      <c r="G947" s="7" t="s">
        <v>6527</v>
      </c>
      <c r="H947" s="1" t="s">
        <v>6522</v>
      </c>
      <c r="I947" s="2">
        <v>4.08</v>
      </c>
      <c r="J947" s="7" t="s">
        <v>4367</v>
      </c>
      <c r="K947" s="7" t="s">
        <v>4410</v>
      </c>
      <c r="O947" s="45" t="s">
        <v>6541</v>
      </c>
      <c r="Q947" s="2"/>
      <c r="V947" s="18"/>
      <c r="X947" s="5">
        <v>46.644199999999998</v>
      </c>
      <c r="Y947" s="5">
        <v>14.2883</v>
      </c>
      <c r="Z947" s="6">
        <v>450</v>
      </c>
      <c r="AA947" s="134" t="s">
        <v>6534</v>
      </c>
      <c r="AB947" s="134" t="s">
        <v>6538</v>
      </c>
    </row>
    <row r="948" spans="1:28" ht="21.75" customHeight="1" x14ac:dyDescent="0.2">
      <c r="A948" s="7" t="s">
        <v>6542</v>
      </c>
      <c r="B948" s="7" t="s">
        <v>6526</v>
      </c>
      <c r="C948" s="7" t="s">
        <v>143</v>
      </c>
      <c r="D948" s="7" t="s">
        <v>6524</v>
      </c>
      <c r="E948" s="7" t="s">
        <v>398</v>
      </c>
      <c r="F948" s="7" t="s">
        <v>6049</v>
      </c>
      <c r="G948" s="7" t="s">
        <v>6527</v>
      </c>
      <c r="H948" s="1" t="s">
        <v>6522</v>
      </c>
      <c r="I948" s="2">
        <v>1.23</v>
      </c>
      <c r="J948" s="7" t="s">
        <v>4367</v>
      </c>
      <c r="K948" s="7" t="s">
        <v>4480</v>
      </c>
      <c r="O948" s="45" t="s">
        <v>6539</v>
      </c>
      <c r="Q948" s="2"/>
      <c r="V948" s="18"/>
      <c r="X948" s="5">
        <v>47.043799999999997</v>
      </c>
      <c r="Y948" s="5">
        <v>12.8348</v>
      </c>
      <c r="Z948" s="6">
        <v>1420</v>
      </c>
      <c r="AA948" s="136"/>
      <c r="AB948" s="136"/>
    </row>
    <row r="949" spans="1:28" ht="21.75" customHeight="1" x14ac:dyDescent="0.2">
      <c r="A949" s="7" t="s">
        <v>6542</v>
      </c>
      <c r="B949" s="7" t="s">
        <v>6526</v>
      </c>
      <c r="C949" s="7" t="s">
        <v>143</v>
      </c>
      <c r="D949" s="7" t="s">
        <v>6525</v>
      </c>
      <c r="E949" s="7" t="s">
        <v>398</v>
      </c>
      <c r="F949" s="7" t="s">
        <v>6049</v>
      </c>
      <c r="G949" s="7" t="s">
        <v>6527</v>
      </c>
      <c r="H949" s="1" t="s">
        <v>6522</v>
      </c>
      <c r="I949" s="2">
        <v>0.66</v>
      </c>
      <c r="J949" s="7" t="s">
        <v>4367</v>
      </c>
      <c r="K949" s="7" t="s">
        <v>4410</v>
      </c>
      <c r="O949" s="45" t="s">
        <v>6540</v>
      </c>
      <c r="Q949" s="2"/>
      <c r="V949" s="18"/>
      <c r="X949" s="5">
        <v>47.048299999999998</v>
      </c>
      <c r="Y949" s="5">
        <v>12.767799999999999</v>
      </c>
      <c r="Z949" s="6">
        <v>2070</v>
      </c>
      <c r="AA949" s="136"/>
      <c r="AB949" s="135"/>
    </row>
    <row r="950" spans="1:28" ht="21.75" customHeight="1" x14ac:dyDescent="0.2">
      <c r="A950" s="7" t="s">
        <v>6542</v>
      </c>
      <c r="B950" s="7" t="s">
        <v>6526</v>
      </c>
      <c r="C950" s="7" t="s">
        <v>143</v>
      </c>
      <c r="D950" s="7" t="s">
        <v>6528</v>
      </c>
      <c r="E950" s="7" t="s">
        <v>398</v>
      </c>
      <c r="F950" s="7" t="s">
        <v>62</v>
      </c>
      <c r="G950" s="7" t="s">
        <v>6531</v>
      </c>
      <c r="H950" s="1" t="s">
        <v>6532</v>
      </c>
      <c r="I950" s="2">
        <v>0.3</v>
      </c>
      <c r="J950" s="7" t="s">
        <v>4367</v>
      </c>
      <c r="K950" s="7" t="s">
        <v>4386</v>
      </c>
      <c r="O950" s="45" t="s">
        <v>6540</v>
      </c>
      <c r="Q950" s="2"/>
      <c r="V950" s="18"/>
      <c r="X950" s="5">
        <v>46.8932</v>
      </c>
      <c r="Y950" s="5">
        <v>12.857900000000001</v>
      </c>
      <c r="Z950" s="6">
        <v>1990</v>
      </c>
      <c r="AA950" s="136"/>
      <c r="AB950" s="60" t="s">
        <v>6536</v>
      </c>
    </row>
    <row r="951" spans="1:28" ht="21.75" customHeight="1" x14ac:dyDescent="0.2">
      <c r="A951" s="7" t="s">
        <v>6542</v>
      </c>
      <c r="B951" s="7" t="s">
        <v>6526</v>
      </c>
      <c r="C951" s="7" t="s">
        <v>143</v>
      </c>
      <c r="D951" s="7" t="s">
        <v>6530</v>
      </c>
      <c r="E951" s="7" t="s">
        <v>398</v>
      </c>
      <c r="F951" s="7" t="s">
        <v>6049</v>
      </c>
      <c r="G951" s="7" t="s">
        <v>6533</v>
      </c>
      <c r="H951" s="1" t="s">
        <v>6529</v>
      </c>
      <c r="I951" s="2">
        <v>0.55000000000000004</v>
      </c>
      <c r="J951" s="7" t="s">
        <v>4367</v>
      </c>
      <c r="K951" s="7" t="s">
        <v>6537</v>
      </c>
      <c r="O951" s="45" t="s">
        <v>6539</v>
      </c>
      <c r="Q951" s="2"/>
      <c r="V951" s="18"/>
      <c r="X951" s="5">
        <v>46.915799999999997</v>
      </c>
      <c r="Y951" s="5">
        <v>12.8871</v>
      </c>
      <c r="Z951" s="6">
        <v>1640</v>
      </c>
      <c r="AA951" s="135"/>
      <c r="AB951" s="60" t="s">
        <v>6535</v>
      </c>
    </row>
    <row r="952" spans="1:28" s="8" customFormat="1" ht="21.75" customHeight="1" x14ac:dyDescent="0.2">
      <c r="A952" s="8" t="s">
        <v>7012</v>
      </c>
      <c r="B952" s="8" t="s">
        <v>3000</v>
      </c>
      <c r="C952" s="8" t="s">
        <v>722</v>
      </c>
      <c r="D952" s="8" t="s">
        <v>3001</v>
      </c>
      <c r="E952" s="8" t="s">
        <v>33</v>
      </c>
      <c r="F952" s="8" t="s">
        <v>212</v>
      </c>
      <c r="G952" s="8" t="s">
        <v>84</v>
      </c>
      <c r="H952" s="3" t="s">
        <v>85</v>
      </c>
      <c r="I952" s="8">
        <v>0.6</v>
      </c>
      <c r="J952" s="8" t="s">
        <v>5784</v>
      </c>
      <c r="K952" s="8" t="s">
        <v>4410</v>
      </c>
      <c r="L952" s="14">
        <v>508</v>
      </c>
      <c r="M952" s="14"/>
      <c r="N952" s="14"/>
      <c r="O952" s="110"/>
      <c r="P952" s="4" t="s">
        <v>3008</v>
      </c>
      <c r="Q952" s="8">
        <v>0.8</v>
      </c>
      <c r="R952" s="8" t="s">
        <v>3009</v>
      </c>
      <c r="X952" s="13">
        <v>55.168100000000003</v>
      </c>
      <c r="Y952" s="13">
        <v>-114.2769</v>
      </c>
      <c r="Z952" s="14">
        <v>598</v>
      </c>
      <c r="AA952" s="8" t="s">
        <v>3017</v>
      </c>
      <c r="AB952" s="8" t="s">
        <v>3018</v>
      </c>
    </row>
    <row r="953" spans="1:28" s="8" customFormat="1" ht="21.75" customHeight="1" x14ac:dyDescent="0.2">
      <c r="A953" s="8" t="s">
        <v>7012</v>
      </c>
      <c r="B953" s="8" t="s">
        <v>3000</v>
      </c>
      <c r="C953" s="8" t="s">
        <v>722</v>
      </c>
      <c r="D953" s="8" t="s">
        <v>3002</v>
      </c>
      <c r="E953" s="8" t="s">
        <v>33</v>
      </c>
      <c r="F953" s="8" t="s">
        <v>212</v>
      </c>
      <c r="G953" s="8" t="s">
        <v>84</v>
      </c>
      <c r="H953" s="3" t="s">
        <v>85</v>
      </c>
      <c r="I953" s="8">
        <v>0.3</v>
      </c>
      <c r="J953" s="8" t="s">
        <v>5784</v>
      </c>
      <c r="K953" s="8" t="s">
        <v>4410</v>
      </c>
      <c r="L953" s="14">
        <v>508</v>
      </c>
      <c r="M953" s="14"/>
      <c r="N953" s="14"/>
      <c r="O953" s="110"/>
      <c r="P953" s="4" t="s">
        <v>3007</v>
      </c>
      <c r="Q953" s="8">
        <v>0.5</v>
      </c>
      <c r="R953" s="8" t="s">
        <v>3009</v>
      </c>
      <c r="X953" s="13">
        <v>55.164700000000003</v>
      </c>
      <c r="Y953" s="13">
        <v>-114.2816</v>
      </c>
      <c r="Z953" s="14">
        <v>597</v>
      </c>
      <c r="AA953" s="8" t="s">
        <v>3016</v>
      </c>
      <c r="AB953" s="8" t="s">
        <v>3019</v>
      </c>
    </row>
    <row r="954" spans="1:28" s="8" customFormat="1" ht="21.75" customHeight="1" x14ac:dyDescent="0.2">
      <c r="A954" s="8" t="s">
        <v>7012</v>
      </c>
      <c r="B954" s="8" t="s">
        <v>3000</v>
      </c>
      <c r="C954" s="8" t="s">
        <v>722</v>
      </c>
      <c r="D954" s="8" t="s">
        <v>3003</v>
      </c>
      <c r="E954" s="8" t="s">
        <v>33</v>
      </c>
      <c r="F954" s="8" t="s">
        <v>212</v>
      </c>
      <c r="G954" s="8" t="s">
        <v>84</v>
      </c>
      <c r="H954" s="3" t="s">
        <v>85</v>
      </c>
      <c r="I954" s="8">
        <v>0.2</v>
      </c>
      <c r="J954" s="8" t="s">
        <v>5784</v>
      </c>
      <c r="K954" s="8" t="s">
        <v>4410</v>
      </c>
      <c r="L954" s="14">
        <v>508</v>
      </c>
      <c r="M954" s="14"/>
      <c r="N954" s="14"/>
      <c r="O954" s="110"/>
      <c r="P954" s="4" t="s">
        <v>3006</v>
      </c>
      <c r="Q954" s="8">
        <v>0.22</v>
      </c>
      <c r="R954" s="8" t="s">
        <v>3009</v>
      </c>
      <c r="X954" s="13">
        <v>55.161999999999999</v>
      </c>
      <c r="Y954" s="13">
        <v>-114.285</v>
      </c>
      <c r="Z954" s="14">
        <v>596</v>
      </c>
      <c r="AA954" s="8" t="s">
        <v>3010</v>
      </c>
      <c r="AB954" s="8" t="s">
        <v>3020</v>
      </c>
    </row>
    <row r="955" spans="1:28" s="8" customFormat="1" ht="21.75" customHeight="1" x14ac:dyDescent="0.2">
      <c r="A955" s="8" t="s">
        <v>7012</v>
      </c>
      <c r="B955" s="8" t="s">
        <v>3000</v>
      </c>
      <c r="C955" s="8" t="s">
        <v>722</v>
      </c>
      <c r="D955" s="8" t="s">
        <v>3004</v>
      </c>
      <c r="E955" s="8" t="s">
        <v>33</v>
      </c>
      <c r="F955" s="8" t="s">
        <v>212</v>
      </c>
      <c r="G955" s="8" t="s">
        <v>84</v>
      </c>
      <c r="H955" s="3" t="s">
        <v>85</v>
      </c>
      <c r="I955" s="8">
        <v>0.3</v>
      </c>
      <c r="J955" s="8" t="s">
        <v>5784</v>
      </c>
      <c r="K955" s="8" t="s">
        <v>4410</v>
      </c>
      <c r="L955" s="14">
        <v>508</v>
      </c>
      <c r="M955" s="14"/>
      <c r="N955" s="14"/>
      <c r="O955" s="110"/>
      <c r="P955" s="4" t="s">
        <v>3005</v>
      </c>
      <c r="Q955" s="8">
        <v>0.14000000000000001</v>
      </c>
      <c r="R955" s="8" t="s">
        <v>3009</v>
      </c>
      <c r="X955" s="13">
        <v>55.178600000000003</v>
      </c>
      <c r="Y955" s="13">
        <v>-114.3365</v>
      </c>
      <c r="Z955" s="14">
        <v>617</v>
      </c>
      <c r="AA955" s="8" t="s">
        <v>3011</v>
      </c>
      <c r="AB955" s="8" t="s">
        <v>3021</v>
      </c>
    </row>
    <row r="956" spans="1:28" s="8" customFormat="1" ht="21.75" customHeight="1" x14ac:dyDescent="0.2">
      <c r="A956" s="8" t="s">
        <v>7012</v>
      </c>
      <c r="B956" s="8" t="s">
        <v>3000</v>
      </c>
      <c r="C956" s="8" t="s">
        <v>722</v>
      </c>
      <c r="D956" s="8" t="s">
        <v>3001</v>
      </c>
      <c r="E956" s="8" t="s">
        <v>736</v>
      </c>
      <c r="F956" s="8" t="s">
        <v>212</v>
      </c>
      <c r="G956" s="8" t="s">
        <v>7284</v>
      </c>
      <c r="H956" s="3" t="s">
        <v>83</v>
      </c>
      <c r="I956" s="8">
        <v>0.6</v>
      </c>
      <c r="J956" s="8" t="s">
        <v>5784</v>
      </c>
      <c r="K956" s="8" t="s">
        <v>4410</v>
      </c>
      <c r="L956" s="14">
        <v>508</v>
      </c>
      <c r="M956" s="14"/>
      <c r="N956" s="14"/>
      <c r="O956" s="110"/>
      <c r="P956" s="4" t="s">
        <v>3008</v>
      </c>
      <c r="Q956" s="8">
        <v>0.8</v>
      </c>
      <c r="R956" s="8" t="s">
        <v>3009</v>
      </c>
      <c r="X956" s="13">
        <v>55.168100000000003</v>
      </c>
      <c r="Y956" s="13">
        <v>-114.2769</v>
      </c>
      <c r="Z956" s="14">
        <v>598</v>
      </c>
      <c r="AA956" s="8" t="s">
        <v>3012</v>
      </c>
    </row>
    <row r="957" spans="1:28" s="8" customFormat="1" ht="21.75" customHeight="1" x14ac:dyDescent="0.2">
      <c r="A957" s="8" t="s">
        <v>7012</v>
      </c>
      <c r="B957" s="8" t="s">
        <v>3000</v>
      </c>
      <c r="C957" s="8" t="s">
        <v>722</v>
      </c>
      <c r="D957" s="8" t="s">
        <v>3002</v>
      </c>
      <c r="E957" s="8" t="s">
        <v>736</v>
      </c>
      <c r="F957" s="8" t="s">
        <v>212</v>
      </c>
      <c r="G957" s="8" t="s">
        <v>7284</v>
      </c>
      <c r="H957" s="3" t="s">
        <v>83</v>
      </c>
      <c r="I957" s="8">
        <v>0.4</v>
      </c>
      <c r="J957" s="8" t="s">
        <v>5784</v>
      </c>
      <c r="K957" s="8" t="s">
        <v>4410</v>
      </c>
      <c r="L957" s="14">
        <v>508</v>
      </c>
      <c r="M957" s="14"/>
      <c r="N957" s="14"/>
      <c r="O957" s="110"/>
      <c r="P957" s="4" t="s">
        <v>3007</v>
      </c>
      <c r="Q957" s="8">
        <v>0.5</v>
      </c>
      <c r="R957" s="8" t="s">
        <v>3009</v>
      </c>
      <c r="X957" s="13">
        <v>55.164700000000003</v>
      </c>
      <c r="Y957" s="13">
        <v>-114.2816</v>
      </c>
      <c r="Z957" s="14">
        <v>597</v>
      </c>
      <c r="AA957" s="8" t="s">
        <v>3013</v>
      </c>
    </row>
    <row r="958" spans="1:28" s="8" customFormat="1" ht="21.75" customHeight="1" x14ac:dyDescent="0.2">
      <c r="A958" s="8" t="s">
        <v>7012</v>
      </c>
      <c r="B958" s="8" t="s">
        <v>3000</v>
      </c>
      <c r="C958" s="8" t="s">
        <v>722</v>
      </c>
      <c r="D958" s="8" t="s">
        <v>3003</v>
      </c>
      <c r="E958" s="8" t="s">
        <v>736</v>
      </c>
      <c r="F958" s="8" t="s">
        <v>212</v>
      </c>
      <c r="G958" s="8" t="s">
        <v>7284</v>
      </c>
      <c r="H958" s="3" t="s">
        <v>83</v>
      </c>
      <c r="I958" s="8">
        <v>0.3</v>
      </c>
      <c r="J958" s="8" t="s">
        <v>5784</v>
      </c>
      <c r="K958" s="8" t="s">
        <v>4410</v>
      </c>
      <c r="L958" s="14">
        <v>508</v>
      </c>
      <c r="M958" s="14"/>
      <c r="N958" s="14"/>
      <c r="O958" s="110"/>
      <c r="P958" s="4" t="s">
        <v>3006</v>
      </c>
      <c r="Q958" s="8">
        <v>0.22</v>
      </c>
      <c r="R958" s="8" t="s">
        <v>3009</v>
      </c>
      <c r="X958" s="13">
        <v>55.161999999999999</v>
      </c>
      <c r="Y958" s="13">
        <v>-114.285</v>
      </c>
      <c r="Z958" s="14">
        <v>596</v>
      </c>
      <c r="AA958" s="8" t="s">
        <v>3014</v>
      </c>
    </row>
    <row r="959" spans="1:28" s="8" customFormat="1" ht="21.75" customHeight="1" x14ac:dyDescent="0.2">
      <c r="A959" s="8" t="s">
        <v>7012</v>
      </c>
      <c r="B959" s="8" t="s">
        <v>3000</v>
      </c>
      <c r="C959" s="8" t="s">
        <v>722</v>
      </c>
      <c r="D959" s="8" t="s">
        <v>3004</v>
      </c>
      <c r="E959" s="8" t="s">
        <v>736</v>
      </c>
      <c r="F959" s="8" t="s">
        <v>212</v>
      </c>
      <c r="G959" s="8" t="s">
        <v>7284</v>
      </c>
      <c r="H959" s="3" t="s">
        <v>83</v>
      </c>
      <c r="I959" s="8">
        <v>0.3</v>
      </c>
      <c r="J959" s="8" t="s">
        <v>5784</v>
      </c>
      <c r="K959" s="8" t="s">
        <v>4410</v>
      </c>
      <c r="L959" s="14">
        <v>508</v>
      </c>
      <c r="M959" s="14"/>
      <c r="N959" s="14"/>
      <c r="O959" s="110"/>
      <c r="P959" s="4" t="s">
        <v>3005</v>
      </c>
      <c r="Q959" s="8">
        <v>0.14000000000000001</v>
      </c>
      <c r="R959" s="8" t="s">
        <v>3009</v>
      </c>
      <c r="X959" s="13">
        <v>55.178600000000003</v>
      </c>
      <c r="Y959" s="13">
        <v>-114.3365</v>
      </c>
      <c r="Z959" s="14">
        <v>617</v>
      </c>
      <c r="AA959" s="8" t="s">
        <v>3015</v>
      </c>
    </row>
    <row r="960" spans="1:28" s="77" customFormat="1" ht="21.75" customHeight="1" x14ac:dyDescent="0.2">
      <c r="A960" s="77" t="s">
        <v>7934</v>
      </c>
      <c r="B960" s="77" t="s">
        <v>7935</v>
      </c>
      <c r="C960" s="77" t="s">
        <v>7786</v>
      </c>
      <c r="E960" s="77" t="s">
        <v>275</v>
      </c>
      <c r="F960" s="77" t="s">
        <v>884</v>
      </c>
      <c r="G960" s="77" t="s">
        <v>7810</v>
      </c>
      <c r="H960" s="78" t="s">
        <v>7936</v>
      </c>
      <c r="I960" s="77">
        <v>0.5</v>
      </c>
      <c r="J960" s="77" t="s">
        <v>4367</v>
      </c>
      <c r="K960" s="77" t="s">
        <v>4480</v>
      </c>
      <c r="L960" s="79">
        <v>160</v>
      </c>
      <c r="M960" s="79" t="s">
        <v>7939</v>
      </c>
      <c r="N960" s="79"/>
      <c r="O960" s="111"/>
      <c r="P960" s="80"/>
      <c r="R960" s="77" t="s">
        <v>7940</v>
      </c>
      <c r="W960" s="77" t="s">
        <v>7941</v>
      </c>
      <c r="X960" s="81">
        <f>46+24/60+20/3600</f>
        <v>46.405555555555551</v>
      </c>
      <c r="Y960" s="81">
        <f>-119-20/60</f>
        <v>-119.33333333333333</v>
      </c>
      <c r="Z960" s="79">
        <v>134</v>
      </c>
      <c r="AA960" s="140" t="s">
        <v>7942</v>
      </c>
    </row>
    <row r="961" spans="1:28" s="77" customFormat="1" ht="21.75" customHeight="1" x14ac:dyDescent="0.2">
      <c r="A961" s="77" t="s">
        <v>7934</v>
      </c>
      <c r="B961" s="77" t="s">
        <v>7935</v>
      </c>
      <c r="C961" s="77" t="s">
        <v>7786</v>
      </c>
      <c r="E961" s="77" t="s">
        <v>398</v>
      </c>
      <c r="F961" s="77" t="s">
        <v>62</v>
      </c>
      <c r="G961" s="77" t="s">
        <v>7938</v>
      </c>
      <c r="H961" s="78" t="s">
        <v>7937</v>
      </c>
      <c r="I961" s="77">
        <v>0.35</v>
      </c>
      <c r="J961" s="77" t="s">
        <v>4367</v>
      </c>
      <c r="K961" s="77" t="s">
        <v>4480</v>
      </c>
      <c r="L961" s="79">
        <v>160</v>
      </c>
      <c r="M961" s="79" t="s">
        <v>7939</v>
      </c>
      <c r="N961" s="79"/>
      <c r="O961" s="111"/>
      <c r="P961" s="80"/>
      <c r="R961" s="77" t="s">
        <v>7940</v>
      </c>
      <c r="W961" s="77" t="s">
        <v>7941</v>
      </c>
      <c r="X961" s="81">
        <f>46+24/60+20/3600</f>
        <v>46.405555555555551</v>
      </c>
      <c r="Y961" s="81">
        <f>-119-20/60</f>
        <v>-119.33333333333333</v>
      </c>
      <c r="Z961" s="79">
        <v>134</v>
      </c>
      <c r="AA961" s="142"/>
    </row>
    <row r="962" spans="1:28" s="82" customFormat="1" ht="21.75" customHeight="1" x14ac:dyDescent="0.2">
      <c r="A962" s="82" t="s">
        <v>7943</v>
      </c>
      <c r="B962" s="82" t="s">
        <v>7935</v>
      </c>
      <c r="C962" s="82" t="s">
        <v>7786</v>
      </c>
      <c r="E962" s="82" t="s">
        <v>263</v>
      </c>
      <c r="F962" s="82" t="s">
        <v>214</v>
      </c>
      <c r="G962" s="82" t="s">
        <v>7946</v>
      </c>
      <c r="H962" s="83" t="s">
        <v>7944</v>
      </c>
      <c r="I962" s="82">
        <v>2.15</v>
      </c>
      <c r="J962" s="82" t="s">
        <v>4433</v>
      </c>
      <c r="K962" s="82" t="s">
        <v>4410</v>
      </c>
      <c r="L962" s="85">
        <v>160</v>
      </c>
      <c r="M962" s="85" t="s">
        <v>7939</v>
      </c>
      <c r="N962" s="85"/>
      <c r="O962" s="116" t="s">
        <v>7774</v>
      </c>
      <c r="P962" s="84"/>
      <c r="R962" s="82" t="s">
        <v>1271</v>
      </c>
      <c r="X962" s="86">
        <v>46.583599999999997</v>
      </c>
      <c r="Y962" s="86">
        <v>-119.7329</v>
      </c>
      <c r="Z962" s="85">
        <v>245</v>
      </c>
      <c r="AA962" s="143" t="s">
        <v>7947</v>
      </c>
    </row>
    <row r="963" spans="1:28" s="82" customFormat="1" ht="21.75" customHeight="1" x14ac:dyDescent="0.2">
      <c r="A963" s="82" t="s">
        <v>7943</v>
      </c>
      <c r="B963" s="82" t="s">
        <v>7935</v>
      </c>
      <c r="C963" s="82" t="s">
        <v>7786</v>
      </c>
      <c r="E963" s="82" t="s">
        <v>33</v>
      </c>
      <c r="F963" s="82" t="s">
        <v>214</v>
      </c>
      <c r="G963" s="82" t="s">
        <v>7782</v>
      </c>
      <c r="H963" s="83" t="s">
        <v>7923</v>
      </c>
      <c r="I963" s="82">
        <v>2.15</v>
      </c>
      <c r="J963" s="82" t="s">
        <v>4433</v>
      </c>
      <c r="K963" s="82" t="s">
        <v>4410</v>
      </c>
      <c r="L963" s="85">
        <v>160</v>
      </c>
      <c r="M963" s="85" t="s">
        <v>7939</v>
      </c>
      <c r="N963" s="85"/>
      <c r="O963" s="116" t="s">
        <v>7945</v>
      </c>
      <c r="P963" s="84"/>
      <c r="R963" s="82" t="s">
        <v>1271</v>
      </c>
      <c r="X963" s="86">
        <v>46.583799999999997</v>
      </c>
      <c r="Y963" s="86">
        <v>-119.7342</v>
      </c>
      <c r="Z963" s="85">
        <v>243</v>
      </c>
      <c r="AA963" s="144"/>
    </row>
    <row r="964" spans="1:28" ht="21.75" customHeight="1" x14ac:dyDescent="0.2">
      <c r="A964" s="7" t="s">
        <v>3050</v>
      </c>
      <c r="B964" s="7" t="s">
        <v>3055</v>
      </c>
      <c r="C964" s="7" t="s">
        <v>46</v>
      </c>
      <c r="D964" s="7" t="s">
        <v>3056</v>
      </c>
      <c r="E964" s="7" t="s">
        <v>280</v>
      </c>
      <c r="F964" s="7" t="s">
        <v>212</v>
      </c>
      <c r="H964" s="1" t="s">
        <v>3053</v>
      </c>
      <c r="I964" s="7">
        <v>1.4</v>
      </c>
      <c r="J964" s="7" t="s">
        <v>4367</v>
      </c>
      <c r="K964" s="7" t="s">
        <v>4480</v>
      </c>
      <c r="L964" s="6">
        <v>37</v>
      </c>
      <c r="N964" s="6">
        <v>3639</v>
      </c>
      <c r="O964" s="45" t="s">
        <v>3054</v>
      </c>
      <c r="Q964" s="7">
        <v>1.3</v>
      </c>
      <c r="R964" s="7" t="s">
        <v>2538</v>
      </c>
      <c r="X964" s="5">
        <v>39.110500000000002</v>
      </c>
      <c r="Y964" s="5">
        <v>83.669700000000006</v>
      </c>
      <c r="Z964" s="6">
        <v>1083</v>
      </c>
      <c r="AA964" s="7" t="s">
        <v>3052</v>
      </c>
      <c r="AB964" s="7" t="s">
        <v>3051</v>
      </c>
    </row>
    <row r="965" spans="1:28" s="8" customFormat="1" ht="21.75" customHeight="1" x14ac:dyDescent="0.2">
      <c r="A965" s="8" t="s">
        <v>7354</v>
      </c>
      <c r="B965" s="8" t="s">
        <v>7362</v>
      </c>
      <c r="C965" s="8" t="s">
        <v>1742</v>
      </c>
      <c r="E965" s="8" t="s">
        <v>263</v>
      </c>
      <c r="F965" s="8" t="s">
        <v>212</v>
      </c>
      <c r="G965" s="8" t="s">
        <v>7359</v>
      </c>
      <c r="H965" s="3" t="s">
        <v>7351</v>
      </c>
      <c r="I965" s="8" t="s">
        <v>7353</v>
      </c>
      <c r="J965" s="8" t="s">
        <v>7356</v>
      </c>
      <c r="K965" s="8" t="s">
        <v>4410</v>
      </c>
      <c r="L965" s="14">
        <v>1800</v>
      </c>
      <c r="M965" s="14"/>
      <c r="N965" s="14"/>
      <c r="O965" s="110"/>
      <c r="P965" s="4"/>
      <c r="R965" s="8" t="s">
        <v>7355</v>
      </c>
      <c r="W965" s="8" t="s">
        <v>7363</v>
      </c>
      <c r="X965" s="13">
        <f>6/60</f>
        <v>0.1</v>
      </c>
      <c r="Y965" s="13">
        <f>34+34/60</f>
        <v>34.56666666666667</v>
      </c>
      <c r="Z965" s="14">
        <v>1330</v>
      </c>
      <c r="AA965" s="132" t="s">
        <v>7358</v>
      </c>
      <c r="AB965" s="132" t="s">
        <v>7360</v>
      </c>
    </row>
    <row r="966" spans="1:28" s="8" customFormat="1" ht="21.75" customHeight="1" x14ac:dyDescent="0.2">
      <c r="A966" s="8" t="s">
        <v>7354</v>
      </c>
      <c r="B966" s="8" t="s">
        <v>7362</v>
      </c>
      <c r="C966" s="8" t="s">
        <v>1742</v>
      </c>
      <c r="E966" s="8" t="s">
        <v>280</v>
      </c>
      <c r="F966" s="8" t="s">
        <v>1302</v>
      </c>
      <c r="G966" s="8" t="s">
        <v>7361</v>
      </c>
      <c r="H966" s="3" t="s">
        <v>7352</v>
      </c>
      <c r="I966" s="8" t="s">
        <v>7353</v>
      </c>
      <c r="J966" s="8" t="s">
        <v>7356</v>
      </c>
      <c r="K966" s="8" t="s">
        <v>4410</v>
      </c>
      <c r="L966" s="14">
        <v>1800</v>
      </c>
      <c r="M966" s="14"/>
      <c r="N966" s="14"/>
      <c r="O966" s="110"/>
      <c r="P966" s="4"/>
      <c r="R966" s="8" t="s">
        <v>7355</v>
      </c>
      <c r="W966" s="8" t="s">
        <v>7363</v>
      </c>
      <c r="X966" s="13">
        <f>6/60</f>
        <v>0.1</v>
      </c>
      <c r="Y966" s="13">
        <f>34+34/60</f>
        <v>34.56666666666667</v>
      </c>
      <c r="Z966" s="14">
        <v>1330</v>
      </c>
      <c r="AA966" s="137"/>
      <c r="AB966" s="137"/>
    </row>
    <row r="967" spans="1:28" s="8" customFormat="1" ht="21.75" customHeight="1" x14ac:dyDescent="0.2">
      <c r="A967" s="8" t="s">
        <v>7354</v>
      </c>
      <c r="B967" s="8" t="s">
        <v>7362</v>
      </c>
      <c r="C967" s="8" t="s">
        <v>1742</v>
      </c>
      <c r="E967" s="8" t="s">
        <v>275</v>
      </c>
      <c r="F967" s="8" t="s">
        <v>62</v>
      </c>
      <c r="G967" s="8" t="s">
        <v>949</v>
      </c>
      <c r="H967" s="3" t="s">
        <v>2815</v>
      </c>
      <c r="I967" s="8">
        <v>1.6</v>
      </c>
      <c r="J967" s="8" t="s">
        <v>7357</v>
      </c>
      <c r="K967" s="8" t="s">
        <v>4410</v>
      </c>
      <c r="L967" s="14">
        <v>1800</v>
      </c>
      <c r="M967" s="14"/>
      <c r="N967" s="14"/>
      <c r="O967" s="110"/>
      <c r="P967" s="4"/>
      <c r="R967" s="8" t="s">
        <v>7355</v>
      </c>
      <c r="W967" s="8" t="s">
        <v>7363</v>
      </c>
      <c r="X967" s="13">
        <f>6/60</f>
        <v>0.1</v>
      </c>
      <c r="Y967" s="13">
        <f>34+34/60</f>
        <v>34.56666666666667</v>
      </c>
      <c r="Z967" s="14">
        <v>1330</v>
      </c>
      <c r="AA967" s="133"/>
      <c r="AB967" s="133"/>
    </row>
    <row r="968" spans="1:28" ht="21.75" customHeight="1" x14ac:dyDescent="0.2">
      <c r="A968" s="7" t="s">
        <v>7278</v>
      </c>
      <c r="B968" s="7" t="s">
        <v>7279</v>
      </c>
      <c r="C968" s="7" t="s">
        <v>2710</v>
      </c>
      <c r="D968" s="7" t="s">
        <v>7280</v>
      </c>
      <c r="E968" s="7" t="s">
        <v>263</v>
      </c>
      <c r="F968" s="7" t="s">
        <v>212</v>
      </c>
      <c r="G968" s="7" t="s">
        <v>7286</v>
      </c>
      <c r="H968" s="1" t="s">
        <v>7285</v>
      </c>
      <c r="I968" s="7" t="s">
        <v>4652</v>
      </c>
      <c r="J968" s="7" t="s">
        <v>5786</v>
      </c>
      <c r="K968" s="7" t="s">
        <v>4410</v>
      </c>
      <c r="L968" s="6">
        <v>537</v>
      </c>
      <c r="M968" s="6" t="s">
        <v>5167</v>
      </c>
      <c r="N968" s="6">
        <v>1051</v>
      </c>
      <c r="O968" s="45" t="s">
        <v>7283</v>
      </c>
      <c r="R968" s="7" t="s">
        <v>7281</v>
      </c>
      <c r="V968" s="7" t="s">
        <v>7282</v>
      </c>
      <c r="X968" s="5">
        <v>41.218299999999999</v>
      </c>
      <c r="Y968" s="5">
        <v>0.91759999999999997</v>
      </c>
      <c r="Z968" s="6">
        <v>700</v>
      </c>
      <c r="AA968" s="7" t="s">
        <v>7287</v>
      </c>
      <c r="AB968" s="7" t="s">
        <v>7288</v>
      </c>
    </row>
    <row r="969" spans="1:28" s="8" customFormat="1" ht="21.75" customHeight="1" x14ac:dyDescent="0.2">
      <c r="A969" s="8" t="s">
        <v>1294</v>
      </c>
      <c r="B969" s="8" t="s">
        <v>2811</v>
      </c>
      <c r="C969" s="8" t="s">
        <v>5785</v>
      </c>
      <c r="E969" s="8" t="s">
        <v>263</v>
      </c>
      <c r="F969" s="8" t="s">
        <v>212</v>
      </c>
      <c r="G969" s="8" t="s">
        <v>421</v>
      </c>
      <c r="H969" s="3" t="s">
        <v>1295</v>
      </c>
      <c r="I969" s="8">
        <v>8</v>
      </c>
      <c r="J969" s="8" t="s">
        <v>4367</v>
      </c>
      <c r="K969" s="8" t="s">
        <v>4410</v>
      </c>
      <c r="L969" s="14">
        <v>530</v>
      </c>
      <c r="M969" s="14"/>
      <c r="N969" s="14"/>
      <c r="O969" s="110"/>
      <c r="P969" s="4"/>
      <c r="Q969" s="8">
        <v>8</v>
      </c>
      <c r="R969" s="8" t="s">
        <v>1296</v>
      </c>
      <c r="T969" s="9"/>
      <c r="X969" s="13">
        <f>-(29+52/60)</f>
        <v>-29.866666666666667</v>
      </c>
      <c r="Y969" s="13">
        <f>115+15/60</f>
        <v>115.25</v>
      </c>
      <c r="Z969" s="14">
        <v>83</v>
      </c>
      <c r="AA969" s="8" t="s">
        <v>1298</v>
      </c>
      <c r="AB969" s="8" t="s">
        <v>1297</v>
      </c>
    </row>
    <row r="970" spans="1:28" ht="21.75" customHeight="1" x14ac:dyDescent="0.2">
      <c r="A970" s="7" t="s">
        <v>4787</v>
      </c>
      <c r="B970" s="7" t="s">
        <v>4795</v>
      </c>
      <c r="C970" s="7" t="s">
        <v>1720</v>
      </c>
      <c r="D970" s="7" t="s">
        <v>4792</v>
      </c>
      <c r="E970" s="7" t="s">
        <v>280</v>
      </c>
      <c r="F970" s="7" t="s">
        <v>212</v>
      </c>
      <c r="G970" s="7" t="s">
        <v>4788</v>
      </c>
      <c r="H970" s="1" t="s">
        <v>4789</v>
      </c>
      <c r="I970" s="7">
        <v>3.5</v>
      </c>
      <c r="J970" s="7" t="s">
        <v>4746</v>
      </c>
      <c r="K970" s="7" t="s">
        <v>4480</v>
      </c>
      <c r="O970" s="45" t="s">
        <v>4793</v>
      </c>
      <c r="R970" s="7" t="s">
        <v>4791</v>
      </c>
      <c r="T970" s="2"/>
      <c r="X970" s="5">
        <v>42.534500000000001</v>
      </c>
      <c r="Y970" s="5">
        <v>-72.1922</v>
      </c>
      <c r="Z970" s="6">
        <v>342</v>
      </c>
      <c r="AA970" s="7" t="s">
        <v>4794</v>
      </c>
      <c r="AB970" s="7" t="s">
        <v>4790</v>
      </c>
    </row>
    <row r="971" spans="1:28" s="8" customFormat="1" ht="21.75" customHeight="1" x14ac:dyDescent="0.2">
      <c r="A971" s="8" t="s">
        <v>2713</v>
      </c>
      <c r="B971" s="8" t="s">
        <v>2714</v>
      </c>
      <c r="C971" s="8" t="s">
        <v>188</v>
      </c>
      <c r="D971" s="8" t="s">
        <v>2720</v>
      </c>
      <c r="E971" s="8" t="s">
        <v>280</v>
      </c>
      <c r="F971" s="8" t="s">
        <v>212</v>
      </c>
      <c r="G971" s="8" t="s">
        <v>2718</v>
      </c>
      <c r="H971" s="3" t="s">
        <v>2717</v>
      </c>
      <c r="I971" s="8">
        <v>10</v>
      </c>
      <c r="J971" s="8" t="s">
        <v>4433</v>
      </c>
      <c r="K971" s="8" t="s">
        <v>4410</v>
      </c>
      <c r="L971" s="14">
        <v>490</v>
      </c>
      <c r="M971" s="14" t="s">
        <v>2715</v>
      </c>
      <c r="N971" s="14">
        <v>1574</v>
      </c>
      <c r="O971" s="110" t="s">
        <v>2719</v>
      </c>
      <c r="P971" s="4"/>
      <c r="R971" s="8" t="s">
        <v>2716</v>
      </c>
      <c r="T971" s="9"/>
      <c r="W971" s="8" t="s">
        <v>94</v>
      </c>
      <c r="X971" s="13">
        <v>38.326500000000003</v>
      </c>
      <c r="Y971" s="13">
        <v>109.70910000000001</v>
      </c>
      <c r="Z971" s="14">
        <v>1102</v>
      </c>
      <c r="AA971" s="8" t="s">
        <v>2721</v>
      </c>
      <c r="AB971" s="8" t="s">
        <v>2712</v>
      </c>
    </row>
    <row r="972" spans="1:28" ht="21.75" customHeight="1" x14ac:dyDescent="0.2">
      <c r="A972" s="7" t="s">
        <v>5851</v>
      </c>
      <c r="B972" s="7" t="s">
        <v>5852</v>
      </c>
      <c r="C972" s="7" t="s">
        <v>861</v>
      </c>
      <c r="D972" s="7" t="s">
        <v>5853</v>
      </c>
      <c r="E972" s="7" t="s">
        <v>33</v>
      </c>
      <c r="F972" s="7" t="s">
        <v>212</v>
      </c>
      <c r="G972" s="7" t="s">
        <v>5855</v>
      </c>
      <c r="H972" s="1" t="s">
        <v>5854</v>
      </c>
      <c r="I972" s="7">
        <v>1.83</v>
      </c>
      <c r="J972" s="7" t="s">
        <v>5856</v>
      </c>
      <c r="K972" s="7" t="s">
        <v>4480</v>
      </c>
      <c r="O972" s="45" t="s">
        <v>5857</v>
      </c>
      <c r="T972" s="18"/>
      <c r="U972" s="7" t="s">
        <v>878</v>
      </c>
      <c r="X972" s="5">
        <v>36.554699999999997</v>
      </c>
      <c r="Y972" s="5">
        <v>-118.7483</v>
      </c>
      <c r="Z972" s="6">
        <v>2045</v>
      </c>
      <c r="AA972" s="44" t="s">
        <v>5858</v>
      </c>
    </row>
    <row r="973" spans="1:28" s="8" customFormat="1" ht="21.75" customHeight="1" x14ac:dyDescent="0.2">
      <c r="A973" s="8" t="s">
        <v>6354</v>
      </c>
      <c r="B973" s="8" t="s">
        <v>6355</v>
      </c>
      <c r="C973" s="8" t="s">
        <v>1720</v>
      </c>
      <c r="D973" s="8" t="s">
        <v>6364</v>
      </c>
      <c r="E973" s="8" t="s">
        <v>398</v>
      </c>
      <c r="F973" s="8" t="s">
        <v>6358</v>
      </c>
      <c r="G973" s="8" t="s">
        <v>6357</v>
      </c>
      <c r="H973" s="3" t="s">
        <v>6356</v>
      </c>
      <c r="I973" s="8" t="s">
        <v>6361</v>
      </c>
      <c r="J973" s="8" t="s">
        <v>4367</v>
      </c>
      <c r="K973" s="8" t="s">
        <v>4480</v>
      </c>
      <c r="L973" s="14"/>
      <c r="M973" s="14"/>
      <c r="N973" s="14"/>
      <c r="O973" s="110" t="s">
        <v>6360</v>
      </c>
      <c r="P973" s="4"/>
      <c r="R973" s="8" t="s">
        <v>6366</v>
      </c>
      <c r="T973" s="9"/>
      <c r="X973" s="13">
        <v>52.137099999999997</v>
      </c>
      <c r="Y973" s="13">
        <v>-0.127</v>
      </c>
      <c r="Z973" s="14">
        <v>90</v>
      </c>
      <c r="AA973" s="132" t="s">
        <v>6365</v>
      </c>
      <c r="AB973" s="132" t="s">
        <v>6367</v>
      </c>
    </row>
    <row r="974" spans="1:28" s="8" customFormat="1" ht="21.75" customHeight="1" x14ac:dyDescent="0.2">
      <c r="A974" s="8" t="s">
        <v>6354</v>
      </c>
      <c r="B974" s="8" t="s">
        <v>6355</v>
      </c>
      <c r="C974" s="8" t="s">
        <v>1720</v>
      </c>
      <c r="D974" s="8" t="s">
        <v>6363</v>
      </c>
      <c r="E974" s="8" t="s">
        <v>398</v>
      </c>
      <c r="F974" s="8" t="s">
        <v>6358</v>
      </c>
      <c r="G974" s="8" t="s">
        <v>6357</v>
      </c>
      <c r="H974" s="3" t="s">
        <v>6356</v>
      </c>
      <c r="I974" s="8" t="s">
        <v>6362</v>
      </c>
      <c r="J974" s="8" t="s">
        <v>4367</v>
      </c>
      <c r="K974" s="8" t="s">
        <v>4480</v>
      </c>
      <c r="L974" s="14"/>
      <c r="M974" s="14"/>
      <c r="N974" s="14"/>
      <c r="O974" s="110" t="s">
        <v>6359</v>
      </c>
      <c r="P974" s="4"/>
      <c r="R974" s="8" t="s">
        <v>6366</v>
      </c>
      <c r="T974" s="9"/>
      <c r="X974" s="13">
        <v>52.135899999999999</v>
      </c>
      <c r="Y974" s="13">
        <v>-0.1326</v>
      </c>
      <c r="Z974" s="14">
        <v>71</v>
      </c>
      <c r="AA974" s="133"/>
      <c r="AB974" s="133"/>
    </row>
    <row r="975" spans="1:28" ht="21.75" customHeight="1" x14ac:dyDescent="0.2">
      <c r="A975" s="7" t="s">
        <v>3964</v>
      </c>
      <c r="B975" s="7" t="s">
        <v>3965</v>
      </c>
      <c r="C975" s="7" t="s">
        <v>3967</v>
      </c>
      <c r="D975" s="7" t="s">
        <v>3966</v>
      </c>
      <c r="E975" s="7" t="s">
        <v>398</v>
      </c>
      <c r="F975" s="7" t="s">
        <v>3978</v>
      </c>
      <c r="G975" s="7" t="s">
        <v>3977</v>
      </c>
      <c r="H975" s="1" t="s">
        <v>3976</v>
      </c>
      <c r="I975" s="7">
        <v>0.4</v>
      </c>
      <c r="J975" s="7" t="s">
        <v>5786</v>
      </c>
      <c r="K975" s="7" t="s">
        <v>4480</v>
      </c>
      <c r="L975" s="6">
        <v>310</v>
      </c>
      <c r="M975" s="6" t="s">
        <v>3972</v>
      </c>
      <c r="P975" s="2" t="s">
        <v>3975</v>
      </c>
      <c r="Q975" s="7">
        <v>0.4</v>
      </c>
      <c r="R975" s="7" t="s">
        <v>3971</v>
      </c>
      <c r="T975" s="18"/>
      <c r="X975" s="5">
        <f>39+7/60+13.5/3600</f>
        <v>39.120416666666664</v>
      </c>
      <c r="Y975" s="5">
        <f>-(116+48/60+38.6/3600)</f>
        <v>-116.81072222222222</v>
      </c>
      <c r="Z975" s="6">
        <v>2368</v>
      </c>
      <c r="AA975" s="134" t="s">
        <v>3980</v>
      </c>
      <c r="AB975" s="139" t="s">
        <v>3979</v>
      </c>
    </row>
    <row r="976" spans="1:28" ht="21.75" customHeight="1" x14ac:dyDescent="0.2">
      <c r="A976" s="7" t="s">
        <v>3964</v>
      </c>
      <c r="B976" s="7" t="s">
        <v>3965</v>
      </c>
      <c r="C976" s="7" t="s">
        <v>3967</v>
      </c>
      <c r="D976" s="7" t="s">
        <v>3968</v>
      </c>
      <c r="E976" s="7" t="s">
        <v>398</v>
      </c>
      <c r="F976" s="7" t="s">
        <v>3978</v>
      </c>
      <c r="G976" s="7" t="s">
        <v>3977</v>
      </c>
      <c r="H976" s="1" t="s">
        <v>3976</v>
      </c>
      <c r="I976" s="7">
        <v>0.6</v>
      </c>
      <c r="J976" s="7" t="s">
        <v>5786</v>
      </c>
      <c r="K976" s="7" t="s">
        <v>4480</v>
      </c>
      <c r="L976" s="6">
        <v>310</v>
      </c>
      <c r="M976" s="6" t="s">
        <v>3972</v>
      </c>
      <c r="P976" s="2" t="s">
        <v>3974</v>
      </c>
      <c r="Q976" s="7">
        <v>0.6</v>
      </c>
      <c r="R976" s="7" t="s">
        <v>3970</v>
      </c>
      <c r="T976" s="18"/>
      <c r="X976" s="5">
        <f>39+27/60+57.6/3600</f>
        <v>39.466000000000001</v>
      </c>
      <c r="Y976" s="5">
        <f>-(117+2/60+0.4/3600)</f>
        <v>-117.03344444444444</v>
      </c>
      <c r="Z976" s="6">
        <v>2325</v>
      </c>
      <c r="AA976" s="136"/>
      <c r="AB976" s="139"/>
    </row>
    <row r="977" spans="1:28" ht="21.75" customHeight="1" x14ac:dyDescent="0.2">
      <c r="A977" s="7" t="s">
        <v>3964</v>
      </c>
      <c r="B977" s="7" t="s">
        <v>3965</v>
      </c>
      <c r="C977" s="7" t="s">
        <v>3967</v>
      </c>
      <c r="D977" s="7" t="s">
        <v>3969</v>
      </c>
      <c r="E977" s="7" t="s">
        <v>398</v>
      </c>
      <c r="F977" s="7" t="s">
        <v>3978</v>
      </c>
      <c r="G977" s="7" t="s">
        <v>3977</v>
      </c>
      <c r="H977" s="1" t="s">
        <v>3976</v>
      </c>
      <c r="I977" s="7">
        <v>0.8</v>
      </c>
      <c r="J977" s="7" t="s">
        <v>5786</v>
      </c>
      <c r="K977" s="7" t="s">
        <v>4480</v>
      </c>
      <c r="L977" s="6">
        <v>310</v>
      </c>
      <c r="M977" s="6" t="s">
        <v>3972</v>
      </c>
      <c r="P977" s="2" t="s">
        <v>3973</v>
      </c>
      <c r="Q977" s="7">
        <v>1.4</v>
      </c>
      <c r="R977" s="7" t="s">
        <v>3970</v>
      </c>
      <c r="T977" s="18"/>
      <c r="X977" s="5">
        <f>39+30/60+35.4/3600</f>
        <v>39.509833333333333</v>
      </c>
      <c r="Y977" s="5">
        <f>-(117+1/60+5.9/3600)</f>
        <v>-117.01830555555556</v>
      </c>
      <c r="Z977" s="6">
        <v>2174</v>
      </c>
      <c r="AA977" s="135"/>
      <c r="AB977" s="139"/>
    </row>
    <row r="978" spans="1:28" s="8" customFormat="1" ht="21.75" customHeight="1" x14ac:dyDescent="0.2">
      <c r="A978" s="8" t="s">
        <v>6800</v>
      </c>
      <c r="B978" s="8" t="s">
        <v>6801</v>
      </c>
      <c r="C978" s="8" t="s">
        <v>143</v>
      </c>
      <c r="D978" s="8" t="s">
        <v>6804</v>
      </c>
      <c r="E978" s="8" t="s">
        <v>33</v>
      </c>
      <c r="F978" s="8" t="s">
        <v>1302</v>
      </c>
      <c r="G978" s="8" t="s">
        <v>6803</v>
      </c>
      <c r="H978" s="3" t="s">
        <v>6802</v>
      </c>
      <c r="I978" s="8">
        <v>0.35</v>
      </c>
      <c r="J978" s="8" t="s">
        <v>4367</v>
      </c>
      <c r="K978" s="8" t="s">
        <v>4480</v>
      </c>
      <c r="L978" s="14"/>
      <c r="M978" s="14"/>
      <c r="N978" s="14"/>
      <c r="O978" s="110" t="s">
        <v>6806</v>
      </c>
      <c r="P978" s="4"/>
      <c r="R978" s="8" t="s">
        <v>6809</v>
      </c>
      <c r="T978" s="9"/>
      <c r="U978" s="8" t="s">
        <v>6805</v>
      </c>
      <c r="V978" s="8">
        <v>0</v>
      </c>
      <c r="X978" s="13">
        <v>43.508099999999999</v>
      </c>
      <c r="Y978" s="13">
        <v>-79.929900000000004</v>
      </c>
      <c r="Z978" s="14">
        <v>306</v>
      </c>
      <c r="AA978" s="19" t="s">
        <v>6808</v>
      </c>
      <c r="AB978" s="8" t="s">
        <v>6807</v>
      </c>
    </row>
    <row r="979" spans="1:28" ht="21.75" customHeight="1" x14ac:dyDescent="0.2">
      <c r="A979" s="7" t="s">
        <v>4797</v>
      </c>
      <c r="B979" s="7" t="s">
        <v>4799</v>
      </c>
      <c r="C979" s="7" t="s">
        <v>94</v>
      </c>
      <c r="D979" s="7" t="s">
        <v>4800</v>
      </c>
      <c r="E979" s="7" t="s">
        <v>33</v>
      </c>
      <c r="F979" s="7" t="s">
        <v>212</v>
      </c>
      <c r="G979" s="7" t="s">
        <v>1291</v>
      </c>
      <c r="H979" s="1" t="s">
        <v>862</v>
      </c>
      <c r="I979" s="7">
        <v>1.51</v>
      </c>
      <c r="J979" s="7" t="s">
        <v>4367</v>
      </c>
      <c r="K979" s="7" t="s">
        <v>4480</v>
      </c>
      <c r="O979" s="45" t="s">
        <v>2459</v>
      </c>
      <c r="R979" s="7" t="s">
        <v>4802</v>
      </c>
      <c r="T979" s="18"/>
      <c r="U979" s="7" t="s">
        <v>4801</v>
      </c>
      <c r="W979" s="7" t="s">
        <v>94</v>
      </c>
      <c r="X979" s="5">
        <v>49.292099999999998</v>
      </c>
      <c r="Y979" s="5">
        <v>16.747199999999999</v>
      </c>
      <c r="Z979" s="6">
        <v>454</v>
      </c>
      <c r="AA979" s="73"/>
      <c r="AB979" s="7" t="s">
        <v>4798</v>
      </c>
    </row>
    <row r="980" spans="1:28" s="8" customFormat="1" ht="21.75" customHeight="1" x14ac:dyDescent="0.2">
      <c r="A980" s="8" t="s">
        <v>2766</v>
      </c>
      <c r="B980" s="8" t="s">
        <v>2767</v>
      </c>
      <c r="C980" s="8" t="s">
        <v>143</v>
      </c>
      <c r="D980" s="8" t="s">
        <v>2769</v>
      </c>
      <c r="E980" s="8" t="s">
        <v>33</v>
      </c>
      <c r="F980" s="8" t="s">
        <v>212</v>
      </c>
      <c r="G980" s="8" t="s">
        <v>919</v>
      </c>
      <c r="H980" s="3" t="s">
        <v>920</v>
      </c>
      <c r="I980" s="8">
        <v>1.33</v>
      </c>
      <c r="J980" s="8" t="s">
        <v>4404</v>
      </c>
      <c r="K980" s="8" t="s">
        <v>4480</v>
      </c>
      <c r="L980" s="14"/>
      <c r="M980" s="14"/>
      <c r="N980" s="14"/>
      <c r="O980" s="110"/>
      <c r="P980" s="4"/>
      <c r="Q980" s="8">
        <v>1.5</v>
      </c>
      <c r="R980" s="8" t="s">
        <v>1271</v>
      </c>
      <c r="T980" s="9"/>
      <c r="W980" s="8" t="s">
        <v>94</v>
      </c>
      <c r="X980" s="13">
        <v>44.472200000000001</v>
      </c>
      <c r="Y980" s="13">
        <v>-80.361099999999993</v>
      </c>
      <c r="Z980" s="14">
        <v>496</v>
      </c>
      <c r="AA980" s="8" t="s">
        <v>2791</v>
      </c>
      <c r="AB980" s="8" t="s">
        <v>2792</v>
      </c>
    </row>
    <row r="981" spans="1:28" s="8" customFormat="1" ht="21.75" customHeight="1" x14ac:dyDescent="0.2">
      <c r="A981" s="8" t="s">
        <v>2766</v>
      </c>
      <c r="B981" s="8" t="s">
        <v>2767</v>
      </c>
      <c r="C981" s="8" t="s">
        <v>143</v>
      </c>
      <c r="D981" s="8" t="s">
        <v>2771</v>
      </c>
      <c r="E981" s="8" t="s">
        <v>33</v>
      </c>
      <c r="F981" s="8" t="s">
        <v>212</v>
      </c>
      <c r="G981" s="8" t="s">
        <v>919</v>
      </c>
      <c r="H981" s="3" t="s">
        <v>920</v>
      </c>
      <c r="I981" s="8">
        <v>1.19</v>
      </c>
      <c r="J981" s="8" t="s">
        <v>4404</v>
      </c>
      <c r="K981" s="8" t="s">
        <v>4480</v>
      </c>
      <c r="L981" s="14"/>
      <c r="M981" s="14"/>
      <c r="N981" s="14"/>
      <c r="O981" s="110"/>
      <c r="P981" s="4"/>
      <c r="Q981" s="8">
        <v>1.5</v>
      </c>
      <c r="R981" s="8" t="s">
        <v>1271</v>
      </c>
      <c r="T981" s="9"/>
      <c r="W981" s="8" t="s">
        <v>94</v>
      </c>
      <c r="X981" s="13">
        <v>44.470700000000001</v>
      </c>
      <c r="Y981" s="13">
        <v>-80.361900000000006</v>
      </c>
      <c r="Z981" s="14">
        <v>496</v>
      </c>
      <c r="AB981" s="8" t="s">
        <v>2797</v>
      </c>
    </row>
    <row r="982" spans="1:28" s="8" customFormat="1" ht="21.75" customHeight="1" x14ac:dyDescent="0.2">
      <c r="A982" s="8" t="s">
        <v>2766</v>
      </c>
      <c r="B982" s="8" t="s">
        <v>2767</v>
      </c>
      <c r="C982" s="8" t="s">
        <v>143</v>
      </c>
      <c r="D982" s="8" t="s">
        <v>2770</v>
      </c>
      <c r="E982" s="8" t="s">
        <v>33</v>
      </c>
      <c r="F982" s="8" t="s">
        <v>212</v>
      </c>
      <c r="G982" s="8" t="s">
        <v>919</v>
      </c>
      <c r="H982" s="3" t="s">
        <v>920</v>
      </c>
      <c r="I982" s="8">
        <v>1.97</v>
      </c>
      <c r="J982" s="8" t="s">
        <v>4404</v>
      </c>
      <c r="K982" s="8" t="s">
        <v>4480</v>
      </c>
      <c r="L982" s="14"/>
      <c r="M982" s="14"/>
      <c r="N982" s="14"/>
      <c r="O982" s="110"/>
      <c r="P982" s="4"/>
      <c r="R982" s="8" t="s">
        <v>2539</v>
      </c>
      <c r="T982" s="9"/>
      <c r="W982" s="8" t="s">
        <v>94</v>
      </c>
      <c r="X982" s="13">
        <v>44.150500000000001</v>
      </c>
      <c r="Y982" s="13">
        <v>-79.887699999999995</v>
      </c>
      <c r="Z982" s="14">
        <v>218</v>
      </c>
      <c r="AA982" s="8" t="s">
        <v>2790</v>
      </c>
      <c r="AB982" s="8" t="s">
        <v>2793</v>
      </c>
    </row>
    <row r="983" spans="1:28" s="8" customFormat="1" ht="21.75" customHeight="1" x14ac:dyDescent="0.2">
      <c r="A983" s="8" t="s">
        <v>2766</v>
      </c>
      <c r="B983" s="8" t="s">
        <v>2767</v>
      </c>
      <c r="C983" s="8" t="s">
        <v>143</v>
      </c>
      <c r="D983" s="8" t="s">
        <v>2772</v>
      </c>
      <c r="E983" s="8" t="s">
        <v>33</v>
      </c>
      <c r="F983" s="8" t="s">
        <v>212</v>
      </c>
      <c r="G983" s="8" t="s">
        <v>919</v>
      </c>
      <c r="H983" s="3" t="s">
        <v>920</v>
      </c>
      <c r="I983" s="8">
        <v>1.64</v>
      </c>
      <c r="J983" s="8" t="s">
        <v>4404</v>
      </c>
      <c r="K983" s="8" t="s">
        <v>4480</v>
      </c>
      <c r="L983" s="14"/>
      <c r="M983" s="14"/>
      <c r="N983" s="14"/>
      <c r="O983" s="110"/>
      <c r="P983" s="4"/>
      <c r="R983" s="8" t="s">
        <v>2539</v>
      </c>
      <c r="T983" s="9"/>
      <c r="W983" s="8" t="s">
        <v>94</v>
      </c>
      <c r="X983" s="13">
        <v>44.151000000000003</v>
      </c>
      <c r="Y983" s="13">
        <v>-79.886899999999997</v>
      </c>
      <c r="Z983" s="14">
        <v>218</v>
      </c>
      <c r="AB983" s="8" t="s">
        <v>2793</v>
      </c>
    </row>
    <row r="984" spans="1:28" s="8" customFormat="1" ht="21.75" customHeight="1" x14ac:dyDescent="0.2">
      <c r="A984" s="8" t="s">
        <v>2766</v>
      </c>
      <c r="B984" s="8" t="s">
        <v>2767</v>
      </c>
      <c r="C984" s="8" t="s">
        <v>143</v>
      </c>
      <c r="D984" s="8" t="s">
        <v>2773</v>
      </c>
      <c r="E984" s="8" t="s">
        <v>33</v>
      </c>
      <c r="F984" s="8" t="s">
        <v>212</v>
      </c>
      <c r="G984" s="8" t="s">
        <v>919</v>
      </c>
      <c r="H984" s="3" t="s">
        <v>920</v>
      </c>
      <c r="I984" s="8">
        <v>1.51</v>
      </c>
      <c r="J984" s="8" t="s">
        <v>4404</v>
      </c>
      <c r="K984" s="8" t="s">
        <v>4480</v>
      </c>
      <c r="L984" s="14"/>
      <c r="M984" s="14"/>
      <c r="N984" s="14"/>
      <c r="O984" s="110"/>
      <c r="P984" s="4"/>
      <c r="R984" s="8" t="s">
        <v>2787</v>
      </c>
      <c r="T984" s="9"/>
      <c r="W984" s="8" t="s">
        <v>94</v>
      </c>
      <c r="X984" s="13">
        <v>44.5017</v>
      </c>
      <c r="Y984" s="13">
        <v>-79.858900000000006</v>
      </c>
      <c r="Z984" s="14">
        <v>227</v>
      </c>
      <c r="AB984" s="8" t="s">
        <v>2794</v>
      </c>
    </row>
    <row r="985" spans="1:28" s="8" customFormat="1" ht="21.75" customHeight="1" x14ac:dyDescent="0.2">
      <c r="A985" s="8" t="s">
        <v>2766</v>
      </c>
      <c r="B985" s="8" t="s">
        <v>2767</v>
      </c>
      <c r="C985" s="8" t="s">
        <v>143</v>
      </c>
      <c r="D985" s="8" t="s">
        <v>2774</v>
      </c>
      <c r="E985" s="8" t="s">
        <v>33</v>
      </c>
      <c r="F985" s="8" t="s">
        <v>212</v>
      </c>
      <c r="G985" s="8" t="s">
        <v>919</v>
      </c>
      <c r="H985" s="3" t="s">
        <v>920</v>
      </c>
      <c r="I985" s="8">
        <v>1.79</v>
      </c>
      <c r="J985" s="8" t="s">
        <v>4404</v>
      </c>
      <c r="K985" s="8" t="s">
        <v>4480</v>
      </c>
      <c r="L985" s="14"/>
      <c r="M985" s="14"/>
      <c r="N985" s="14"/>
      <c r="O985" s="110"/>
      <c r="P985" s="4"/>
      <c r="R985" s="8" t="s">
        <v>2787</v>
      </c>
      <c r="T985" s="9"/>
      <c r="W985" s="8" t="s">
        <v>94</v>
      </c>
      <c r="X985" s="13">
        <v>44.499000000000002</v>
      </c>
      <c r="Y985" s="13">
        <v>-79.858500000000006</v>
      </c>
      <c r="Z985" s="14">
        <v>227</v>
      </c>
      <c r="AB985" s="8" t="s">
        <v>2794</v>
      </c>
    </row>
    <row r="986" spans="1:28" s="8" customFormat="1" ht="21.75" customHeight="1" x14ac:dyDescent="0.2">
      <c r="A986" s="8" t="s">
        <v>2766</v>
      </c>
      <c r="B986" s="8" t="s">
        <v>2767</v>
      </c>
      <c r="C986" s="8" t="s">
        <v>143</v>
      </c>
      <c r="D986" s="8" t="s">
        <v>2775</v>
      </c>
      <c r="E986" s="8" t="s">
        <v>33</v>
      </c>
      <c r="F986" s="8" t="s">
        <v>212</v>
      </c>
      <c r="G986" s="8" t="s">
        <v>919</v>
      </c>
      <c r="H986" s="3" t="s">
        <v>920</v>
      </c>
      <c r="I986" s="8">
        <v>1.84</v>
      </c>
      <c r="J986" s="8" t="s">
        <v>4404</v>
      </c>
      <c r="K986" s="8" t="s">
        <v>4480</v>
      </c>
      <c r="L986" s="14"/>
      <c r="M986" s="14"/>
      <c r="N986" s="14"/>
      <c r="O986" s="110"/>
      <c r="P986" s="4"/>
      <c r="R986" s="8" t="s">
        <v>2538</v>
      </c>
      <c r="T986" s="9"/>
      <c r="W986" s="8" t="s">
        <v>94</v>
      </c>
      <c r="X986" s="13">
        <v>44.253</v>
      </c>
      <c r="Y986" s="13">
        <v>-80.066299999999998</v>
      </c>
      <c r="Z986" s="14">
        <v>283</v>
      </c>
      <c r="AB986" s="8" t="s">
        <v>2795</v>
      </c>
    </row>
    <row r="987" spans="1:28" s="8" customFormat="1" ht="21.75" customHeight="1" x14ac:dyDescent="0.2">
      <c r="A987" s="8" t="s">
        <v>2766</v>
      </c>
      <c r="B987" s="8" t="s">
        <v>2767</v>
      </c>
      <c r="C987" s="8" t="s">
        <v>143</v>
      </c>
      <c r="D987" s="8" t="s">
        <v>2776</v>
      </c>
      <c r="E987" s="8" t="s">
        <v>33</v>
      </c>
      <c r="F987" s="8" t="s">
        <v>212</v>
      </c>
      <c r="G987" s="8" t="s">
        <v>919</v>
      </c>
      <c r="H987" s="3" t="s">
        <v>920</v>
      </c>
      <c r="I987" s="8">
        <v>1.43</v>
      </c>
      <c r="J987" s="8" t="s">
        <v>4404</v>
      </c>
      <c r="K987" s="8" t="s">
        <v>4480</v>
      </c>
      <c r="L987" s="14"/>
      <c r="M987" s="14"/>
      <c r="N987" s="14"/>
      <c r="O987" s="110"/>
      <c r="P987" s="4"/>
      <c r="R987" s="8" t="s">
        <v>2538</v>
      </c>
      <c r="T987" s="9"/>
      <c r="W987" s="8" t="s">
        <v>94</v>
      </c>
      <c r="X987" s="13">
        <v>44.254399999999997</v>
      </c>
      <c r="Y987" s="13">
        <v>-80.060299999999998</v>
      </c>
      <c r="Z987" s="14">
        <v>283</v>
      </c>
      <c r="AB987" s="8" t="s">
        <v>2795</v>
      </c>
    </row>
    <row r="988" spans="1:28" s="8" customFormat="1" ht="21.75" customHeight="1" x14ac:dyDescent="0.2">
      <c r="A988" s="8" t="s">
        <v>2766</v>
      </c>
      <c r="B988" s="8" t="s">
        <v>2767</v>
      </c>
      <c r="C988" s="8" t="s">
        <v>143</v>
      </c>
      <c r="D988" s="8" t="s">
        <v>2777</v>
      </c>
      <c r="E988" s="8" t="s">
        <v>33</v>
      </c>
      <c r="F988" s="8" t="s">
        <v>212</v>
      </c>
      <c r="G988" s="8" t="s">
        <v>919</v>
      </c>
      <c r="H988" s="3" t="s">
        <v>920</v>
      </c>
      <c r="I988" s="8">
        <v>1.4</v>
      </c>
      <c r="J988" s="8" t="s">
        <v>4404</v>
      </c>
      <c r="K988" s="8" t="s">
        <v>4480</v>
      </c>
      <c r="L988" s="14"/>
      <c r="M988" s="14"/>
      <c r="N988" s="14"/>
      <c r="O988" s="110"/>
      <c r="P988" s="4"/>
      <c r="R988" s="8" t="s">
        <v>2538</v>
      </c>
      <c r="T988" s="9"/>
      <c r="W988" s="8" t="s">
        <v>94</v>
      </c>
      <c r="X988" s="13">
        <v>44.076700000000002</v>
      </c>
      <c r="Y988" s="13">
        <v>-78.503100000000003</v>
      </c>
      <c r="Z988" s="14">
        <v>268</v>
      </c>
      <c r="AB988" s="8" t="s">
        <v>2796</v>
      </c>
    </row>
    <row r="989" spans="1:28" s="8" customFormat="1" ht="21.75" customHeight="1" x14ac:dyDescent="0.2">
      <c r="A989" s="8" t="s">
        <v>2766</v>
      </c>
      <c r="B989" s="8" t="s">
        <v>2767</v>
      </c>
      <c r="C989" s="8" t="s">
        <v>143</v>
      </c>
      <c r="D989" s="8" t="s">
        <v>2778</v>
      </c>
      <c r="E989" s="8" t="s">
        <v>33</v>
      </c>
      <c r="F989" s="8" t="s">
        <v>212</v>
      </c>
      <c r="G989" s="8" t="s">
        <v>919</v>
      </c>
      <c r="H989" s="3" t="s">
        <v>920</v>
      </c>
      <c r="I989" s="8">
        <v>1.6</v>
      </c>
      <c r="J989" s="8" t="s">
        <v>4404</v>
      </c>
      <c r="K989" s="8" t="s">
        <v>4480</v>
      </c>
      <c r="L989" s="14"/>
      <c r="M989" s="14"/>
      <c r="N989" s="14"/>
      <c r="O989" s="110"/>
      <c r="P989" s="4"/>
      <c r="R989" s="8" t="s">
        <v>2538</v>
      </c>
      <c r="T989" s="9"/>
      <c r="W989" s="8" t="s">
        <v>94</v>
      </c>
      <c r="X989" s="13">
        <v>44.076700000000002</v>
      </c>
      <c r="Y989" s="13">
        <v>-78.503100000000003</v>
      </c>
      <c r="Z989" s="14">
        <v>268</v>
      </c>
      <c r="AB989" s="8" t="s">
        <v>2796</v>
      </c>
    </row>
    <row r="990" spans="1:28" s="8" customFormat="1" ht="21.75" customHeight="1" x14ac:dyDescent="0.2">
      <c r="A990" s="8" t="s">
        <v>2766</v>
      </c>
      <c r="B990" s="8" t="s">
        <v>2767</v>
      </c>
      <c r="C990" s="8" t="s">
        <v>143</v>
      </c>
      <c r="D990" s="8" t="s">
        <v>2779</v>
      </c>
      <c r="E990" s="8" t="s">
        <v>33</v>
      </c>
      <c r="F990" s="8" t="s">
        <v>212</v>
      </c>
      <c r="G990" s="8" t="s">
        <v>919</v>
      </c>
      <c r="H990" s="3" t="s">
        <v>920</v>
      </c>
      <c r="I990" s="8">
        <v>1.31</v>
      </c>
      <c r="J990" s="8" t="s">
        <v>4404</v>
      </c>
      <c r="K990" s="8" t="s">
        <v>4480</v>
      </c>
      <c r="L990" s="14"/>
      <c r="M990" s="14"/>
      <c r="N990" s="14"/>
      <c r="O990" s="110"/>
      <c r="P990" s="4"/>
      <c r="R990" s="8" t="s">
        <v>2788</v>
      </c>
      <c r="T990" s="9"/>
      <c r="W990" s="8" t="s">
        <v>94</v>
      </c>
      <c r="X990" s="13">
        <v>42.921799999999998</v>
      </c>
      <c r="Y990" s="13">
        <v>-80.319000000000003</v>
      </c>
      <c r="Z990" s="14">
        <v>232</v>
      </c>
      <c r="AB990" s="8" t="s">
        <v>2798</v>
      </c>
    </row>
    <row r="991" spans="1:28" s="8" customFormat="1" ht="21.75" customHeight="1" x14ac:dyDescent="0.2">
      <c r="A991" s="8" t="s">
        <v>2766</v>
      </c>
      <c r="B991" s="8" t="s">
        <v>2767</v>
      </c>
      <c r="C991" s="8" t="s">
        <v>143</v>
      </c>
      <c r="D991" s="8" t="s">
        <v>2780</v>
      </c>
      <c r="E991" s="8" t="s">
        <v>33</v>
      </c>
      <c r="F991" s="8" t="s">
        <v>212</v>
      </c>
      <c r="G991" s="8" t="s">
        <v>919</v>
      </c>
      <c r="H991" s="3" t="s">
        <v>920</v>
      </c>
      <c r="I991" s="8">
        <v>1.51</v>
      </c>
      <c r="J991" s="8" t="s">
        <v>4404</v>
      </c>
      <c r="K991" s="8" t="s">
        <v>4480</v>
      </c>
      <c r="L991" s="14"/>
      <c r="M991" s="14"/>
      <c r="N991" s="14"/>
      <c r="O991" s="110"/>
      <c r="P991" s="4"/>
      <c r="R991" s="8" t="s">
        <v>2788</v>
      </c>
      <c r="T991" s="9"/>
      <c r="W991" s="8" t="s">
        <v>94</v>
      </c>
      <c r="X991" s="13">
        <v>42.921399999999998</v>
      </c>
      <c r="Y991" s="13">
        <v>-80.316999999999993</v>
      </c>
      <c r="Z991" s="14">
        <v>232</v>
      </c>
      <c r="AB991" s="8" t="s">
        <v>2798</v>
      </c>
    </row>
    <row r="992" spans="1:28" s="8" customFormat="1" ht="21.75" customHeight="1" x14ac:dyDescent="0.2">
      <c r="A992" s="8" t="s">
        <v>2766</v>
      </c>
      <c r="B992" s="8" t="s">
        <v>2767</v>
      </c>
      <c r="C992" s="8" t="s">
        <v>143</v>
      </c>
      <c r="D992" s="8" t="s">
        <v>2781</v>
      </c>
      <c r="E992" s="8" t="s">
        <v>33</v>
      </c>
      <c r="F992" s="8" t="s">
        <v>212</v>
      </c>
      <c r="G992" s="8" t="s">
        <v>919</v>
      </c>
      <c r="H992" s="3" t="s">
        <v>920</v>
      </c>
      <c r="I992" s="8">
        <v>1.1200000000000001</v>
      </c>
      <c r="J992" s="8" t="s">
        <v>4404</v>
      </c>
      <c r="K992" s="8" t="s">
        <v>4480</v>
      </c>
      <c r="L992" s="14"/>
      <c r="M992" s="14"/>
      <c r="N992" s="14"/>
      <c r="O992" s="110"/>
      <c r="P992" s="4"/>
      <c r="R992" s="8" t="s">
        <v>2538</v>
      </c>
      <c r="T992" s="9"/>
      <c r="W992" s="8" t="s">
        <v>94</v>
      </c>
      <c r="X992" s="13">
        <v>44.1432</v>
      </c>
      <c r="Y992" s="13">
        <v>-79.337100000000007</v>
      </c>
      <c r="Z992" s="14">
        <v>237</v>
      </c>
      <c r="AB992" s="8" t="s">
        <v>2799</v>
      </c>
    </row>
    <row r="993" spans="1:28" s="8" customFormat="1" ht="21.75" customHeight="1" x14ac:dyDescent="0.2">
      <c r="A993" s="8" t="s">
        <v>2766</v>
      </c>
      <c r="B993" s="8" t="s">
        <v>2767</v>
      </c>
      <c r="C993" s="8" t="s">
        <v>143</v>
      </c>
      <c r="D993" s="8" t="s">
        <v>2782</v>
      </c>
      <c r="E993" s="8" t="s">
        <v>33</v>
      </c>
      <c r="F993" s="8" t="s">
        <v>212</v>
      </c>
      <c r="G993" s="8" t="s">
        <v>919</v>
      </c>
      <c r="H993" s="3" t="s">
        <v>920</v>
      </c>
      <c r="I993" s="8">
        <v>0.99</v>
      </c>
      <c r="J993" s="8" t="s">
        <v>4404</v>
      </c>
      <c r="K993" s="8" t="s">
        <v>4480</v>
      </c>
      <c r="L993" s="14"/>
      <c r="M993" s="14"/>
      <c r="N993" s="14"/>
      <c r="O993" s="110"/>
      <c r="P993" s="4"/>
      <c r="R993" s="8" t="s">
        <v>2538</v>
      </c>
      <c r="T993" s="9"/>
      <c r="W993" s="8" t="s">
        <v>94</v>
      </c>
      <c r="X993" s="13">
        <v>44.140099999999997</v>
      </c>
      <c r="Y993" s="13">
        <v>-79.329099999999997</v>
      </c>
      <c r="Z993" s="14">
        <v>237</v>
      </c>
      <c r="AB993" s="8" t="s">
        <v>2799</v>
      </c>
    </row>
    <row r="994" spans="1:28" s="8" customFormat="1" ht="21.75" customHeight="1" x14ac:dyDescent="0.2">
      <c r="A994" s="8" t="s">
        <v>2766</v>
      </c>
      <c r="B994" s="8" t="s">
        <v>2767</v>
      </c>
      <c r="C994" s="8" t="s">
        <v>143</v>
      </c>
      <c r="D994" s="8" t="s">
        <v>2783</v>
      </c>
      <c r="E994" s="8" t="s">
        <v>33</v>
      </c>
      <c r="F994" s="8" t="s">
        <v>212</v>
      </c>
      <c r="G994" s="8" t="s">
        <v>919</v>
      </c>
      <c r="H994" s="3" t="s">
        <v>920</v>
      </c>
      <c r="I994" s="8">
        <v>1.2</v>
      </c>
      <c r="J994" s="8" t="s">
        <v>4404</v>
      </c>
      <c r="K994" s="8" t="s">
        <v>4480</v>
      </c>
      <c r="L994" s="14"/>
      <c r="M994" s="14"/>
      <c r="N994" s="14"/>
      <c r="O994" s="110"/>
      <c r="P994" s="4"/>
      <c r="R994" s="8" t="s">
        <v>2789</v>
      </c>
      <c r="T994" s="9"/>
      <c r="W994" s="8" t="s">
        <v>94</v>
      </c>
      <c r="X994" s="13">
        <v>46.001300000000001</v>
      </c>
      <c r="Y994" s="13">
        <v>-79.433400000000006</v>
      </c>
      <c r="Z994" s="14">
        <v>335</v>
      </c>
      <c r="AA994" s="8" t="s">
        <v>2768</v>
      </c>
      <c r="AB994" s="8" t="s">
        <v>2799</v>
      </c>
    </row>
    <row r="995" spans="1:28" s="8" customFormat="1" ht="21.75" customHeight="1" x14ac:dyDescent="0.2">
      <c r="A995" s="8" t="s">
        <v>2766</v>
      </c>
      <c r="B995" s="8" t="s">
        <v>2767</v>
      </c>
      <c r="C995" s="8" t="s">
        <v>143</v>
      </c>
      <c r="D995" s="8" t="s">
        <v>2784</v>
      </c>
      <c r="E995" s="8" t="s">
        <v>33</v>
      </c>
      <c r="F995" s="8" t="s">
        <v>212</v>
      </c>
      <c r="G995" s="8" t="s">
        <v>919</v>
      </c>
      <c r="H995" s="3" t="s">
        <v>920</v>
      </c>
      <c r="I995" s="8">
        <v>1.36</v>
      </c>
      <c r="J995" s="8" t="s">
        <v>4404</v>
      </c>
      <c r="K995" s="8" t="s">
        <v>4480</v>
      </c>
      <c r="L995" s="14"/>
      <c r="M995" s="14"/>
      <c r="N995" s="14"/>
      <c r="O995" s="110"/>
      <c r="P995" s="4"/>
      <c r="R995" s="8" t="s">
        <v>2789</v>
      </c>
      <c r="T995" s="9"/>
      <c r="W995" s="8" t="s">
        <v>94</v>
      </c>
      <c r="X995" s="13">
        <v>45.996899999999997</v>
      </c>
      <c r="Y995" s="13">
        <v>-79.431600000000003</v>
      </c>
      <c r="Z995" s="14">
        <v>335</v>
      </c>
      <c r="AA995" s="8" t="s">
        <v>2768</v>
      </c>
      <c r="AB995" s="8" t="s">
        <v>2799</v>
      </c>
    </row>
    <row r="996" spans="1:28" s="8" customFormat="1" ht="21.75" customHeight="1" x14ac:dyDescent="0.2">
      <c r="A996" s="8" t="s">
        <v>2766</v>
      </c>
      <c r="B996" s="8" t="s">
        <v>2767</v>
      </c>
      <c r="C996" s="8" t="s">
        <v>143</v>
      </c>
      <c r="D996" s="8" t="s">
        <v>2785</v>
      </c>
      <c r="E996" s="8" t="s">
        <v>33</v>
      </c>
      <c r="F996" s="8" t="s">
        <v>212</v>
      </c>
      <c r="G996" s="8" t="s">
        <v>919</v>
      </c>
      <c r="H996" s="3" t="s">
        <v>920</v>
      </c>
      <c r="I996" s="8">
        <v>1.29</v>
      </c>
      <c r="J996" s="8" t="s">
        <v>4404</v>
      </c>
      <c r="K996" s="8" t="s">
        <v>4480</v>
      </c>
      <c r="L996" s="14"/>
      <c r="M996" s="14"/>
      <c r="N996" s="14"/>
      <c r="O996" s="110"/>
      <c r="P996" s="4"/>
      <c r="R996" s="8" t="s">
        <v>2538</v>
      </c>
      <c r="T996" s="9"/>
      <c r="W996" s="8" t="s">
        <v>94</v>
      </c>
      <c r="X996" s="13">
        <v>44.161499999999997</v>
      </c>
      <c r="Y996" s="13">
        <v>-79.123500000000007</v>
      </c>
      <c r="Z996" s="14">
        <v>246</v>
      </c>
      <c r="AB996" s="8" t="s">
        <v>2799</v>
      </c>
    </row>
    <row r="997" spans="1:28" s="8" customFormat="1" ht="21.75" customHeight="1" x14ac:dyDescent="0.2">
      <c r="A997" s="8" t="s">
        <v>2766</v>
      </c>
      <c r="B997" s="8" t="s">
        <v>2767</v>
      </c>
      <c r="C997" s="8" t="s">
        <v>143</v>
      </c>
      <c r="D997" s="8" t="s">
        <v>2786</v>
      </c>
      <c r="E997" s="8" t="s">
        <v>33</v>
      </c>
      <c r="F997" s="8" t="s">
        <v>212</v>
      </c>
      <c r="G997" s="8" t="s">
        <v>919</v>
      </c>
      <c r="H997" s="3" t="s">
        <v>920</v>
      </c>
      <c r="I997" s="8">
        <v>1.35</v>
      </c>
      <c r="J997" s="8" t="s">
        <v>4404</v>
      </c>
      <c r="K997" s="8" t="s">
        <v>4480</v>
      </c>
      <c r="L997" s="14"/>
      <c r="M997" s="14"/>
      <c r="N997" s="14"/>
      <c r="O997" s="110"/>
      <c r="P997" s="4"/>
      <c r="R997" s="8" t="s">
        <v>2538</v>
      </c>
      <c r="T997" s="9"/>
      <c r="W997" s="8" t="s">
        <v>94</v>
      </c>
      <c r="X997" s="13">
        <v>44.157499999999999</v>
      </c>
      <c r="Y997" s="13">
        <v>-79.122399999999999</v>
      </c>
      <c r="Z997" s="14">
        <v>246</v>
      </c>
      <c r="AB997" s="8" t="s">
        <v>2799</v>
      </c>
    </row>
    <row r="998" spans="1:28" ht="21.75" customHeight="1" x14ac:dyDescent="0.2">
      <c r="A998" s="7" t="s">
        <v>4899</v>
      </c>
      <c r="B998" s="7" t="s">
        <v>4900</v>
      </c>
      <c r="C998" s="7" t="s">
        <v>4901</v>
      </c>
      <c r="D998" s="7" t="s">
        <v>4902</v>
      </c>
      <c r="E998" s="7" t="s">
        <v>33</v>
      </c>
      <c r="F998" s="7" t="s">
        <v>212</v>
      </c>
      <c r="G998" s="7" t="s">
        <v>4908</v>
      </c>
      <c r="H998" s="1" t="s">
        <v>4907</v>
      </c>
      <c r="I998" s="2">
        <f>9*0.3048</f>
        <v>2.7432000000000003</v>
      </c>
      <c r="J998" s="7" t="s">
        <v>4367</v>
      </c>
      <c r="K998" s="7" t="s">
        <v>4480</v>
      </c>
      <c r="O998" s="45" t="s">
        <v>4903</v>
      </c>
      <c r="R998" s="7" t="s">
        <v>4915</v>
      </c>
      <c r="T998" s="18"/>
      <c r="X998" s="5">
        <v>39.887900000000002</v>
      </c>
      <c r="Y998" s="5">
        <v>-74.508899999999997</v>
      </c>
      <c r="Z998" s="6">
        <v>48</v>
      </c>
      <c r="AA998" s="7" t="s">
        <v>4912</v>
      </c>
      <c r="AB998" s="134" t="s">
        <v>4911</v>
      </c>
    </row>
    <row r="999" spans="1:28" ht="21.75" customHeight="1" x14ac:dyDescent="0.2">
      <c r="A999" s="7" t="s">
        <v>4899</v>
      </c>
      <c r="B999" s="7" t="s">
        <v>4900</v>
      </c>
      <c r="C999" s="7" t="s">
        <v>4901</v>
      </c>
      <c r="D999" s="7" t="s">
        <v>4902</v>
      </c>
      <c r="E999" s="7" t="s">
        <v>33</v>
      </c>
      <c r="F999" s="7" t="s">
        <v>212</v>
      </c>
      <c r="G999" s="7" t="s">
        <v>4908</v>
      </c>
      <c r="H999" s="1" t="s">
        <v>4907</v>
      </c>
      <c r="I999" s="7" t="s">
        <v>831</v>
      </c>
      <c r="J999" s="7" t="s">
        <v>4367</v>
      </c>
      <c r="K999" s="7" t="s">
        <v>4480</v>
      </c>
      <c r="O999" s="45" t="s">
        <v>4904</v>
      </c>
      <c r="R999" s="7" t="s">
        <v>4915</v>
      </c>
      <c r="T999" s="18"/>
      <c r="X999" s="5">
        <v>39.891100000000002</v>
      </c>
      <c r="Y999" s="5">
        <v>-74.493499999999997</v>
      </c>
      <c r="Z999" s="6">
        <v>39</v>
      </c>
      <c r="AA999" s="7" t="s">
        <v>4913</v>
      </c>
      <c r="AB999" s="136"/>
    </row>
    <row r="1000" spans="1:28" ht="21.75" customHeight="1" x14ac:dyDescent="0.2">
      <c r="A1000" s="7" t="s">
        <v>4899</v>
      </c>
      <c r="B1000" s="7" t="s">
        <v>4900</v>
      </c>
      <c r="C1000" s="7" t="s">
        <v>4901</v>
      </c>
      <c r="D1000" s="7" t="s">
        <v>4902</v>
      </c>
      <c r="E1000" s="7" t="s">
        <v>33</v>
      </c>
      <c r="F1000" s="7" t="s">
        <v>212</v>
      </c>
      <c r="G1000" s="7" t="s">
        <v>4908</v>
      </c>
      <c r="H1000" s="1" t="s">
        <v>4907</v>
      </c>
      <c r="I1000" s="7">
        <v>2</v>
      </c>
      <c r="J1000" s="7" t="s">
        <v>4367</v>
      </c>
      <c r="K1000" s="7" t="s">
        <v>4480</v>
      </c>
      <c r="O1000" s="45" t="s">
        <v>4905</v>
      </c>
      <c r="Q1000" s="2">
        <f>3*0.3048</f>
        <v>0.9144000000000001</v>
      </c>
      <c r="R1000" s="7" t="s">
        <v>4915</v>
      </c>
      <c r="T1000" s="18"/>
      <c r="X1000" s="5">
        <v>39.904899999999998</v>
      </c>
      <c r="Y1000" s="5">
        <v>-74.500699999999995</v>
      </c>
      <c r="Z1000" s="6">
        <v>37</v>
      </c>
      <c r="AA1000" s="7" t="s">
        <v>4909</v>
      </c>
      <c r="AB1000" s="136"/>
    </row>
    <row r="1001" spans="1:28" ht="21.75" customHeight="1" x14ac:dyDescent="0.2">
      <c r="A1001" s="7" t="s">
        <v>4899</v>
      </c>
      <c r="B1001" s="7" t="s">
        <v>4900</v>
      </c>
      <c r="C1001" s="7" t="s">
        <v>4901</v>
      </c>
      <c r="D1001" s="7" t="s">
        <v>4902</v>
      </c>
      <c r="E1001" s="7" t="s">
        <v>33</v>
      </c>
      <c r="F1001" s="7" t="s">
        <v>212</v>
      </c>
      <c r="G1001" s="7" t="s">
        <v>4908</v>
      </c>
      <c r="H1001" s="1" t="s">
        <v>4907</v>
      </c>
      <c r="I1001" s="7">
        <v>1.52</v>
      </c>
      <c r="J1001" s="7" t="s">
        <v>4367</v>
      </c>
      <c r="K1001" s="7" t="s">
        <v>4480</v>
      </c>
      <c r="O1001" s="45" t="s">
        <v>4906</v>
      </c>
      <c r="Q1001" s="7">
        <v>0.2</v>
      </c>
      <c r="R1001" s="7" t="s">
        <v>4915</v>
      </c>
      <c r="T1001" s="18"/>
      <c r="X1001" s="5">
        <v>39.917400000000001</v>
      </c>
      <c r="Y1001" s="5">
        <v>-74.515199999999993</v>
      </c>
      <c r="Z1001" s="6">
        <v>28</v>
      </c>
      <c r="AA1001" s="7" t="s">
        <v>4910</v>
      </c>
      <c r="AB1001" s="135"/>
    </row>
    <row r="1002" spans="1:28" ht="21.75" customHeight="1" x14ac:dyDescent="0.2">
      <c r="A1002" s="7" t="s">
        <v>4899</v>
      </c>
      <c r="B1002" s="7" t="s">
        <v>4900</v>
      </c>
      <c r="C1002" s="7" t="s">
        <v>4901</v>
      </c>
      <c r="D1002" s="7" t="s">
        <v>4902</v>
      </c>
      <c r="E1002" s="7" t="s">
        <v>33</v>
      </c>
      <c r="F1002" s="7" t="s">
        <v>212</v>
      </c>
      <c r="G1002" s="7" t="s">
        <v>4485</v>
      </c>
      <c r="H1002" s="1" t="s">
        <v>4920</v>
      </c>
      <c r="I1002" s="7">
        <v>2.74</v>
      </c>
      <c r="J1002" s="7" t="s">
        <v>4367</v>
      </c>
      <c r="K1002" s="7" t="s">
        <v>4480</v>
      </c>
      <c r="O1002" s="45" t="s">
        <v>4903</v>
      </c>
      <c r="R1002" s="7" t="s">
        <v>4915</v>
      </c>
      <c r="T1002" s="18"/>
      <c r="X1002" s="5">
        <v>39.887900000000002</v>
      </c>
      <c r="Y1002" s="5">
        <v>-74.508899999999997</v>
      </c>
      <c r="Z1002" s="6">
        <v>48</v>
      </c>
      <c r="AA1002" s="7" t="s">
        <v>4921</v>
      </c>
      <c r="AB1002" s="73"/>
    </row>
    <row r="1003" spans="1:28" ht="21.75" customHeight="1" x14ac:dyDescent="0.2">
      <c r="A1003" s="7" t="s">
        <v>4899</v>
      </c>
      <c r="B1003" s="7" t="s">
        <v>4914</v>
      </c>
      <c r="C1003" s="7" t="s">
        <v>1839</v>
      </c>
      <c r="D1003" s="7" t="s">
        <v>4922</v>
      </c>
      <c r="E1003" s="7" t="s">
        <v>33</v>
      </c>
      <c r="F1003" s="7" t="s">
        <v>212</v>
      </c>
      <c r="G1003" s="7" t="s">
        <v>4908</v>
      </c>
      <c r="H1003" s="1" t="s">
        <v>4907</v>
      </c>
      <c r="I1003" s="7">
        <v>1.07</v>
      </c>
      <c r="J1003" s="7" t="s">
        <v>4918</v>
      </c>
      <c r="K1003" s="7" t="s">
        <v>4480</v>
      </c>
      <c r="O1003" s="45" t="s">
        <v>4917</v>
      </c>
      <c r="R1003" s="7" t="s">
        <v>4916</v>
      </c>
      <c r="T1003" s="18"/>
      <c r="X1003" s="5">
        <v>39.826300000000003</v>
      </c>
      <c r="Y1003" s="5">
        <v>-77.482399999999998</v>
      </c>
      <c r="Z1003" s="6">
        <v>595</v>
      </c>
      <c r="AA1003" s="7" t="s">
        <v>4919</v>
      </c>
      <c r="AB1003" s="7" t="s">
        <v>4923</v>
      </c>
    </row>
    <row r="1004" spans="1:28" s="8" customFormat="1" ht="21.75" customHeight="1" x14ac:dyDescent="0.2">
      <c r="A1004" s="8" t="s">
        <v>6028</v>
      </c>
      <c r="B1004" s="8" t="s">
        <v>6030</v>
      </c>
      <c r="C1004" s="8" t="s">
        <v>6033</v>
      </c>
      <c r="D1004" s="8" t="s">
        <v>6034</v>
      </c>
      <c r="E1004" s="8" t="s">
        <v>6036</v>
      </c>
      <c r="F1004" s="8" t="s">
        <v>214</v>
      </c>
      <c r="G1004" s="8" t="s">
        <v>6029</v>
      </c>
      <c r="H1004" s="3" t="s">
        <v>6035</v>
      </c>
      <c r="I1004" s="4">
        <f>2*0.3048</f>
        <v>0.60960000000000003</v>
      </c>
      <c r="J1004" s="8" t="s">
        <v>4367</v>
      </c>
      <c r="K1004" s="8" t="s">
        <v>4386</v>
      </c>
      <c r="L1004" s="14"/>
      <c r="M1004" s="14"/>
      <c r="N1004" s="14"/>
      <c r="O1004" s="110" t="s">
        <v>6031</v>
      </c>
      <c r="P1004" s="4"/>
      <c r="Q1004" s="8">
        <v>0.61</v>
      </c>
      <c r="R1004" s="8" t="s">
        <v>3230</v>
      </c>
      <c r="T1004" s="9"/>
      <c r="X1004" s="13">
        <v>40.650300000000001</v>
      </c>
      <c r="Y1004" s="13">
        <v>-112.39579999999999</v>
      </c>
      <c r="Z1004" s="14">
        <v>1285</v>
      </c>
      <c r="AA1004" s="22" t="s">
        <v>6032</v>
      </c>
      <c r="AB1004" s="22"/>
    </row>
    <row r="1005" spans="1:28" s="8" customFormat="1" ht="21.75" customHeight="1" x14ac:dyDescent="0.2">
      <c r="A1005" s="8" t="s">
        <v>6028</v>
      </c>
      <c r="B1005" s="8" t="s">
        <v>6030</v>
      </c>
      <c r="C1005" s="8" t="s">
        <v>6033</v>
      </c>
      <c r="D1005" s="8" t="s">
        <v>6034</v>
      </c>
      <c r="E1005" s="8" t="s">
        <v>6038</v>
      </c>
      <c r="F1005" s="8" t="s">
        <v>214</v>
      </c>
      <c r="G1005" s="8" t="s">
        <v>6039</v>
      </c>
      <c r="H1005" s="3" t="s">
        <v>6037</v>
      </c>
      <c r="I1005" s="4">
        <f>43*0.0254</f>
        <v>1.0922000000000001</v>
      </c>
      <c r="J1005" s="8" t="s">
        <v>4367</v>
      </c>
      <c r="K1005" s="8" t="s">
        <v>4386</v>
      </c>
      <c r="L1005" s="14"/>
      <c r="M1005" s="14"/>
      <c r="N1005" s="14"/>
      <c r="O1005" s="110" t="s">
        <v>6042</v>
      </c>
      <c r="P1005" s="4"/>
      <c r="T1005" s="9"/>
      <c r="X1005" s="13">
        <v>40.616900000000001</v>
      </c>
      <c r="Y1005" s="13">
        <v>-112.3411</v>
      </c>
      <c r="Z1005" s="14">
        <v>1308</v>
      </c>
      <c r="AA1005" s="22" t="s">
        <v>6040</v>
      </c>
      <c r="AB1005" s="22" t="s">
        <v>6041</v>
      </c>
    </row>
    <row r="1006" spans="1:28" s="8" customFormat="1" ht="21.75" customHeight="1" x14ac:dyDescent="0.2">
      <c r="A1006" s="8" t="s">
        <v>6028</v>
      </c>
      <c r="B1006" s="8" t="s">
        <v>6043</v>
      </c>
      <c r="C1006" s="8" t="s">
        <v>6033</v>
      </c>
      <c r="D1006" s="8" t="s">
        <v>6046</v>
      </c>
      <c r="E1006" s="8" t="s">
        <v>6048</v>
      </c>
      <c r="F1006" s="8" t="s">
        <v>6049</v>
      </c>
      <c r="G1006" s="8" t="s">
        <v>6044</v>
      </c>
      <c r="H1006" s="3" t="s">
        <v>6047</v>
      </c>
      <c r="I1006" s="4">
        <v>2.74</v>
      </c>
      <c r="J1006" s="8" t="s">
        <v>4367</v>
      </c>
      <c r="K1006" s="8" t="s">
        <v>4386</v>
      </c>
      <c r="L1006" s="14"/>
      <c r="M1006" s="14"/>
      <c r="N1006" s="14"/>
      <c r="O1006" s="110" t="s">
        <v>6050</v>
      </c>
      <c r="P1006" s="4" t="s">
        <v>6051</v>
      </c>
      <c r="Q1006" s="8">
        <v>2.59</v>
      </c>
      <c r="T1006" s="9"/>
      <c r="X1006" s="13">
        <v>38.3371</v>
      </c>
      <c r="Y1006" s="13">
        <v>-113.0355</v>
      </c>
      <c r="Z1006" s="14">
        <v>1523</v>
      </c>
      <c r="AA1006" s="22" t="s">
        <v>6052</v>
      </c>
      <c r="AB1006" s="22" t="s">
        <v>6045</v>
      </c>
    </row>
    <row r="1007" spans="1:28" ht="21.75" customHeight="1" x14ac:dyDescent="0.2">
      <c r="A1007" s="7" t="s">
        <v>7210</v>
      </c>
      <c r="B1007" s="7" t="s">
        <v>7211</v>
      </c>
      <c r="C1007" s="7" t="s">
        <v>255</v>
      </c>
      <c r="D1007" s="7" t="s">
        <v>7212</v>
      </c>
      <c r="E1007" s="7" t="s">
        <v>263</v>
      </c>
      <c r="F1007" s="7" t="s">
        <v>212</v>
      </c>
      <c r="G1007" s="7" t="s">
        <v>7216</v>
      </c>
      <c r="H1007" s="1" t="s">
        <v>7217</v>
      </c>
      <c r="I1007" s="2">
        <v>2.5</v>
      </c>
      <c r="L1007" s="6">
        <v>629</v>
      </c>
      <c r="O1007" s="45" t="s">
        <v>7218</v>
      </c>
      <c r="P1007" s="2" t="s">
        <v>7220</v>
      </c>
      <c r="Q1007" s="7">
        <v>3</v>
      </c>
      <c r="R1007" s="7" t="s">
        <v>7215</v>
      </c>
      <c r="T1007" s="18"/>
      <c r="X1007" s="5">
        <f>38+52/60+55/3600</f>
        <v>38.881944444444443</v>
      </c>
      <c r="Y1007" s="5">
        <f>-(8+0.783333333333333+0.0136111111111111)</f>
        <v>-8.7969444444444438</v>
      </c>
      <c r="Z1007" s="6">
        <v>31</v>
      </c>
      <c r="AA1007" s="134" t="s">
        <v>7221</v>
      </c>
      <c r="AB1007" s="134" t="s">
        <v>7222</v>
      </c>
    </row>
    <row r="1008" spans="1:28" ht="21.75" customHeight="1" x14ac:dyDescent="0.2">
      <c r="A1008" s="7" t="s">
        <v>7210</v>
      </c>
      <c r="B1008" s="7" t="s">
        <v>7211</v>
      </c>
      <c r="C1008" s="7" t="s">
        <v>255</v>
      </c>
      <c r="D1008" s="7" t="s">
        <v>7213</v>
      </c>
      <c r="E1008" s="7" t="s">
        <v>263</v>
      </c>
      <c r="F1008" s="7" t="s">
        <v>212</v>
      </c>
      <c r="G1008" s="7" t="s">
        <v>7216</v>
      </c>
      <c r="H1008" s="1" t="s">
        <v>7217</v>
      </c>
      <c r="I1008" s="2">
        <v>2</v>
      </c>
      <c r="L1008" s="6">
        <v>629</v>
      </c>
      <c r="O1008" s="45" t="s">
        <v>7218</v>
      </c>
      <c r="P1008" s="2" t="s">
        <v>7219</v>
      </c>
      <c r="Q1008" s="7">
        <v>2.5</v>
      </c>
      <c r="R1008" s="7" t="s">
        <v>7214</v>
      </c>
      <c r="T1008" s="18"/>
      <c r="X1008" s="5">
        <f>38+50/60+9/3600</f>
        <v>38.835833333333333</v>
      </c>
      <c r="Y1008" s="5">
        <f>-(8+49/60+2/3600)</f>
        <v>-8.8172222222222221</v>
      </c>
      <c r="Z1008" s="6">
        <v>24</v>
      </c>
      <c r="AA1008" s="135"/>
      <c r="AB1008" s="135"/>
    </row>
    <row r="1009" spans="1:28" s="8" customFormat="1" ht="21.75" customHeight="1" x14ac:dyDescent="0.2">
      <c r="A1009" s="8" t="s">
        <v>5918</v>
      </c>
      <c r="B1009" s="8" t="s">
        <v>5920</v>
      </c>
      <c r="C1009" s="8" t="s">
        <v>5923</v>
      </c>
      <c r="D1009" s="8" t="s">
        <v>5921</v>
      </c>
      <c r="E1009" s="8" t="s">
        <v>3326</v>
      </c>
      <c r="F1009" s="8" t="s">
        <v>212</v>
      </c>
      <c r="G1009" s="8" t="s">
        <v>5925</v>
      </c>
      <c r="H1009" s="3" t="s">
        <v>5924</v>
      </c>
      <c r="I1009" s="8">
        <v>1.1000000000000001</v>
      </c>
      <c r="J1009" s="8" t="s">
        <v>4367</v>
      </c>
      <c r="K1009" s="8" t="s">
        <v>5783</v>
      </c>
      <c r="L1009" s="14"/>
      <c r="M1009" s="14"/>
      <c r="N1009" s="14"/>
      <c r="O1009" s="110"/>
      <c r="P1009" s="4"/>
      <c r="T1009" s="9"/>
      <c r="X1009" s="8">
        <v>6.3333000000000004</v>
      </c>
      <c r="Y1009" s="13">
        <v>-0.75</v>
      </c>
      <c r="Z1009" s="14">
        <v>176</v>
      </c>
      <c r="AA1009" s="132" t="s">
        <v>5919</v>
      </c>
      <c r="AB1009" s="22" t="s">
        <v>5926</v>
      </c>
    </row>
    <row r="1010" spans="1:28" s="8" customFormat="1" ht="21.75" customHeight="1" x14ac:dyDescent="0.2">
      <c r="A1010" s="8" t="s">
        <v>5918</v>
      </c>
      <c r="B1010" s="8" t="s">
        <v>5920</v>
      </c>
      <c r="C1010" s="8" t="s">
        <v>5923</v>
      </c>
      <c r="D1010" s="8" t="s">
        <v>5922</v>
      </c>
      <c r="E1010" s="8" t="s">
        <v>3326</v>
      </c>
      <c r="F1010" s="8" t="s">
        <v>212</v>
      </c>
      <c r="G1010" s="8" t="s">
        <v>5925</v>
      </c>
      <c r="H1010" s="3" t="s">
        <v>5924</v>
      </c>
      <c r="I1010" s="8">
        <v>3.5</v>
      </c>
      <c r="J1010" s="8" t="s">
        <v>4367</v>
      </c>
      <c r="K1010" s="8" t="s">
        <v>5783</v>
      </c>
      <c r="L1010" s="14"/>
      <c r="M1010" s="14"/>
      <c r="N1010" s="14"/>
      <c r="O1010" s="110"/>
      <c r="P1010" s="4"/>
      <c r="T1010" s="9"/>
      <c r="X1010" s="13">
        <f>6+10/60</f>
        <v>6.166666666666667</v>
      </c>
      <c r="Y1010" s="13">
        <f>-55/60</f>
        <v>-0.91666666666666663</v>
      </c>
      <c r="Z1010" s="14">
        <v>188</v>
      </c>
      <c r="AA1010" s="133"/>
      <c r="AB1010" s="22" t="s">
        <v>5927</v>
      </c>
    </row>
    <row r="1011" spans="1:28" ht="21.75" customHeight="1" x14ac:dyDescent="0.2">
      <c r="A1011" s="7" t="s">
        <v>2918</v>
      </c>
      <c r="B1011" s="7" t="s">
        <v>1299</v>
      </c>
      <c r="C1011" s="7" t="s">
        <v>765</v>
      </c>
      <c r="E1011" s="7" t="s">
        <v>263</v>
      </c>
      <c r="F1011" s="7" t="s">
        <v>1302</v>
      </c>
      <c r="G1011" s="7" t="s">
        <v>1301</v>
      </c>
      <c r="H1011" s="1" t="s">
        <v>1300</v>
      </c>
      <c r="I1011" s="7">
        <v>0.5</v>
      </c>
      <c r="J1011" s="7" t="s">
        <v>5787</v>
      </c>
      <c r="K1011" s="7" t="s">
        <v>4410</v>
      </c>
      <c r="O1011" s="45" t="s">
        <v>5788</v>
      </c>
      <c r="Q1011" s="7">
        <v>0.8</v>
      </c>
      <c r="T1011" s="18"/>
      <c r="X1011" s="5">
        <v>-36.291800000000002</v>
      </c>
      <c r="Y1011" s="5">
        <v>140.07650000000001</v>
      </c>
      <c r="Z1011" s="6">
        <v>27</v>
      </c>
      <c r="AA1011" s="7" t="s">
        <v>1303</v>
      </c>
      <c r="AB1011" s="7" t="s">
        <v>1304</v>
      </c>
    </row>
    <row r="1012" spans="1:28" s="8" customFormat="1" ht="21.75" customHeight="1" x14ac:dyDescent="0.2">
      <c r="A1012" s="8" t="s">
        <v>4924</v>
      </c>
      <c r="B1012" s="8" t="s">
        <v>4926</v>
      </c>
      <c r="C1012" s="8" t="s">
        <v>4927</v>
      </c>
      <c r="D1012" s="8" t="s">
        <v>4937</v>
      </c>
      <c r="E1012" s="8" t="s">
        <v>263</v>
      </c>
      <c r="F1012" s="8" t="s">
        <v>4943</v>
      </c>
      <c r="G1012" s="8" t="s">
        <v>4942</v>
      </c>
      <c r="H1012" s="3" t="s">
        <v>4939</v>
      </c>
      <c r="I1012" s="8">
        <v>1.4</v>
      </c>
      <c r="J1012" s="8" t="s">
        <v>4930</v>
      </c>
      <c r="K1012" s="8" t="s">
        <v>4410</v>
      </c>
      <c r="L1012" s="14">
        <v>720</v>
      </c>
      <c r="M1012" s="14" t="s">
        <v>4931</v>
      </c>
      <c r="N1012" s="14">
        <v>1540</v>
      </c>
      <c r="O1012" s="110"/>
      <c r="P1012" s="4"/>
      <c r="Q1012" s="8" t="s">
        <v>4929</v>
      </c>
      <c r="R1012" s="8" t="s">
        <v>4948</v>
      </c>
      <c r="S1012" s="8" t="s">
        <v>4925</v>
      </c>
      <c r="T1012" s="4">
        <v>0.4</v>
      </c>
      <c r="X1012" s="13">
        <v>27.669499999999999</v>
      </c>
      <c r="Y1012" s="13">
        <v>-98.188299999999998</v>
      </c>
      <c r="Z1012" s="14">
        <v>77</v>
      </c>
      <c r="AA1012" s="8" t="s">
        <v>4936</v>
      </c>
      <c r="AB1012" s="8" t="s">
        <v>4949</v>
      </c>
    </row>
    <row r="1013" spans="1:28" s="8" customFormat="1" ht="21.75" customHeight="1" x14ac:dyDescent="0.2">
      <c r="A1013" s="8" t="s">
        <v>4924</v>
      </c>
      <c r="B1013" s="8" t="s">
        <v>4926</v>
      </c>
      <c r="C1013" s="8" t="s">
        <v>4927</v>
      </c>
      <c r="D1013" s="8" t="s">
        <v>4937</v>
      </c>
      <c r="E1013" s="8" t="s">
        <v>280</v>
      </c>
      <c r="F1013" s="8" t="s">
        <v>4943</v>
      </c>
      <c r="G1013" s="8" t="s">
        <v>4944</v>
      </c>
      <c r="H1013" s="3" t="s">
        <v>4940</v>
      </c>
      <c r="I1013" s="8">
        <v>1.6</v>
      </c>
      <c r="J1013" s="8" t="s">
        <v>4930</v>
      </c>
      <c r="K1013" s="8" t="s">
        <v>4410</v>
      </c>
      <c r="L1013" s="14">
        <v>720</v>
      </c>
      <c r="M1013" s="14" t="s">
        <v>4931</v>
      </c>
      <c r="N1013" s="14">
        <v>1540</v>
      </c>
      <c r="O1013" s="110"/>
      <c r="P1013" s="4"/>
      <c r="Q1013" s="8" t="s">
        <v>4929</v>
      </c>
      <c r="R1013" s="8" t="s">
        <v>4948</v>
      </c>
      <c r="S1013" s="8" t="s">
        <v>4925</v>
      </c>
      <c r="T1013" s="4">
        <v>0.4</v>
      </c>
      <c r="X1013" s="13">
        <v>27.669499999999999</v>
      </c>
      <c r="Y1013" s="13">
        <v>-98.188299999999998</v>
      </c>
      <c r="Z1013" s="14">
        <v>77</v>
      </c>
      <c r="AA1013" s="8" t="s">
        <v>4951</v>
      </c>
      <c r="AB1013" s="8" t="s">
        <v>4955</v>
      </c>
    </row>
    <row r="1014" spans="1:28" s="8" customFormat="1" ht="21.75" customHeight="1" x14ac:dyDescent="0.2">
      <c r="A1014" s="8" t="s">
        <v>4924</v>
      </c>
      <c r="B1014" s="8" t="s">
        <v>4926</v>
      </c>
      <c r="C1014" s="8" t="s">
        <v>4927</v>
      </c>
      <c r="D1014" s="8" t="s">
        <v>4937</v>
      </c>
      <c r="E1014" s="8" t="s">
        <v>263</v>
      </c>
      <c r="F1014" s="8" t="s">
        <v>4943</v>
      </c>
      <c r="G1014" s="8" t="s">
        <v>4945</v>
      </c>
      <c r="H1014" s="3" t="s">
        <v>4941</v>
      </c>
      <c r="I1014" s="8">
        <v>2</v>
      </c>
      <c r="J1014" s="8" t="s">
        <v>4930</v>
      </c>
      <c r="K1014" s="8" t="s">
        <v>4410</v>
      </c>
      <c r="L1014" s="14">
        <v>720</v>
      </c>
      <c r="M1014" s="14" t="s">
        <v>4931</v>
      </c>
      <c r="N1014" s="14">
        <v>1540</v>
      </c>
      <c r="O1014" s="110"/>
      <c r="P1014" s="4"/>
      <c r="Q1014" s="8" t="s">
        <v>4929</v>
      </c>
      <c r="R1014" s="8" t="s">
        <v>4948</v>
      </c>
      <c r="S1014" s="8" t="s">
        <v>4925</v>
      </c>
      <c r="T1014" s="4">
        <v>0.4</v>
      </c>
      <c r="X1014" s="13">
        <v>27.669499999999999</v>
      </c>
      <c r="Y1014" s="13">
        <v>-98.188299999999998</v>
      </c>
      <c r="Z1014" s="14">
        <v>77</v>
      </c>
      <c r="AA1014" s="8" t="s">
        <v>4952</v>
      </c>
      <c r="AB1014" s="8" t="s">
        <v>4955</v>
      </c>
    </row>
    <row r="1015" spans="1:28" s="8" customFormat="1" ht="21.75" customHeight="1" x14ac:dyDescent="0.2">
      <c r="A1015" s="8" t="s">
        <v>4924</v>
      </c>
      <c r="B1015" s="8" t="s">
        <v>4926</v>
      </c>
      <c r="C1015" s="8" t="s">
        <v>4927</v>
      </c>
      <c r="D1015" s="8" t="s">
        <v>4937</v>
      </c>
      <c r="E1015" s="8" t="s">
        <v>280</v>
      </c>
      <c r="F1015" s="8" t="s">
        <v>4932</v>
      </c>
      <c r="G1015" s="8" t="s">
        <v>535</v>
      </c>
      <c r="H1015" s="3" t="s">
        <v>536</v>
      </c>
      <c r="I1015" s="8">
        <v>2.1</v>
      </c>
      <c r="J1015" s="8" t="s">
        <v>4930</v>
      </c>
      <c r="K1015" s="8" t="s">
        <v>4410</v>
      </c>
      <c r="L1015" s="14">
        <v>720</v>
      </c>
      <c r="M1015" s="14" t="s">
        <v>4931</v>
      </c>
      <c r="N1015" s="14">
        <v>1540</v>
      </c>
      <c r="O1015" s="110"/>
      <c r="P1015" s="4"/>
      <c r="Q1015" s="8" t="s">
        <v>4929</v>
      </c>
      <c r="R1015" s="8" t="s">
        <v>4948</v>
      </c>
      <c r="S1015" s="8" t="s">
        <v>4925</v>
      </c>
      <c r="T1015" s="4">
        <v>0.4</v>
      </c>
      <c r="X1015" s="13">
        <v>27.669499999999999</v>
      </c>
      <c r="Y1015" s="13">
        <v>-98.188299999999998</v>
      </c>
      <c r="Z1015" s="14">
        <v>77</v>
      </c>
      <c r="AA1015" s="8" t="s">
        <v>4953</v>
      </c>
      <c r="AB1015" s="8" t="s">
        <v>4955</v>
      </c>
    </row>
    <row r="1016" spans="1:28" s="8" customFormat="1" ht="21.75" customHeight="1" x14ac:dyDescent="0.2">
      <c r="A1016" s="8" t="s">
        <v>4924</v>
      </c>
      <c r="B1016" s="8" t="s">
        <v>4926</v>
      </c>
      <c r="C1016" s="8" t="s">
        <v>4927</v>
      </c>
      <c r="D1016" s="8" t="s">
        <v>4937</v>
      </c>
      <c r="E1016" s="8" t="s">
        <v>263</v>
      </c>
      <c r="F1016" s="8" t="s">
        <v>4933</v>
      </c>
      <c r="G1016" s="8" t="s">
        <v>4935</v>
      </c>
      <c r="H1016" s="3" t="s">
        <v>4934</v>
      </c>
      <c r="I1016" s="8">
        <v>1.6</v>
      </c>
      <c r="J1016" s="8" t="s">
        <v>4930</v>
      </c>
      <c r="K1016" s="8" t="s">
        <v>4410</v>
      </c>
      <c r="L1016" s="14">
        <v>720</v>
      </c>
      <c r="M1016" s="14" t="s">
        <v>4931</v>
      </c>
      <c r="N1016" s="14">
        <v>1540</v>
      </c>
      <c r="O1016" s="110"/>
      <c r="P1016" s="4"/>
      <c r="Q1016" s="8" t="s">
        <v>4929</v>
      </c>
      <c r="R1016" s="8" t="s">
        <v>4948</v>
      </c>
      <c r="S1016" s="8" t="s">
        <v>4925</v>
      </c>
      <c r="T1016" s="4">
        <v>0.4</v>
      </c>
      <c r="X1016" s="13">
        <v>27.669499999999999</v>
      </c>
      <c r="Y1016" s="13">
        <v>-98.188299999999998</v>
      </c>
      <c r="Z1016" s="14">
        <v>77</v>
      </c>
      <c r="AB1016" s="8" t="s">
        <v>4955</v>
      </c>
    </row>
    <row r="1017" spans="1:28" s="8" customFormat="1" ht="21.75" customHeight="1" x14ac:dyDescent="0.2">
      <c r="A1017" s="8" t="s">
        <v>4924</v>
      </c>
      <c r="B1017" s="8" t="s">
        <v>4926</v>
      </c>
      <c r="C1017" s="8" t="s">
        <v>4927</v>
      </c>
      <c r="D1017" s="8" t="s">
        <v>4938</v>
      </c>
      <c r="E1017" s="8" t="s">
        <v>263</v>
      </c>
      <c r="F1017" s="8" t="s">
        <v>4933</v>
      </c>
      <c r="G1017" s="8" t="s">
        <v>4947</v>
      </c>
      <c r="H1017" s="3" t="s">
        <v>4946</v>
      </c>
      <c r="I1017" s="8">
        <v>1.2</v>
      </c>
      <c r="J1017" s="8" t="s">
        <v>4930</v>
      </c>
      <c r="K1017" s="8" t="s">
        <v>4410</v>
      </c>
      <c r="L1017" s="14">
        <v>720</v>
      </c>
      <c r="M1017" s="14" t="s">
        <v>4931</v>
      </c>
      <c r="N1017" s="14">
        <v>1540</v>
      </c>
      <c r="O1017" s="110"/>
      <c r="P1017" s="4"/>
      <c r="Q1017" s="8" t="s">
        <v>4929</v>
      </c>
      <c r="R1017" s="8" t="s">
        <v>4928</v>
      </c>
      <c r="T1017" s="4"/>
      <c r="X1017" s="13">
        <v>27.666699999999999</v>
      </c>
      <c r="Y1017" s="13">
        <v>-98.200999999999993</v>
      </c>
      <c r="Z1017" s="14">
        <v>81</v>
      </c>
      <c r="AB1017" s="8" t="s">
        <v>4955</v>
      </c>
    </row>
    <row r="1018" spans="1:28" s="8" customFormat="1" ht="21.75" customHeight="1" x14ac:dyDescent="0.2">
      <c r="A1018" s="8" t="s">
        <v>4924</v>
      </c>
      <c r="B1018" s="8" t="s">
        <v>4926</v>
      </c>
      <c r="C1018" s="8" t="s">
        <v>4927</v>
      </c>
      <c r="D1018" s="8" t="s">
        <v>4938</v>
      </c>
      <c r="E1018" s="8" t="s">
        <v>263</v>
      </c>
      <c r="F1018" s="8" t="s">
        <v>4943</v>
      </c>
      <c r="G1018" s="8" t="s">
        <v>4942</v>
      </c>
      <c r="H1018" s="3" t="s">
        <v>4939</v>
      </c>
      <c r="I1018" s="8">
        <v>1.2</v>
      </c>
      <c r="J1018" s="8" t="s">
        <v>4930</v>
      </c>
      <c r="K1018" s="8" t="s">
        <v>4410</v>
      </c>
      <c r="L1018" s="14">
        <v>720</v>
      </c>
      <c r="M1018" s="14" t="s">
        <v>4931</v>
      </c>
      <c r="N1018" s="14">
        <v>1540</v>
      </c>
      <c r="O1018" s="110"/>
      <c r="P1018" s="4"/>
      <c r="Q1018" s="8" t="s">
        <v>4929</v>
      </c>
      <c r="R1018" s="8" t="s">
        <v>4928</v>
      </c>
      <c r="T1018" s="4"/>
      <c r="X1018" s="13">
        <v>27.666699999999999</v>
      </c>
      <c r="Y1018" s="13">
        <v>-98.200999999999993</v>
      </c>
      <c r="Z1018" s="14">
        <v>81</v>
      </c>
      <c r="AB1018" s="8" t="s">
        <v>4955</v>
      </c>
    </row>
    <row r="1019" spans="1:28" s="8" customFormat="1" ht="21.75" customHeight="1" x14ac:dyDescent="0.2">
      <c r="A1019" s="8" t="s">
        <v>4924</v>
      </c>
      <c r="B1019" s="8" t="s">
        <v>4926</v>
      </c>
      <c r="C1019" s="8" t="s">
        <v>4927</v>
      </c>
      <c r="D1019" s="8" t="s">
        <v>4938</v>
      </c>
      <c r="E1019" s="8" t="s">
        <v>280</v>
      </c>
      <c r="F1019" s="8" t="s">
        <v>4943</v>
      </c>
      <c r="G1019" s="8" t="s">
        <v>4944</v>
      </c>
      <c r="H1019" s="3" t="s">
        <v>4940</v>
      </c>
      <c r="I1019" s="8">
        <v>2</v>
      </c>
      <c r="J1019" s="8" t="s">
        <v>4930</v>
      </c>
      <c r="K1019" s="8" t="s">
        <v>4410</v>
      </c>
      <c r="L1019" s="14">
        <v>720</v>
      </c>
      <c r="M1019" s="14" t="s">
        <v>4931</v>
      </c>
      <c r="N1019" s="14">
        <v>1540</v>
      </c>
      <c r="O1019" s="110"/>
      <c r="P1019" s="4"/>
      <c r="Q1019" s="8" t="s">
        <v>4929</v>
      </c>
      <c r="R1019" s="8" t="s">
        <v>4928</v>
      </c>
      <c r="T1019" s="4"/>
      <c r="X1019" s="13">
        <v>27.666699999999999</v>
      </c>
      <c r="Y1019" s="13">
        <v>-98.200999999999993</v>
      </c>
      <c r="Z1019" s="14">
        <v>81</v>
      </c>
      <c r="AB1019" s="8" t="s">
        <v>4955</v>
      </c>
    </row>
    <row r="1020" spans="1:28" s="8" customFormat="1" ht="21.75" customHeight="1" x14ac:dyDescent="0.2">
      <c r="A1020" s="8" t="s">
        <v>4924</v>
      </c>
      <c r="B1020" s="8" t="s">
        <v>4926</v>
      </c>
      <c r="C1020" s="8" t="s">
        <v>4927</v>
      </c>
      <c r="D1020" s="8" t="s">
        <v>4938</v>
      </c>
      <c r="E1020" s="8" t="s">
        <v>263</v>
      </c>
      <c r="F1020" s="8" t="s">
        <v>4943</v>
      </c>
      <c r="G1020" s="8" t="s">
        <v>4945</v>
      </c>
      <c r="H1020" s="3" t="s">
        <v>4941</v>
      </c>
      <c r="I1020" s="8">
        <v>1.6</v>
      </c>
      <c r="J1020" s="8" t="s">
        <v>4930</v>
      </c>
      <c r="K1020" s="8" t="s">
        <v>4410</v>
      </c>
      <c r="L1020" s="14">
        <v>720</v>
      </c>
      <c r="M1020" s="14" t="s">
        <v>4931</v>
      </c>
      <c r="N1020" s="14">
        <v>1540</v>
      </c>
      <c r="O1020" s="110"/>
      <c r="P1020" s="4"/>
      <c r="Q1020" s="8" t="s">
        <v>4929</v>
      </c>
      <c r="R1020" s="8" t="s">
        <v>4928</v>
      </c>
      <c r="T1020" s="4"/>
      <c r="X1020" s="13">
        <v>27.666699999999999</v>
      </c>
      <c r="Y1020" s="13">
        <v>-98.200999999999993</v>
      </c>
      <c r="Z1020" s="14">
        <v>81</v>
      </c>
      <c r="AB1020" s="8" t="s">
        <v>4955</v>
      </c>
    </row>
    <row r="1021" spans="1:28" s="8" customFormat="1" ht="21.75" customHeight="1" x14ac:dyDescent="0.2">
      <c r="A1021" s="8" t="s">
        <v>4924</v>
      </c>
      <c r="B1021" s="8" t="s">
        <v>4926</v>
      </c>
      <c r="C1021" s="8" t="s">
        <v>4927</v>
      </c>
      <c r="D1021" s="8" t="s">
        <v>4938</v>
      </c>
      <c r="E1021" s="8" t="s">
        <v>280</v>
      </c>
      <c r="F1021" s="8" t="s">
        <v>4932</v>
      </c>
      <c r="G1021" s="8" t="s">
        <v>535</v>
      </c>
      <c r="H1021" s="3" t="s">
        <v>536</v>
      </c>
      <c r="I1021" s="8">
        <v>2.4</v>
      </c>
      <c r="J1021" s="8" t="s">
        <v>4930</v>
      </c>
      <c r="K1021" s="8" t="s">
        <v>4410</v>
      </c>
      <c r="L1021" s="14">
        <v>720</v>
      </c>
      <c r="M1021" s="14" t="s">
        <v>4931</v>
      </c>
      <c r="N1021" s="14">
        <v>1540</v>
      </c>
      <c r="O1021" s="110"/>
      <c r="P1021" s="4"/>
      <c r="Q1021" s="8" t="s">
        <v>4929</v>
      </c>
      <c r="R1021" s="8" t="s">
        <v>4928</v>
      </c>
      <c r="T1021" s="9"/>
      <c r="X1021" s="13">
        <v>27.666699999999999</v>
      </c>
      <c r="Y1021" s="13">
        <v>-98.200999999999993</v>
      </c>
      <c r="Z1021" s="14">
        <v>81</v>
      </c>
      <c r="AA1021" s="8" t="s">
        <v>4950</v>
      </c>
      <c r="AB1021" s="8" t="s">
        <v>4955</v>
      </c>
    </row>
    <row r="1022" spans="1:28" s="8" customFormat="1" ht="21.75" customHeight="1" x14ac:dyDescent="0.2">
      <c r="A1022" s="8" t="s">
        <v>4924</v>
      </c>
      <c r="B1022" s="8" t="s">
        <v>4926</v>
      </c>
      <c r="C1022" s="8" t="s">
        <v>4927</v>
      </c>
      <c r="D1022" s="8" t="s">
        <v>4938</v>
      </c>
      <c r="E1022" s="8" t="s">
        <v>263</v>
      </c>
      <c r="F1022" s="8" t="s">
        <v>4933</v>
      </c>
      <c r="G1022" s="8" t="s">
        <v>4935</v>
      </c>
      <c r="H1022" s="3" t="s">
        <v>4934</v>
      </c>
      <c r="I1022" s="8">
        <v>1.4</v>
      </c>
      <c r="J1022" s="8" t="s">
        <v>4930</v>
      </c>
      <c r="K1022" s="8" t="s">
        <v>4410</v>
      </c>
      <c r="L1022" s="14">
        <v>720</v>
      </c>
      <c r="M1022" s="14" t="s">
        <v>4931</v>
      </c>
      <c r="N1022" s="14">
        <v>1540</v>
      </c>
      <c r="O1022" s="110"/>
      <c r="P1022" s="4"/>
      <c r="Q1022" s="8" t="s">
        <v>4929</v>
      </c>
      <c r="R1022" s="8" t="s">
        <v>4928</v>
      </c>
      <c r="T1022" s="9"/>
      <c r="X1022" s="13">
        <v>27.666699999999999</v>
      </c>
      <c r="Y1022" s="13">
        <v>-98.200999999999993</v>
      </c>
      <c r="Z1022" s="14">
        <v>81</v>
      </c>
      <c r="AB1022" s="8" t="s">
        <v>4955</v>
      </c>
    </row>
    <row r="1023" spans="1:28" s="8" customFormat="1" ht="21.75" customHeight="1" x14ac:dyDescent="0.2">
      <c r="A1023" s="8" t="s">
        <v>4924</v>
      </c>
      <c r="B1023" s="8" t="s">
        <v>4926</v>
      </c>
      <c r="C1023" s="8" t="s">
        <v>4927</v>
      </c>
      <c r="D1023" s="8" t="s">
        <v>4954</v>
      </c>
      <c r="E1023" s="8" t="s">
        <v>398</v>
      </c>
      <c r="F1023" s="8" t="s">
        <v>470</v>
      </c>
      <c r="H1023" s="3"/>
      <c r="I1023" s="8">
        <v>1.8</v>
      </c>
      <c r="J1023" s="8" t="s">
        <v>4433</v>
      </c>
      <c r="K1023" s="8" t="s">
        <v>4410</v>
      </c>
      <c r="L1023" s="14">
        <v>720</v>
      </c>
      <c r="M1023" s="14" t="s">
        <v>4931</v>
      </c>
      <c r="N1023" s="14">
        <v>1540</v>
      </c>
      <c r="O1023" s="110"/>
      <c r="P1023" s="4"/>
      <c r="Q1023" s="8" t="s">
        <v>4929</v>
      </c>
      <c r="R1023" s="8" t="s">
        <v>4948</v>
      </c>
      <c r="S1023" s="8" t="s">
        <v>4925</v>
      </c>
      <c r="T1023" s="4">
        <v>0.4</v>
      </c>
      <c r="X1023" s="13">
        <v>27.671199999999999</v>
      </c>
      <c r="Y1023" s="13">
        <v>-98.198999999999998</v>
      </c>
      <c r="Z1023" s="14">
        <v>79</v>
      </c>
      <c r="AB1023" s="8" t="s">
        <v>4956</v>
      </c>
    </row>
    <row r="1024" spans="1:28" ht="21.75" customHeight="1" x14ac:dyDescent="0.2">
      <c r="A1024" s="7" t="s">
        <v>7289</v>
      </c>
      <c r="B1024" s="7" t="s">
        <v>7290</v>
      </c>
      <c r="C1024" s="7" t="s">
        <v>7291</v>
      </c>
      <c r="D1024" s="7" t="s">
        <v>7293</v>
      </c>
      <c r="E1024" s="7" t="s">
        <v>263</v>
      </c>
      <c r="F1024" s="7" t="s">
        <v>212</v>
      </c>
      <c r="G1024" s="7" t="s">
        <v>7306</v>
      </c>
      <c r="H1024" s="1" t="s">
        <v>7298</v>
      </c>
      <c r="I1024" s="7" t="s">
        <v>7295</v>
      </c>
      <c r="J1024" s="7" t="s">
        <v>7296</v>
      </c>
      <c r="K1024" s="7" t="s">
        <v>4410</v>
      </c>
      <c r="L1024" s="6">
        <v>1634</v>
      </c>
      <c r="M1024" s="6" t="s">
        <v>7292</v>
      </c>
      <c r="O1024" s="45" t="s">
        <v>7300</v>
      </c>
      <c r="Q1024" s="7" t="s">
        <v>7301</v>
      </c>
      <c r="R1024" s="7" t="s">
        <v>7304</v>
      </c>
      <c r="U1024" s="7" t="s">
        <v>7303</v>
      </c>
      <c r="V1024" s="2">
        <v>0.7</v>
      </c>
      <c r="W1024" s="7" t="s">
        <v>7299</v>
      </c>
      <c r="X1024" s="5">
        <v>16.3307</v>
      </c>
      <c r="Y1024" s="5">
        <v>102.74299999999999</v>
      </c>
      <c r="Z1024" s="6">
        <v>183</v>
      </c>
      <c r="AA1024" s="134" t="s">
        <v>7305</v>
      </c>
      <c r="AB1024" s="134" t="s">
        <v>7297</v>
      </c>
    </row>
    <row r="1025" spans="1:28" ht="21.75" customHeight="1" x14ac:dyDescent="0.2">
      <c r="A1025" s="7" t="s">
        <v>7289</v>
      </c>
      <c r="B1025" s="7" t="s">
        <v>7290</v>
      </c>
      <c r="C1025" s="7" t="s">
        <v>7291</v>
      </c>
      <c r="D1025" s="7" t="s">
        <v>7294</v>
      </c>
      <c r="E1025" s="7" t="s">
        <v>263</v>
      </c>
      <c r="F1025" s="7" t="s">
        <v>212</v>
      </c>
      <c r="G1025" s="7" t="s">
        <v>7306</v>
      </c>
      <c r="H1025" s="1" t="s">
        <v>7298</v>
      </c>
      <c r="I1025" s="7">
        <v>26</v>
      </c>
      <c r="J1025" s="7" t="s">
        <v>7296</v>
      </c>
      <c r="K1025" s="7" t="s">
        <v>4410</v>
      </c>
      <c r="L1025" s="6">
        <v>1634</v>
      </c>
      <c r="M1025" s="6" t="s">
        <v>7292</v>
      </c>
      <c r="O1025" s="45" t="s">
        <v>2978</v>
      </c>
      <c r="Q1025" s="7" t="s">
        <v>7302</v>
      </c>
      <c r="R1025" s="7" t="s">
        <v>7304</v>
      </c>
      <c r="U1025" s="7" t="s">
        <v>7303</v>
      </c>
      <c r="V1025" s="2">
        <v>2.5</v>
      </c>
      <c r="W1025" s="7" t="s">
        <v>7299</v>
      </c>
      <c r="X1025" s="5">
        <v>16.332999999999998</v>
      </c>
      <c r="Y1025" s="5">
        <v>102.7432</v>
      </c>
      <c r="Z1025" s="6">
        <v>177</v>
      </c>
      <c r="AA1025" s="135"/>
      <c r="AB1025" s="135"/>
    </row>
    <row r="1026" spans="1:28" s="8" customFormat="1" ht="21.75" customHeight="1" x14ac:dyDescent="0.2">
      <c r="A1026" s="8" t="s">
        <v>4957</v>
      </c>
      <c r="B1026" s="8" t="s">
        <v>4958</v>
      </c>
      <c r="C1026" s="8" t="s">
        <v>46</v>
      </c>
      <c r="E1026" s="8" t="s">
        <v>263</v>
      </c>
      <c r="F1026" s="8" t="s">
        <v>4932</v>
      </c>
      <c r="G1026" s="8" t="s">
        <v>4962</v>
      </c>
      <c r="H1026" s="3" t="s">
        <v>4961</v>
      </c>
      <c r="I1026" s="8" t="s">
        <v>4960</v>
      </c>
      <c r="J1026" s="8" t="s">
        <v>4367</v>
      </c>
      <c r="K1026" s="8" t="s">
        <v>4480</v>
      </c>
      <c r="L1026" s="14" t="s">
        <v>4959</v>
      </c>
      <c r="M1026" s="14"/>
      <c r="N1026" s="14"/>
      <c r="O1026" s="110" t="s">
        <v>4963</v>
      </c>
      <c r="P1026" s="131" t="s">
        <v>1030</v>
      </c>
      <c r="T1026" s="4"/>
      <c r="W1026" s="8" t="s">
        <v>94</v>
      </c>
      <c r="X1026" s="13">
        <v>-20.542000000000002</v>
      </c>
      <c r="Y1026" s="13">
        <v>-69.6584</v>
      </c>
      <c r="Z1026" s="14">
        <v>980</v>
      </c>
      <c r="AA1026" s="8" t="s">
        <v>4964</v>
      </c>
      <c r="AB1026" s="8" t="s">
        <v>4965</v>
      </c>
    </row>
    <row r="1027" spans="1:28" ht="21.75" customHeight="1" x14ac:dyDescent="0.2">
      <c r="A1027" s="7" t="s">
        <v>2911</v>
      </c>
      <c r="B1027" s="7" t="s">
        <v>2914</v>
      </c>
      <c r="C1027" s="7" t="s">
        <v>466</v>
      </c>
      <c r="D1027" s="7" t="s">
        <v>3174</v>
      </c>
      <c r="E1027" s="7" t="s">
        <v>263</v>
      </c>
      <c r="F1027" s="7" t="s">
        <v>214</v>
      </c>
      <c r="G1027" s="7" t="s">
        <v>535</v>
      </c>
      <c r="H1027" s="1" t="s">
        <v>2913</v>
      </c>
      <c r="I1027" s="7">
        <v>2.25</v>
      </c>
      <c r="J1027" s="7" t="s">
        <v>5789</v>
      </c>
      <c r="K1027" s="7" t="s">
        <v>5790</v>
      </c>
      <c r="L1027" s="6">
        <v>600</v>
      </c>
      <c r="Q1027" s="7" t="s">
        <v>2916</v>
      </c>
      <c r="R1027" s="7" t="s">
        <v>2915</v>
      </c>
      <c r="T1027" s="18"/>
      <c r="X1027" s="5">
        <v>28.451899999999998</v>
      </c>
      <c r="Y1027" s="5">
        <v>-99.184100000000001</v>
      </c>
      <c r="Z1027" s="6">
        <v>148</v>
      </c>
      <c r="AA1027" s="7" t="s">
        <v>2917</v>
      </c>
      <c r="AB1027" s="7" t="s">
        <v>2912</v>
      </c>
    </row>
    <row r="1028" spans="1:28" s="8" customFormat="1" ht="21.75" customHeight="1" x14ac:dyDescent="0.2">
      <c r="A1028" s="8" t="s">
        <v>4966</v>
      </c>
      <c r="B1028" s="8" t="s">
        <v>4972</v>
      </c>
      <c r="C1028" s="8" t="s">
        <v>4971</v>
      </c>
      <c r="D1028" s="8" t="s">
        <v>4975</v>
      </c>
      <c r="E1028" s="8" t="s">
        <v>5961</v>
      </c>
      <c r="F1028" s="8" t="s">
        <v>1302</v>
      </c>
      <c r="H1028" s="3" t="s">
        <v>4976</v>
      </c>
      <c r="I1028" s="8">
        <v>1</v>
      </c>
      <c r="J1028" s="8" t="s">
        <v>4970</v>
      </c>
      <c r="K1028" s="8" t="s">
        <v>4410</v>
      </c>
      <c r="L1028" s="14">
        <v>1200</v>
      </c>
      <c r="M1028" s="14" t="s">
        <v>4967</v>
      </c>
      <c r="N1028" s="14"/>
      <c r="O1028" s="110" t="s">
        <v>4981</v>
      </c>
      <c r="P1028" s="4"/>
      <c r="R1028" s="8" t="s">
        <v>4969</v>
      </c>
      <c r="T1028" s="9"/>
      <c r="W1028" s="8" t="s">
        <v>4973</v>
      </c>
      <c r="X1028" s="13">
        <v>6.2188999999999997</v>
      </c>
      <c r="Y1028" s="13">
        <v>-5.0244999999999997</v>
      </c>
      <c r="Z1028" s="14">
        <v>95</v>
      </c>
      <c r="AA1028" s="8" t="s">
        <v>4980</v>
      </c>
      <c r="AB1028" s="8" t="s">
        <v>4978</v>
      </c>
    </row>
    <row r="1029" spans="1:28" s="8" customFormat="1" ht="21.75" customHeight="1" x14ac:dyDescent="0.2">
      <c r="A1029" s="8" t="s">
        <v>4966</v>
      </c>
      <c r="B1029" s="8" t="s">
        <v>4972</v>
      </c>
      <c r="C1029" s="8" t="s">
        <v>4971</v>
      </c>
      <c r="D1029" s="8" t="s">
        <v>4977</v>
      </c>
      <c r="E1029" s="8" t="s">
        <v>5961</v>
      </c>
      <c r="F1029" s="8" t="s">
        <v>1302</v>
      </c>
      <c r="H1029" s="3" t="s">
        <v>4976</v>
      </c>
      <c r="I1029" s="8">
        <v>1.2</v>
      </c>
      <c r="J1029" s="8" t="s">
        <v>4970</v>
      </c>
      <c r="K1029" s="8" t="s">
        <v>4410</v>
      </c>
      <c r="L1029" s="14">
        <v>1200</v>
      </c>
      <c r="M1029" s="14" t="s">
        <v>4967</v>
      </c>
      <c r="N1029" s="14"/>
      <c r="O1029" s="110" t="s">
        <v>4982</v>
      </c>
      <c r="P1029" s="4"/>
      <c r="R1029" s="8" t="s">
        <v>4969</v>
      </c>
      <c r="T1029" s="9"/>
      <c r="W1029" s="8" t="s">
        <v>4973</v>
      </c>
      <c r="X1029" s="13">
        <v>6.2192999999999996</v>
      </c>
      <c r="Y1029" s="13">
        <v>-5.0191999999999997</v>
      </c>
      <c r="Z1029" s="14">
        <v>83</v>
      </c>
      <c r="AA1029" s="8" t="s">
        <v>4983</v>
      </c>
      <c r="AB1029" s="8" t="s">
        <v>4979</v>
      </c>
    </row>
    <row r="1030" spans="1:28" s="8" customFormat="1" ht="21.75" customHeight="1" x14ac:dyDescent="0.2">
      <c r="A1030" s="8" t="s">
        <v>4966</v>
      </c>
      <c r="B1030" s="8" t="s">
        <v>4972</v>
      </c>
      <c r="C1030" s="8" t="s">
        <v>4971</v>
      </c>
      <c r="D1030" s="8" t="s">
        <v>4975</v>
      </c>
      <c r="E1030" s="8" t="s">
        <v>398</v>
      </c>
      <c r="F1030" s="8" t="s">
        <v>4974</v>
      </c>
      <c r="H1030" s="3" t="s">
        <v>4968</v>
      </c>
      <c r="I1030" s="8">
        <v>0.75</v>
      </c>
      <c r="J1030" s="8" t="s">
        <v>4970</v>
      </c>
      <c r="K1030" s="8" t="s">
        <v>4410</v>
      </c>
      <c r="L1030" s="14">
        <v>1200</v>
      </c>
      <c r="M1030" s="14" t="s">
        <v>4967</v>
      </c>
      <c r="N1030" s="14"/>
      <c r="O1030" s="110" t="s">
        <v>4981</v>
      </c>
      <c r="P1030" s="4"/>
      <c r="R1030" s="8" t="s">
        <v>4969</v>
      </c>
      <c r="T1030" s="9"/>
      <c r="W1030" s="8" t="s">
        <v>4973</v>
      </c>
      <c r="X1030" s="13">
        <v>6.2188999999999997</v>
      </c>
      <c r="Y1030" s="13">
        <v>-5.0244999999999997</v>
      </c>
      <c r="Z1030" s="14">
        <v>95</v>
      </c>
      <c r="AB1030" s="8" t="s">
        <v>4984</v>
      </c>
    </row>
    <row r="1031" spans="1:28" s="8" customFormat="1" ht="21.75" customHeight="1" x14ac:dyDescent="0.2">
      <c r="A1031" s="8" t="s">
        <v>4966</v>
      </c>
      <c r="B1031" s="8" t="s">
        <v>4972</v>
      </c>
      <c r="C1031" s="8" t="s">
        <v>4971</v>
      </c>
      <c r="D1031" s="8" t="s">
        <v>4977</v>
      </c>
      <c r="E1031" s="8" t="s">
        <v>398</v>
      </c>
      <c r="F1031" s="8" t="s">
        <v>4974</v>
      </c>
      <c r="H1031" s="3" t="s">
        <v>4968</v>
      </c>
      <c r="I1031" s="8">
        <v>0.8</v>
      </c>
      <c r="J1031" s="8" t="s">
        <v>4970</v>
      </c>
      <c r="K1031" s="8" t="s">
        <v>4410</v>
      </c>
      <c r="L1031" s="14">
        <v>1200</v>
      </c>
      <c r="M1031" s="14" t="s">
        <v>4967</v>
      </c>
      <c r="N1031" s="14"/>
      <c r="O1031" s="110" t="s">
        <v>4982</v>
      </c>
      <c r="P1031" s="4"/>
      <c r="R1031" s="8" t="s">
        <v>4969</v>
      </c>
      <c r="T1031" s="9"/>
      <c r="W1031" s="8" t="s">
        <v>4973</v>
      </c>
      <c r="X1031" s="13">
        <v>6.2192999999999996</v>
      </c>
      <c r="Y1031" s="13">
        <v>-5.0191999999999997</v>
      </c>
      <c r="Z1031" s="14">
        <v>83</v>
      </c>
    </row>
    <row r="1032" spans="1:28" ht="21.75" customHeight="1" x14ac:dyDescent="0.2">
      <c r="A1032" s="7" t="s">
        <v>4001</v>
      </c>
      <c r="B1032" s="7" t="s">
        <v>4003</v>
      </c>
      <c r="C1032" s="7" t="s">
        <v>760</v>
      </c>
      <c r="D1032" s="7" t="s">
        <v>4005</v>
      </c>
      <c r="E1032" s="7" t="s">
        <v>263</v>
      </c>
      <c r="F1032" s="7" t="s">
        <v>212</v>
      </c>
      <c r="G1032" s="7" t="s">
        <v>4004</v>
      </c>
      <c r="H1032" s="1" t="s">
        <v>4002</v>
      </c>
      <c r="I1032" s="7">
        <v>0.8</v>
      </c>
      <c r="J1032" s="7" t="s">
        <v>4433</v>
      </c>
      <c r="K1032" s="7" t="s">
        <v>5791</v>
      </c>
      <c r="L1032" s="6">
        <v>3500</v>
      </c>
      <c r="M1032" s="6" t="s">
        <v>4006</v>
      </c>
      <c r="R1032" s="7" t="s">
        <v>4007</v>
      </c>
      <c r="T1032" s="18"/>
      <c r="X1032" s="5">
        <v>-40.651800000000001</v>
      </c>
      <c r="Y1032" s="5">
        <v>-72.147999999999996</v>
      </c>
      <c r="Z1032" s="6">
        <v>580</v>
      </c>
      <c r="AA1032" s="7" t="s">
        <v>4008</v>
      </c>
      <c r="AB1032" s="7" t="s">
        <v>4009</v>
      </c>
    </row>
    <row r="1033" spans="1:28" s="8" customFormat="1" ht="21.75" customHeight="1" x14ac:dyDescent="0.2">
      <c r="A1033" s="8" t="s">
        <v>7307</v>
      </c>
      <c r="B1033" s="8" t="s">
        <v>7266</v>
      </c>
      <c r="C1033" s="8" t="s">
        <v>7265</v>
      </c>
      <c r="D1033" s="8" t="s">
        <v>7314</v>
      </c>
      <c r="E1033" s="8" t="s">
        <v>280</v>
      </c>
      <c r="F1033" s="8" t="s">
        <v>212</v>
      </c>
      <c r="G1033" s="8" t="s">
        <v>7309</v>
      </c>
      <c r="H1033" s="3" t="s">
        <v>7308</v>
      </c>
      <c r="I1033" s="8">
        <v>3</v>
      </c>
      <c r="J1033" s="8" t="s">
        <v>7310</v>
      </c>
      <c r="K1033" s="8" t="s">
        <v>4410</v>
      </c>
      <c r="L1033" s="14">
        <v>1172</v>
      </c>
      <c r="M1033" s="14" t="s">
        <v>5167</v>
      </c>
      <c r="N1033" s="14"/>
      <c r="O1033" s="110"/>
      <c r="P1033" s="4" t="s">
        <v>483</v>
      </c>
      <c r="Q1033" s="4">
        <v>3.5</v>
      </c>
      <c r="R1033" s="8" t="s">
        <v>7311</v>
      </c>
      <c r="W1033" s="8" t="s">
        <v>94</v>
      </c>
      <c r="X1033" s="13">
        <v>44.029699999999998</v>
      </c>
      <c r="Y1033" s="13">
        <v>4.1661000000000001</v>
      </c>
      <c r="Z1033" s="14">
        <v>138</v>
      </c>
      <c r="AA1033" s="8" t="s">
        <v>7312</v>
      </c>
      <c r="AB1033" s="8" t="s">
        <v>7313</v>
      </c>
    </row>
    <row r="1034" spans="1:28" ht="21.75" customHeight="1" x14ac:dyDescent="0.2">
      <c r="A1034" s="7" t="s">
        <v>3167</v>
      </c>
      <c r="B1034" s="7" t="s">
        <v>3168</v>
      </c>
      <c r="C1034" s="7" t="s">
        <v>3171</v>
      </c>
      <c r="E1034" s="7" t="s">
        <v>280</v>
      </c>
      <c r="F1034" s="7" t="s">
        <v>212</v>
      </c>
      <c r="G1034" s="7" t="s">
        <v>1887</v>
      </c>
      <c r="H1034" s="1" t="s">
        <v>3170</v>
      </c>
      <c r="I1034" s="7">
        <v>0.111</v>
      </c>
      <c r="J1034" s="7" t="s">
        <v>4404</v>
      </c>
      <c r="K1034" s="7" t="s">
        <v>4480</v>
      </c>
      <c r="L1034" s="6">
        <v>475</v>
      </c>
      <c r="R1034" s="7" t="s">
        <v>3175</v>
      </c>
      <c r="T1034" s="18"/>
      <c r="X1034" s="5">
        <v>51.2149</v>
      </c>
      <c r="Y1034" s="5">
        <v>-101.3327</v>
      </c>
      <c r="Z1034" s="6">
        <v>552</v>
      </c>
      <c r="AB1034" s="139" t="s">
        <v>3169</v>
      </c>
    </row>
    <row r="1035" spans="1:28" ht="21.75" customHeight="1" x14ac:dyDescent="0.2">
      <c r="A1035" s="7" t="s">
        <v>3167</v>
      </c>
      <c r="B1035" s="7" t="s">
        <v>3168</v>
      </c>
      <c r="C1035" s="7" t="s">
        <v>3171</v>
      </c>
      <c r="E1035" s="7" t="s">
        <v>280</v>
      </c>
      <c r="F1035" s="7" t="s">
        <v>214</v>
      </c>
      <c r="G1035" s="7" t="s">
        <v>3173</v>
      </c>
      <c r="H1035" s="1" t="s">
        <v>3172</v>
      </c>
      <c r="I1035" s="7">
        <v>8.1000000000000003E-2</v>
      </c>
      <c r="J1035" s="7" t="s">
        <v>4404</v>
      </c>
      <c r="K1035" s="7" t="s">
        <v>4480</v>
      </c>
      <c r="L1035" s="6">
        <v>475</v>
      </c>
      <c r="R1035" s="7" t="s">
        <v>3175</v>
      </c>
      <c r="T1035" s="18"/>
      <c r="X1035" s="5">
        <v>51.2149</v>
      </c>
      <c r="Y1035" s="5">
        <v>-101.3327</v>
      </c>
      <c r="Z1035" s="6">
        <v>552</v>
      </c>
      <c r="AB1035" s="139"/>
    </row>
    <row r="1036" spans="1:28" s="82" customFormat="1" ht="21.75" customHeight="1" x14ac:dyDescent="0.2">
      <c r="A1036" s="82" t="s">
        <v>7739</v>
      </c>
      <c r="B1036" s="82" t="s">
        <v>7738</v>
      </c>
      <c r="C1036" s="82" t="s">
        <v>5258</v>
      </c>
      <c r="D1036" s="82" t="s">
        <v>7740</v>
      </c>
      <c r="E1036" s="82" t="s">
        <v>280</v>
      </c>
      <c r="F1036" s="82" t="s">
        <v>212</v>
      </c>
      <c r="G1036" s="82" t="s">
        <v>7743</v>
      </c>
      <c r="H1036" s="83" t="s">
        <v>7741</v>
      </c>
      <c r="I1036" s="82">
        <v>13</v>
      </c>
      <c r="J1036" s="82" t="s">
        <v>7742</v>
      </c>
      <c r="K1036" s="82" t="s">
        <v>4480</v>
      </c>
      <c r="L1036" s="85"/>
      <c r="M1036" s="85"/>
      <c r="N1036" s="85"/>
      <c r="O1036" s="116"/>
      <c r="P1036" s="84"/>
      <c r="R1036" s="82" t="s">
        <v>7744</v>
      </c>
      <c r="T1036" s="127"/>
      <c r="U1036" s="82" t="s">
        <v>3396</v>
      </c>
      <c r="X1036" s="86">
        <f>45+38/60</f>
        <v>45.633333333333333</v>
      </c>
      <c r="Y1036" s="86">
        <f>13+52/60</f>
        <v>13.866666666666667</v>
      </c>
      <c r="Z1036" s="85">
        <v>400</v>
      </c>
      <c r="AA1036" s="82" t="s">
        <v>7745</v>
      </c>
      <c r="AB1036" s="82" t="s">
        <v>7746</v>
      </c>
    </row>
    <row r="1037" spans="1:28" ht="21.75" customHeight="1" x14ac:dyDescent="0.2">
      <c r="A1037" s="7" t="s">
        <v>1360</v>
      </c>
      <c r="B1037" s="7" t="s">
        <v>1020</v>
      </c>
      <c r="C1037" s="7" t="s">
        <v>284</v>
      </c>
      <c r="D1037" s="7" t="s">
        <v>1361</v>
      </c>
      <c r="E1037" s="7" t="s">
        <v>263</v>
      </c>
      <c r="F1037" s="7" t="s">
        <v>212</v>
      </c>
      <c r="H1037" s="1" t="s">
        <v>1025</v>
      </c>
      <c r="I1037" s="7">
        <v>12</v>
      </c>
      <c r="J1037" s="7" t="s">
        <v>5776</v>
      </c>
      <c r="K1037" s="7" t="s">
        <v>4410</v>
      </c>
      <c r="L1037" s="6">
        <v>1803</v>
      </c>
      <c r="M1037" s="6">
        <v>6</v>
      </c>
      <c r="N1037" s="6">
        <v>2400</v>
      </c>
      <c r="O1037" s="45" t="s">
        <v>1366</v>
      </c>
      <c r="R1037" s="7" t="s">
        <v>1364</v>
      </c>
      <c r="T1037" s="18"/>
      <c r="W1037" s="7" t="s">
        <v>1365</v>
      </c>
      <c r="X1037" s="5">
        <v>-2.927</v>
      </c>
      <c r="Y1037" s="5">
        <v>-47.358800000000002</v>
      </c>
      <c r="Z1037" s="6">
        <v>130</v>
      </c>
      <c r="AA1037" s="7" t="s">
        <v>1363</v>
      </c>
      <c r="AB1037" s="7" t="s">
        <v>1362</v>
      </c>
    </row>
    <row r="1038" spans="1:28" s="8" customFormat="1" ht="21.75" customHeight="1" x14ac:dyDescent="0.2">
      <c r="A1038" s="8" t="s">
        <v>6576</v>
      </c>
      <c r="B1038" s="8" t="s">
        <v>6605</v>
      </c>
      <c r="C1038" s="8" t="s">
        <v>188</v>
      </c>
      <c r="D1038" s="8" t="s">
        <v>6577</v>
      </c>
      <c r="E1038" s="8" t="s">
        <v>398</v>
      </c>
      <c r="F1038" s="8" t="s">
        <v>6606</v>
      </c>
      <c r="H1038" s="3" t="s">
        <v>6578</v>
      </c>
      <c r="I1038" s="8">
        <v>0.3</v>
      </c>
      <c r="J1038" s="8" t="s">
        <v>4637</v>
      </c>
      <c r="K1038" s="8" t="s">
        <v>4480</v>
      </c>
      <c r="L1038" s="14"/>
      <c r="M1038" s="14"/>
      <c r="N1038" s="14"/>
      <c r="O1038" s="110" t="s">
        <v>6540</v>
      </c>
      <c r="P1038" s="4"/>
      <c r="T1038" s="9"/>
      <c r="X1038" s="13">
        <v>43.072200000000002</v>
      </c>
      <c r="Y1038" s="13">
        <v>77.065100000000001</v>
      </c>
      <c r="Z1038" s="14">
        <v>3470</v>
      </c>
      <c r="AA1038" s="132" t="s">
        <v>6626</v>
      </c>
      <c r="AB1038" s="8" t="s">
        <v>6630</v>
      </c>
    </row>
    <row r="1039" spans="1:28" s="8" customFormat="1" ht="21.75" customHeight="1" x14ac:dyDescent="0.2">
      <c r="A1039" s="8" t="s">
        <v>6576</v>
      </c>
      <c r="B1039" s="8" t="s">
        <v>6605</v>
      </c>
      <c r="C1039" s="8" t="s">
        <v>188</v>
      </c>
      <c r="D1039" s="8" t="s">
        <v>6577</v>
      </c>
      <c r="E1039" s="8" t="s">
        <v>398</v>
      </c>
      <c r="F1039" s="8" t="s">
        <v>6607</v>
      </c>
      <c r="H1039" s="3" t="s">
        <v>6579</v>
      </c>
      <c r="I1039" s="8">
        <v>0.55000000000000004</v>
      </c>
      <c r="J1039" s="8" t="s">
        <v>4637</v>
      </c>
      <c r="K1039" s="8" t="s">
        <v>4480</v>
      </c>
      <c r="L1039" s="14"/>
      <c r="M1039" s="14"/>
      <c r="N1039" s="14"/>
      <c r="O1039" s="110" t="s">
        <v>6540</v>
      </c>
      <c r="P1039" s="4"/>
      <c r="T1039" s="9"/>
      <c r="X1039" s="13">
        <v>43.072200000000002</v>
      </c>
      <c r="Y1039" s="13">
        <v>77.065100000000001</v>
      </c>
      <c r="Z1039" s="14">
        <v>3470</v>
      </c>
      <c r="AA1039" s="137"/>
      <c r="AB1039" s="8" t="s">
        <v>6630</v>
      </c>
    </row>
    <row r="1040" spans="1:28" s="8" customFormat="1" ht="21.75" customHeight="1" x14ac:dyDescent="0.2">
      <c r="A1040" s="8" t="s">
        <v>6576</v>
      </c>
      <c r="B1040" s="8" t="s">
        <v>6605</v>
      </c>
      <c r="C1040" s="8" t="s">
        <v>188</v>
      </c>
      <c r="D1040" s="8" t="s">
        <v>6577</v>
      </c>
      <c r="E1040" s="8" t="s">
        <v>398</v>
      </c>
      <c r="F1040" s="8" t="s">
        <v>6607</v>
      </c>
      <c r="H1040" s="3" t="s">
        <v>6580</v>
      </c>
      <c r="I1040" s="8">
        <v>0.38</v>
      </c>
      <c r="J1040" s="8" t="s">
        <v>4637</v>
      </c>
      <c r="K1040" s="8" t="s">
        <v>4480</v>
      </c>
      <c r="L1040" s="14"/>
      <c r="M1040" s="14"/>
      <c r="N1040" s="14"/>
      <c r="O1040" s="110" t="s">
        <v>6540</v>
      </c>
      <c r="P1040" s="4"/>
      <c r="T1040" s="9"/>
      <c r="X1040" s="13">
        <v>43.072200000000002</v>
      </c>
      <c r="Y1040" s="13">
        <v>77.065100000000001</v>
      </c>
      <c r="Z1040" s="14">
        <v>3470</v>
      </c>
      <c r="AA1040" s="137"/>
      <c r="AB1040" s="8" t="s">
        <v>6630</v>
      </c>
    </row>
    <row r="1041" spans="1:28" s="8" customFormat="1" ht="21.75" customHeight="1" x14ac:dyDescent="0.2">
      <c r="A1041" s="8" t="s">
        <v>6576</v>
      </c>
      <c r="B1041" s="8" t="s">
        <v>6605</v>
      </c>
      <c r="C1041" s="8" t="s">
        <v>188</v>
      </c>
      <c r="D1041" s="8" t="s">
        <v>6577</v>
      </c>
      <c r="E1041" s="8" t="s">
        <v>398</v>
      </c>
      <c r="F1041" s="8" t="s">
        <v>6607</v>
      </c>
      <c r="G1041" s="8" t="s">
        <v>6608</v>
      </c>
      <c r="H1041" s="3" t="s">
        <v>6581</v>
      </c>
      <c r="I1041" s="8">
        <v>0.35</v>
      </c>
      <c r="J1041" s="8" t="s">
        <v>4637</v>
      </c>
      <c r="K1041" s="8" t="s">
        <v>4480</v>
      </c>
      <c r="L1041" s="14"/>
      <c r="M1041" s="14"/>
      <c r="N1041" s="14"/>
      <c r="O1041" s="110" t="s">
        <v>6540</v>
      </c>
      <c r="P1041" s="4"/>
      <c r="T1041" s="9"/>
      <c r="X1041" s="13">
        <v>43.072200000000002</v>
      </c>
      <c r="Y1041" s="13">
        <v>77.065100000000001</v>
      </c>
      <c r="Z1041" s="14">
        <v>3470</v>
      </c>
      <c r="AA1041" s="137"/>
      <c r="AB1041" s="8" t="s">
        <v>6630</v>
      </c>
    </row>
    <row r="1042" spans="1:28" s="8" customFormat="1" ht="21.75" customHeight="1" x14ac:dyDescent="0.2">
      <c r="A1042" s="8" t="s">
        <v>6576</v>
      </c>
      <c r="B1042" s="8" t="s">
        <v>6605</v>
      </c>
      <c r="C1042" s="8" t="s">
        <v>188</v>
      </c>
      <c r="D1042" s="8" t="s">
        <v>6577</v>
      </c>
      <c r="E1042" s="8" t="s">
        <v>398</v>
      </c>
      <c r="F1042" s="8" t="s">
        <v>6607</v>
      </c>
      <c r="H1042" s="3" t="s">
        <v>6582</v>
      </c>
      <c r="I1042" s="8">
        <v>0.23</v>
      </c>
      <c r="J1042" s="8" t="s">
        <v>4637</v>
      </c>
      <c r="K1042" s="8" t="s">
        <v>4480</v>
      </c>
      <c r="L1042" s="14"/>
      <c r="M1042" s="14"/>
      <c r="N1042" s="14"/>
      <c r="O1042" s="110" t="s">
        <v>6540</v>
      </c>
      <c r="P1042" s="4"/>
      <c r="T1042" s="9"/>
      <c r="X1042" s="13">
        <v>43.072200000000002</v>
      </c>
      <c r="Y1042" s="13">
        <v>77.065100000000001</v>
      </c>
      <c r="Z1042" s="14">
        <v>3470</v>
      </c>
      <c r="AA1042" s="137"/>
      <c r="AB1042" s="8" t="s">
        <v>6630</v>
      </c>
    </row>
    <row r="1043" spans="1:28" s="8" customFormat="1" ht="21.75" customHeight="1" x14ac:dyDescent="0.2">
      <c r="A1043" s="8" t="s">
        <v>6576</v>
      </c>
      <c r="B1043" s="8" t="s">
        <v>6605</v>
      </c>
      <c r="C1043" s="8" t="s">
        <v>188</v>
      </c>
      <c r="D1043" s="8" t="s">
        <v>6577</v>
      </c>
      <c r="E1043" s="8" t="s">
        <v>398</v>
      </c>
      <c r="F1043" s="8" t="s">
        <v>62</v>
      </c>
      <c r="H1043" s="3" t="s">
        <v>6583</v>
      </c>
      <c r="I1043" s="8">
        <v>0.16</v>
      </c>
      <c r="J1043" s="8" t="s">
        <v>4637</v>
      </c>
      <c r="K1043" s="8" t="s">
        <v>4480</v>
      </c>
      <c r="L1043" s="14"/>
      <c r="M1043" s="14"/>
      <c r="N1043" s="14"/>
      <c r="O1043" s="110" t="s">
        <v>6540</v>
      </c>
      <c r="P1043" s="4"/>
      <c r="T1043" s="9"/>
      <c r="X1043" s="13">
        <v>43.072200000000002</v>
      </c>
      <c r="Y1043" s="13">
        <v>77.065100000000001</v>
      </c>
      <c r="Z1043" s="14">
        <v>3470</v>
      </c>
      <c r="AA1043" s="133"/>
      <c r="AB1043" s="8" t="s">
        <v>6630</v>
      </c>
    </row>
    <row r="1044" spans="1:28" s="8" customFormat="1" ht="21.75" customHeight="1" x14ac:dyDescent="0.2">
      <c r="A1044" s="8" t="s">
        <v>6576</v>
      </c>
      <c r="B1044" s="8" t="s">
        <v>6605</v>
      </c>
      <c r="C1044" s="8" t="s">
        <v>188</v>
      </c>
      <c r="D1044" s="8" t="s">
        <v>6584</v>
      </c>
      <c r="E1044" s="8" t="s">
        <v>33</v>
      </c>
      <c r="F1044" s="8" t="s">
        <v>6612</v>
      </c>
      <c r="G1044" s="8" t="s">
        <v>6609</v>
      </c>
      <c r="H1044" s="3" t="s">
        <v>6585</v>
      </c>
      <c r="I1044" s="8">
        <v>1.6</v>
      </c>
      <c r="J1044" s="8" t="s">
        <v>4637</v>
      </c>
      <c r="K1044" s="8" t="s">
        <v>4480</v>
      </c>
      <c r="L1044" s="14"/>
      <c r="M1044" s="14"/>
      <c r="N1044" s="14"/>
      <c r="O1044" s="110" t="s">
        <v>6623</v>
      </c>
      <c r="P1044" s="4"/>
      <c r="T1044" s="9"/>
      <c r="X1044" s="13">
        <v>43.110199999999999</v>
      </c>
      <c r="Y1044" s="13">
        <v>77.078000000000003</v>
      </c>
      <c r="Z1044" s="14">
        <v>2540</v>
      </c>
      <c r="AA1044" s="132" t="s">
        <v>6627</v>
      </c>
      <c r="AB1044" s="8" t="s">
        <v>6631</v>
      </c>
    </row>
    <row r="1045" spans="1:28" s="8" customFormat="1" ht="21.75" customHeight="1" x14ac:dyDescent="0.2">
      <c r="A1045" s="8" t="s">
        <v>6576</v>
      </c>
      <c r="B1045" s="8" t="s">
        <v>6605</v>
      </c>
      <c r="C1045" s="8" t="s">
        <v>188</v>
      </c>
      <c r="D1045" s="8" t="s">
        <v>6584</v>
      </c>
      <c r="E1045" s="8" t="s">
        <v>398</v>
      </c>
      <c r="F1045" s="8" t="s">
        <v>6049</v>
      </c>
      <c r="H1045" s="3" t="s">
        <v>6586</v>
      </c>
      <c r="I1045" s="8">
        <v>0.55000000000000004</v>
      </c>
      <c r="J1045" s="8" t="s">
        <v>4637</v>
      </c>
      <c r="K1045" s="8" t="s">
        <v>4480</v>
      </c>
      <c r="L1045" s="14"/>
      <c r="M1045" s="14"/>
      <c r="N1045" s="14"/>
      <c r="O1045" s="110" t="s">
        <v>6623</v>
      </c>
      <c r="P1045" s="4"/>
      <c r="T1045" s="9"/>
      <c r="X1045" s="13">
        <v>43.110199999999999</v>
      </c>
      <c r="Y1045" s="13">
        <v>77.078000000000003</v>
      </c>
      <c r="Z1045" s="14">
        <v>2540</v>
      </c>
      <c r="AA1045" s="137"/>
      <c r="AB1045" s="8" t="s">
        <v>6631</v>
      </c>
    </row>
    <row r="1046" spans="1:28" s="8" customFormat="1" ht="21.75" customHeight="1" x14ac:dyDescent="0.2">
      <c r="A1046" s="8" t="s">
        <v>6576</v>
      </c>
      <c r="B1046" s="8" t="s">
        <v>6605</v>
      </c>
      <c r="C1046" s="8" t="s">
        <v>188</v>
      </c>
      <c r="D1046" s="8" t="s">
        <v>6584</v>
      </c>
      <c r="E1046" s="8" t="s">
        <v>398</v>
      </c>
      <c r="F1046" s="8" t="s">
        <v>6607</v>
      </c>
      <c r="H1046" s="3" t="s">
        <v>6587</v>
      </c>
      <c r="I1046" s="8">
        <v>0.37</v>
      </c>
      <c r="J1046" s="8" t="s">
        <v>4637</v>
      </c>
      <c r="K1046" s="8" t="s">
        <v>4480</v>
      </c>
      <c r="L1046" s="14"/>
      <c r="M1046" s="14"/>
      <c r="N1046" s="14"/>
      <c r="O1046" s="110" t="s">
        <v>6623</v>
      </c>
      <c r="P1046" s="4"/>
      <c r="T1046" s="9"/>
      <c r="X1046" s="13">
        <v>43.110199999999999</v>
      </c>
      <c r="Y1046" s="13">
        <v>77.078000000000003</v>
      </c>
      <c r="Z1046" s="14">
        <v>2540</v>
      </c>
      <c r="AA1046" s="137"/>
      <c r="AB1046" s="8" t="s">
        <v>6631</v>
      </c>
    </row>
    <row r="1047" spans="1:28" s="8" customFormat="1" ht="21.75" customHeight="1" x14ac:dyDescent="0.2">
      <c r="A1047" s="8" t="s">
        <v>6576</v>
      </c>
      <c r="B1047" s="8" t="s">
        <v>6605</v>
      </c>
      <c r="C1047" s="8" t="s">
        <v>188</v>
      </c>
      <c r="D1047" s="8" t="s">
        <v>6584</v>
      </c>
      <c r="E1047" s="8" t="s">
        <v>398</v>
      </c>
      <c r="F1047" s="8" t="s">
        <v>2755</v>
      </c>
      <c r="G1047" s="8" t="s">
        <v>6610</v>
      </c>
      <c r="H1047" s="3" t="s">
        <v>6588</v>
      </c>
      <c r="I1047" s="8">
        <v>0.38</v>
      </c>
      <c r="J1047" s="8" t="s">
        <v>4637</v>
      </c>
      <c r="K1047" s="8" t="s">
        <v>4480</v>
      </c>
      <c r="L1047" s="14"/>
      <c r="M1047" s="14"/>
      <c r="N1047" s="14"/>
      <c r="O1047" s="110" t="s">
        <v>6623</v>
      </c>
      <c r="P1047" s="4"/>
      <c r="T1047" s="9"/>
      <c r="X1047" s="13">
        <v>43.110199999999999</v>
      </c>
      <c r="Y1047" s="13">
        <v>77.078000000000003</v>
      </c>
      <c r="Z1047" s="14">
        <v>2540</v>
      </c>
      <c r="AA1047" s="137"/>
      <c r="AB1047" s="8" t="s">
        <v>6631</v>
      </c>
    </row>
    <row r="1048" spans="1:28" s="8" customFormat="1" ht="21.75" customHeight="1" x14ac:dyDescent="0.2">
      <c r="A1048" s="8" t="s">
        <v>6576</v>
      </c>
      <c r="B1048" s="8" t="s">
        <v>6605</v>
      </c>
      <c r="C1048" s="8" t="s">
        <v>188</v>
      </c>
      <c r="D1048" s="8" t="s">
        <v>6584</v>
      </c>
      <c r="E1048" s="8" t="s">
        <v>398</v>
      </c>
      <c r="F1048" s="8" t="s">
        <v>6607</v>
      </c>
      <c r="H1048" s="3" t="s">
        <v>6589</v>
      </c>
      <c r="I1048" s="8">
        <v>0.06</v>
      </c>
      <c r="J1048" s="8" t="s">
        <v>4637</v>
      </c>
      <c r="K1048" s="8" t="s">
        <v>4480</v>
      </c>
      <c r="L1048" s="14"/>
      <c r="M1048" s="14"/>
      <c r="N1048" s="14"/>
      <c r="O1048" s="110" t="s">
        <v>6623</v>
      </c>
      <c r="P1048" s="4"/>
      <c r="T1048" s="9"/>
      <c r="X1048" s="13">
        <v>43.110199999999999</v>
      </c>
      <c r="Y1048" s="13">
        <v>77.078000000000003</v>
      </c>
      <c r="Z1048" s="14">
        <v>2540</v>
      </c>
      <c r="AA1048" s="133"/>
      <c r="AB1048" s="8" t="s">
        <v>6631</v>
      </c>
    </row>
    <row r="1049" spans="1:28" s="8" customFormat="1" ht="21.75" customHeight="1" x14ac:dyDescent="0.2">
      <c r="A1049" s="8" t="s">
        <v>6576</v>
      </c>
      <c r="B1049" s="8" t="s">
        <v>6605</v>
      </c>
      <c r="C1049" s="8" t="s">
        <v>188</v>
      </c>
      <c r="D1049" s="8" t="s">
        <v>6590</v>
      </c>
      <c r="E1049" s="8" t="s">
        <v>33</v>
      </c>
      <c r="F1049" s="8" t="s">
        <v>212</v>
      </c>
      <c r="G1049" s="8" t="s">
        <v>6611</v>
      </c>
      <c r="H1049" s="3" t="s">
        <v>6591</v>
      </c>
      <c r="I1049" s="8">
        <v>1.5</v>
      </c>
      <c r="J1049" s="8" t="s">
        <v>4637</v>
      </c>
      <c r="K1049" s="8" t="s">
        <v>4480</v>
      </c>
      <c r="L1049" s="14"/>
      <c r="M1049" s="14"/>
      <c r="N1049" s="14"/>
      <c r="O1049" s="110" t="s">
        <v>6624</v>
      </c>
      <c r="P1049" s="4"/>
      <c r="T1049" s="9"/>
      <c r="X1049" s="13">
        <v>43.168900000000001</v>
      </c>
      <c r="Y1049" s="13">
        <v>77.013800000000003</v>
      </c>
      <c r="Z1049" s="14">
        <v>1438</v>
      </c>
      <c r="AA1049" s="132" t="s">
        <v>6628</v>
      </c>
      <c r="AB1049" s="8" t="s">
        <v>6631</v>
      </c>
    </row>
    <row r="1050" spans="1:28" s="8" customFormat="1" ht="21.75" customHeight="1" x14ac:dyDescent="0.2">
      <c r="A1050" s="8" t="s">
        <v>6576</v>
      </c>
      <c r="B1050" s="8" t="s">
        <v>6605</v>
      </c>
      <c r="C1050" s="8" t="s">
        <v>188</v>
      </c>
      <c r="D1050" s="8" t="s">
        <v>6590</v>
      </c>
      <c r="E1050" s="8" t="s">
        <v>280</v>
      </c>
      <c r="F1050" s="8" t="s">
        <v>5582</v>
      </c>
      <c r="G1050" s="8" t="s">
        <v>6613</v>
      </c>
      <c r="H1050" s="3" t="s">
        <v>6592</v>
      </c>
      <c r="I1050" s="8">
        <v>2</v>
      </c>
      <c r="J1050" s="8" t="s">
        <v>4637</v>
      </c>
      <c r="K1050" s="8" t="s">
        <v>4480</v>
      </c>
      <c r="L1050" s="14"/>
      <c r="M1050" s="14"/>
      <c r="N1050" s="14"/>
      <c r="O1050" s="110" t="s">
        <v>6624</v>
      </c>
      <c r="P1050" s="4"/>
      <c r="T1050" s="9"/>
      <c r="X1050" s="13">
        <v>43.168900000000001</v>
      </c>
      <c r="Y1050" s="13">
        <v>77.013800000000003</v>
      </c>
      <c r="Z1050" s="14">
        <v>1438</v>
      </c>
      <c r="AA1050" s="137"/>
      <c r="AB1050" s="8" t="s">
        <v>6631</v>
      </c>
    </row>
    <row r="1051" spans="1:28" s="8" customFormat="1" ht="21.75" customHeight="1" x14ac:dyDescent="0.2">
      <c r="A1051" s="8" t="s">
        <v>6576</v>
      </c>
      <c r="B1051" s="8" t="s">
        <v>6605</v>
      </c>
      <c r="C1051" s="8" t="s">
        <v>188</v>
      </c>
      <c r="D1051" s="8" t="s">
        <v>6590</v>
      </c>
      <c r="E1051" s="8" t="s">
        <v>398</v>
      </c>
      <c r="F1051" s="8" t="s">
        <v>6049</v>
      </c>
      <c r="H1051" s="3" t="s">
        <v>6593</v>
      </c>
      <c r="I1051" s="8">
        <v>0.74</v>
      </c>
      <c r="J1051" s="8" t="s">
        <v>4637</v>
      </c>
      <c r="K1051" s="8" t="s">
        <v>4480</v>
      </c>
      <c r="L1051" s="14"/>
      <c r="M1051" s="14"/>
      <c r="N1051" s="14"/>
      <c r="O1051" s="110" t="s">
        <v>6624</v>
      </c>
      <c r="P1051" s="4"/>
      <c r="T1051" s="9"/>
      <c r="X1051" s="13">
        <v>43.168900000000001</v>
      </c>
      <c r="Y1051" s="13">
        <v>77.013800000000003</v>
      </c>
      <c r="Z1051" s="14">
        <v>1438</v>
      </c>
      <c r="AA1051" s="137"/>
      <c r="AB1051" s="8" t="s">
        <v>6631</v>
      </c>
    </row>
    <row r="1052" spans="1:28" s="8" customFormat="1" ht="21.75" customHeight="1" x14ac:dyDescent="0.2">
      <c r="A1052" s="8" t="s">
        <v>6576</v>
      </c>
      <c r="B1052" s="8" t="s">
        <v>6605</v>
      </c>
      <c r="C1052" s="8" t="s">
        <v>188</v>
      </c>
      <c r="D1052" s="8" t="s">
        <v>6590</v>
      </c>
      <c r="E1052" s="8" t="s">
        <v>398</v>
      </c>
      <c r="F1052" s="8" t="s">
        <v>6049</v>
      </c>
      <c r="G1052" s="8" t="s">
        <v>6614</v>
      </c>
      <c r="H1052" s="3" t="s">
        <v>6594</v>
      </c>
      <c r="I1052" s="8">
        <v>0.42</v>
      </c>
      <c r="J1052" s="8" t="s">
        <v>4637</v>
      </c>
      <c r="K1052" s="8" t="s">
        <v>4480</v>
      </c>
      <c r="L1052" s="14"/>
      <c r="M1052" s="14"/>
      <c r="N1052" s="14"/>
      <c r="O1052" s="110" t="s">
        <v>6624</v>
      </c>
      <c r="P1052" s="4"/>
      <c r="T1052" s="9"/>
      <c r="X1052" s="13">
        <v>43.168900000000001</v>
      </c>
      <c r="Y1052" s="13">
        <v>77.013800000000003</v>
      </c>
      <c r="Z1052" s="14">
        <v>1438</v>
      </c>
      <c r="AA1052" s="137"/>
      <c r="AB1052" s="8" t="s">
        <v>6631</v>
      </c>
    </row>
    <row r="1053" spans="1:28" s="8" customFormat="1" ht="21.75" customHeight="1" x14ac:dyDescent="0.2">
      <c r="A1053" s="8" t="s">
        <v>6576</v>
      </c>
      <c r="B1053" s="8" t="s">
        <v>6605</v>
      </c>
      <c r="C1053" s="8" t="s">
        <v>188</v>
      </c>
      <c r="D1053" s="8" t="s">
        <v>6590</v>
      </c>
      <c r="E1053" s="8" t="s">
        <v>398</v>
      </c>
      <c r="F1053" s="8" t="s">
        <v>214</v>
      </c>
      <c r="H1053" s="3" t="s">
        <v>6595</v>
      </c>
      <c r="I1053" s="8">
        <v>3.5</v>
      </c>
      <c r="J1053" s="8" t="s">
        <v>4637</v>
      </c>
      <c r="K1053" s="8" t="s">
        <v>4480</v>
      </c>
      <c r="L1053" s="14"/>
      <c r="M1053" s="14"/>
      <c r="N1053" s="14"/>
      <c r="O1053" s="110" t="s">
        <v>6624</v>
      </c>
      <c r="P1053" s="4"/>
      <c r="T1053" s="9"/>
      <c r="X1053" s="13">
        <v>43.168900000000001</v>
      </c>
      <c r="Y1053" s="13">
        <v>77.013800000000003</v>
      </c>
      <c r="Z1053" s="14">
        <v>1438</v>
      </c>
      <c r="AA1053" s="137"/>
      <c r="AB1053" s="8" t="s">
        <v>6631</v>
      </c>
    </row>
    <row r="1054" spans="1:28" s="54" customFormat="1" ht="21.75" customHeight="1" x14ac:dyDescent="0.2">
      <c r="A1054" s="54" t="s">
        <v>6576</v>
      </c>
      <c r="B1054" s="54" t="s">
        <v>6605</v>
      </c>
      <c r="C1054" s="54" t="s">
        <v>188</v>
      </c>
      <c r="D1054" s="54" t="s">
        <v>6590</v>
      </c>
      <c r="E1054" s="54" t="s">
        <v>398</v>
      </c>
      <c r="F1054" s="54" t="s">
        <v>6616</v>
      </c>
      <c r="G1054" s="54" t="s">
        <v>6615</v>
      </c>
      <c r="H1054" s="55" t="s">
        <v>6596</v>
      </c>
      <c r="I1054" s="54">
        <v>0.19</v>
      </c>
      <c r="J1054" s="54" t="s">
        <v>4637</v>
      </c>
      <c r="K1054" s="54" t="s">
        <v>4480</v>
      </c>
      <c r="L1054" s="57"/>
      <c r="M1054" s="57"/>
      <c r="N1054" s="57"/>
      <c r="O1054" s="112" t="s">
        <v>6624</v>
      </c>
      <c r="P1054" s="56"/>
      <c r="T1054" s="62"/>
      <c r="X1054" s="58">
        <v>43.168900000000001</v>
      </c>
      <c r="Y1054" s="58">
        <v>77.013800000000003</v>
      </c>
      <c r="Z1054" s="57">
        <v>1438</v>
      </c>
      <c r="AA1054" s="133"/>
      <c r="AB1054" s="54" t="s">
        <v>6631</v>
      </c>
    </row>
    <row r="1055" spans="1:28" s="8" customFormat="1" ht="21.75" customHeight="1" x14ac:dyDescent="0.2">
      <c r="A1055" s="8" t="s">
        <v>6576</v>
      </c>
      <c r="B1055" s="8" t="s">
        <v>6605</v>
      </c>
      <c r="C1055" s="8" t="s">
        <v>188</v>
      </c>
      <c r="D1055" s="8" t="s">
        <v>6597</v>
      </c>
      <c r="E1055" s="8" t="s">
        <v>280</v>
      </c>
      <c r="F1055" s="8" t="s">
        <v>212</v>
      </c>
      <c r="G1055" s="8" t="s">
        <v>6617</v>
      </c>
      <c r="H1055" s="3" t="s">
        <v>6598</v>
      </c>
      <c r="I1055" s="8">
        <v>7.2</v>
      </c>
      <c r="J1055" s="8" t="s">
        <v>4637</v>
      </c>
      <c r="K1055" s="8" t="s">
        <v>4480</v>
      </c>
      <c r="L1055" s="14"/>
      <c r="M1055" s="14"/>
      <c r="N1055" s="14"/>
      <c r="O1055" s="110" t="s">
        <v>6625</v>
      </c>
      <c r="P1055" s="4"/>
      <c r="T1055" s="9"/>
      <c r="X1055" s="13">
        <v>43.2286</v>
      </c>
      <c r="Y1055" s="13">
        <v>76.984800000000007</v>
      </c>
      <c r="Z1055" s="14">
        <v>1000</v>
      </c>
      <c r="AA1055" s="132" t="s">
        <v>6629</v>
      </c>
      <c r="AB1055" s="8" t="s">
        <v>6632</v>
      </c>
    </row>
    <row r="1056" spans="1:28" s="8" customFormat="1" ht="21.75" customHeight="1" x14ac:dyDescent="0.2">
      <c r="A1056" s="8" t="s">
        <v>6576</v>
      </c>
      <c r="B1056" s="8" t="s">
        <v>6605</v>
      </c>
      <c r="C1056" s="8" t="s">
        <v>188</v>
      </c>
      <c r="D1056" s="8" t="s">
        <v>6597</v>
      </c>
      <c r="E1056" s="8" t="s">
        <v>280</v>
      </c>
      <c r="F1056" s="8" t="s">
        <v>212</v>
      </c>
      <c r="G1056" s="8" t="s">
        <v>6618</v>
      </c>
      <c r="H1056" s="3" t="s">
        <v>6599</v>
      </c>
      <c r="I1056" s="8">
        <v>5.0999999999999996</v>
      </c>
      <c r="J1056" s="8" t="s">
        <v>4637</v>
      </c>
      <c r="K1056" s="8" t="s">
        <v>4480</v>
      </c>
      <c r="L1056" s="14"/>
      <c r="M1056" s="14"/>
      <c r="N1056" s="14"/>
      <c r="O1056" s="110" t="s">
        <v>6625</v>
      </c>
      <c r="P1056" s="4"/>
      <c r="T1056" s="9"/>
      <c r="X1056" s="13">
        <v>43.2286</v>
      </c>
      <c r="Y1056" s="13">
        <v>76.984800000000007</v>
      </c>
      <c r="Z1056" s="14">
        <v>1000</v>
      </c>
      <c r="AA1056" s="137"/>
      <c r="AB1056" s="8" t="s">
        <v>6632</v>
      </c>
    </row>
    <row r="1057" spans="1:28" s="8" customFormat="1" ht="21.75" customHeight="1" x14ac:dyDescent="0.2">
      <c r="A1057" s="8" t="s">
        <v>6576</v>
      </c>
      <c r="B1057" s="8" t="s">
        <v>6605</v>
      </c>
      <c r="C1057" s="8" t="s">
        <v>188</v>
      </c>
      <c r="D1057" s="8" t="s">
        <v>6597</v>
      </c>
      <c r="E1057" s="8" t="s">
        <v>280</v>
      </c>
      <c r="F1057" s="8" t="s">
        <v>212</v>
      </c>
      <c r="G1057" s="8" t="s">
        <v>6619</v>
      </c>
      <c r="H1057" s="3" t="s">
        <v>6600</v>
      </c>
      <c r="I1057" s="8">
        <v>3.6</v>
      </c>
      <c r="J1057" s="8" t="s">
        <v>4637</v>
      </c>
      <c r="K1057" s="8" t="s">
        <v>4480</v>
      </c>
      <c r="L1057" s="14"/>
      <c r="M1057" s="14"/>
      <c r="N1057" s="14"/>
      <c r="O1057" s="110" t="s">
        <v>6625</v>
      </c>
      <c r="P1057" s="4"/>
      <c r="T1057" s="9"/>
      <c r="X1057" s="13">
        <v>43.2286</v>
      </c>
      <c r="Y1057" s="13">
        <v>76.984800000000007</v>
      </c>
      <c r="Z1057" s="14">
        <v>1000</v>
      </c>
      <c r="AA1057" s="137"/>
      <c r="AB1057" s="8" t="s">
        <v>6632</v>
      </c>
    </row>
    <row r="1058" spans="1:28" s="8" customFormat="1" ht="21.75" customHeight="1" x14ac:dyDescent="0.2">
      <c r="A1058" s="8" t="s">
        <v>6576</v>
      </c>
      <c r="B1058" s="8" t="s">
        <v>6605</v>
      </c>
      <c r="C1058" s="8" t="s">
        <v>188</v>
      </c>
      <c r="D1058" s="8" t="s">
        <v>6597</v>
      </c>
      <c r="E1058" s="8" t="s">
        <v>280</v>
      </c>
      <c r="F1058" s="8" t="s">
        <v>214</v>
      </c>
      <c r="G1058" s="8" t="s">
        <v>6620</v>
      </c>
      <c r="H1058" s="3" t="s">
        <v>6601</v>
      </c>
      <c r="I1058" s="8">
        <v>2</v>
      </c>
      <c r="J1058" s="8" t="s">
        <v>4637</v>
      </c>
      <c r="K1058" s="8" t="s">
        <v>4480</v>
      </c>
      <c r="L1058" s="14"/>
      <c r="M1058" s="14"/>
      <c r="N1058" s="14"/>
      <c r="O1058" s="110" t="s">
        <v>6625</v>
      </c>
      <c r="P1058" s="4"/>
      <c r="T1058" s="9"/>
      <c r="X1058" s="13">
        <v>43.2286</v>
      </c>
      <c r="Y1058" s="13">
        <v>76.984800000000007</v>
      </c>
      <c r="Z1058" s="14">
        <v>1000</v>
      </c>
      <c r="AA1058" s="137"/>
      <c r="AB1058" s="8" t="s">
        <v>6632</v>
      </c>
    </row>
    <row r="1059" spans="1:28" s="8" customFormat="1" ht="21.75" customHeight="1" x14ac:dyDescent="0.2">
      <c r="A1059" s="8" t="s">
        <v>6576</v>
      </c>
      <c r="B1059" s="8" t="s">
        <v>6605</v>
      </c>
      <c r="C1059" s="8" t="s">
        <v>188</v>
      </c>
      <c r="D1059" s="8" t="s">
        <v>6597</v>
      </c>
      <c r="E1059" s="8" t="s">
        <v>398</v>
      </c>
      <c r="F1059" s="8" t="s">
        <v>214</v>
      </c>
      <c r="H1059" s="3" t="s">
        <v>6602</v>
      </c>
      <c r="I1059" s="8">
        <v>1.4</v>
      </c>
      <c r="J1059" s="8" t="s">
        <v>4637</v>
      </c>
      <c r="K1059" s="8" t="s">
        <v>4480</v>
      </c>
      <c r="L1059" s="14"/>
      <c r="M1059" s="14"/>
      <c r="N1059" s="14"/>
      <c r="O1059" s="110" t="s">
        <v>6625</v>
      </c>
      <c r="P1059" s="4"/>
      <c r="T1059" s="9"/>
      <c r="X1059" s="13">
        <v>43.2286</v>
      </c>
      <c r="Y1059" s="13">
        <v>76.984800000000007</v>
      </c>
      <c r="Z1059" s="14">
        <v>1000</v>
      </c>
      <c r="AA1059" s="137"/>
      <c r="AB1059" s="8" t="s">
        <v>6632</v>
      </c>
    </row>
    <row r="1060" spans="1:28" s="8" customFormat="1" ht="21.75" customHeight="1" x14ac:dyDescent="0.2">
      <c r="A1060" s="8" t="s">
        <v>6576</v>
      </c>
      <c r="B1060" s="8" t="s">
        <v>6605</v>
      </c>
      <c r="C1060" s="8" t="s">
        <v>188</v>
      </c>
      <c r="D1060" s="8" t="s">
        <v>6597</v>
      </c>
      <c r="E1060" s="8" t="s">
        <v>398</v>
      </c>
      <c r="F1060" s="8" t="s">
        <v>214</v>
      </c>
      <c r="H1060" s="3" t="s">
        <v>6603</v>
      </c>
      <c r="I1060" s="8">
        <v>1.2</v>
      </c>
      <c r="J1060" s="8" t="s">
        <v>4637</v>
      </c>
      <c r="K1060" s="8" t="s">
        <v>4480</v>
      </c>
      <c r="L1060" s="14"/>
      <c r="M1060" s="14"/>
      <c r="N1060" s="14"/>
      <c r="O1060" s="110" t="s">
        <v>6625</v>
      </c>
      <c r="P1060" s="4"/>
      <c r="T1060" s="9"/>
      <c r="X1060" s="13">
        <v>43.2286</v>
      </c>
      <c r="Y1060" s="13">
        <v>76.984800000000007</v>
      </c>
      <c r="Z1060" s="14">
        <v>1000</v>
      </c>
      <c r="AA1060" s="137"/>
      <c r="AB1060" s="8" t="s">
        <v>6632</v>
      </c>
    </row>
    <row r="1061" spans="1:28" s="8" customFormat="1" ht="21.75" customHeight="1" x14ac:dyDescent="0.2">
      <c r="A1061" s="8" t="s">
        <v>6576</v>
      </c>
      <c r="B1061" s="8" t="s">
        <v>6605</v>
      </c>
      <c r="C1061" s="8" t="s">
        <v>188</v>
      </c>
      <c r="D1061" s="8" t="s">
        <v>6597</v>
      </c>
      <c r="E1061" s="8" t="s">
        <v>398</v>
      </c>
      <c r="F1061" s="8" t="s">
        <v>62</v>
      </c>
      <c r="G1061" s="8" t="s">
        <v>6621</v>
      </c>
      <c r="H1061" s="3" t="s">
        <v>5510</v>
      </c>
      <c r="I1061" s="8">
        <v>0.42</v>
      </c>
      <c r="J1061" s="8" t="s">
        <v>4637</v>
      </c>
      <c r="K1061" s="8" t="s">
        <v>4480</v>
      </c>
      <c r="L1061" s="14"/>
      <c r="M1061" s="14"/>
      <c r="N1061" s="14"/>
      <c r="O1061" s="110" t="s">
        <v>6625</v>
      </c>
      <c r="P1061" s="4"/>
      <c r="T1061" s="9"/>
      <c r="X1061" s="13">
        <v>43.2286</v>
      </c>
      <c r="Y1061" s="13">
        <v>76.984800000000007</v>
      </c>
      <c r="Z1061" s="14">
        <v>1000</v>
      </c>
      <c r="AA1061" s="137"/>
      <c r="AB1061" s="8" t="s">
        <v>6632</v>
      </c>
    </row>
    <row r="1062" spans="1:28" s="8" customFormat="1" ht="21.75" customHeight="1" x14ac:dyDescent="0.2">
      <c r="A1062" s="8" t="s">
        <v>6576</v>
      </c>
      <c r="B1062" s="8" t="s">
        <v>6605</v>
      </c>
      <c r="C1062" s="8" t="s">
        <v>188</v>
      </c>
      <c r="D1062" s="8" t="s">
        <v>6597</v>
      </c>
      <c r="E1062" s="8" t="s">
        <v>398</v>
      </c>
      <c r="F1062" s="8" t="s">
        <v>6622</v>
      </c>
      <c r="H1062" s="3" t="s">
        <v>6604</v>
      </c>
      <c r="I1062" s="8">
        <v>0.4</v>
      </c>
      <c r="J1062" s="8" t="s">
        <v>4637</v>
      </c>
      <c r="K1062" s="8" t="s">
        <v>4480</v>
      </c>
      <c r="L1062" s="14"/>
      <c r="M1062" s="14"/>
      <c r="N1062" s="14"/>
      <c r="O1062" s="110" t="s">
        <v>6625</v>
      </c>
      <c r="P1062" s="4"/>
      <c r="T1062" s="9"/>
      <c r="X1062" s="13">
        <v>43.2286</v>
      </c>
      <c r="Y1062" s="13">
        <v>76.984800000000007</v>
      </c>
      <c r="Z1062" s="14">
        <v>1000</v>
      </c>
      <c r="AA1062" s="133"/>
      <c r="AB1062" s="8" t="s">
        <v>6632</v>
      </c>
    </row>
    <row r="1063" spans="1:28" ht="21.75" customHeight="1" x14ac:dyDescent="0.2">
      <c r="A1063" s="7" t="s">
        <v>2813</v>
      </c>
      <c r="B1063" s="7" t="s">
        <v>2814</v>
      </c>
      <c r="C1063" s="7" t="s">
        <v>937</v>
      </c>
      <c r="D1063" s="7" t="s">
        <v>2816</v>
      </c>
      <c r="E1063" s="7" t="s">
        <v>275</v>
      </c>
      <c r="F1063" s="7" t="s">
        <v>62</v>
      </c>
      <c r="G1063" s="7" t="s">
        <v>949</v>
      </c>
      <c r="H1063" s="1" t="s">
        <v>950</v>
      </c>
      <c r="I1063" s="7" t="s">
        <v>2818</v>
      </c>
      <c r="J1063" s="7" t="s">
        <v>4404</v>
      </c>
      <c r="K1063" s="7" t="s">
        <v>4410</v>
      </c>
      <c r="L1063" s="6" t="s">
        <v>2819</v>
      </c>
      <c r="O1063" s="45" t="s">
        <v>2820</v>
      </c>
      <c r="R1063" s="7" t="s">
        <v>2822</v>
      </c>
      <c r="T1063" s="18"/>
      <c r="W1063" s="7" t="s">
        <v>938</v>
      </c>
      <c r="X1063" s="5">
        <f>7/60+8.641/3600</f>
        <v>0.11906694444444445</v>
      </c>
      <c r="Y1063" s="5">
        <v>37.6706</v>
      </c>
      <c r="Z1063" s="6">
        <v>1457</v>
      </c>
      <c r="AB1063" s="7" t="s">
        <v>2823</v>
      </c>
    </row>
    <row r="1064" spans="1:28" ht="21.75" customHeight="1" x14ac:dyDescent="0.2">
      <c r="A1064" s="7" t="s">
        <v>2813</v>
      </c>
      <c r="B1064" s="7" t="s">
        <v>2814</v>
      </c>
      <c r="C1064" s="7" t="s">
        <v>937</v>
      </c>
      <c r="D1064" s="7" t="s">
        <v>2817</v>
      </c>
      <c r="E1064" s="7" t="s">
        <v>275</v>
      </c>
      <c r="F1064" s="7" t="s">
        <v>62</v>
      </c>
      <c r="G1064" s="7" t="s">
        <v>949</v>
      </c>
      <c r="H1064" s="1" t="s">
        <v>950</v>
      </c>
      <c r="I1064" s="7" t="s">
        <v>2818</v>
      </c>
      <c r="J1064" s="7" t="s">
        <v>4404</v>
      </c>
      <c r="K1064" s="7" t="s">
        <v>4410</v>
      </c>
      <c r="L1064" s="6" t="s">
        <v>2819</v>
      </c>
      <c r="O1064" s="45" t="s">
        <v>2821</v>
      </c>
      <c r="R1064" s="7" t="s">
        <v>5723</v>
      </c>
      <c r="T1064" s="18"/>
      <c r="W1064" s="7" t="s">
        <v>938</v>
      </c>
      <c r="X1064" s="5">
        <v>6.4899999999999999E-2</v>
      </c>
      <c r="Y1064" s="5">
        <f>37+44/60+51.355/3600</f>
        <v>37.747598611111115</v>
      </c>
      <c r="Z1064" s="6">
        <v>1159</v>
      </c>
      <c r="AB1064" s="7" t="s">
        <v>2823</v>
      </c>
    </row>
    <row r="1065" spans="1:28" s="8" customFormat="1" ht="21.75" customHeight="1" x14ac:dyDescent="0.2">
      <c r="A1065" s="8" t="s">
        <v>5792</v>
      </c>
      <c r="B1065" s="8" t="s">
        <v>1307</v>
      </c>
      <c r="C1065" s="8" t="s">
        <v>94</v>
      </c>
      <c r="E1065" s="8" t="s">
        <v>33</v>
      </c>
      <c r="F1065" s="8" t="s">
        <v>212</v>
      </c>
      <c r="G1065" s="8" t="s">
        <v>1305</v>
      </c>
      <c r="H1065" s="3" t="s">
        <v>1306</v>
      </c>
      <c r="I1065" s="8">
        <v>0.56000000000000005</v>
      </c>
      <c r="J1065" s="8" t="s">
        <v>4367</v>
      </c>
      <c r="K1065" s="8" t="s">
        <v>4480</v>
      </c>
      <c r="L1065" s="14">
        <v>1300</v>
      </c>
      <c r="M1065" s="14"/>
      <c r="N1065" s="14"/>
      <c r="O1065" s="110" t="s">
        <v>1310</v>
      </c>
      <c r="P1065" s="4" t="s">
        <v>1308</v>
      </c>
      <c r="R1065" s="8" t="s">
        <v>1309</v>
      </c>
      <c r="T1065" s="9"/>
      <c r="W1065" s="8" t="s">
        <v>94</v>
      </c>
      <c r="X1065" s="13">
        <v>55.1</v>
      </c>
      <c r="Y1065" s="13">
        <v>-2.7919</v>
      </c>
      <c r="Z1065" s="14" t="s">
        <v>1313</v>
      </c>
      <c r="AA1065" s="8" t="s">
        <v>1312</v>
      </c>
      <c r="AB1065" s="8" t="s">
        <v>1311</v>
      </c>
    </row>
    <row r="1066" spans="1:28" ht="21.75" customHeight="1" x14ac:dyDescent="0.2">
      <c r="A1066" s="7" t="s">
        <v>3089</v>
      </c>
      <c r="B1066" s="7" t="s">
        <v>3058</v>
      </c>
      <c r="C1066" s="7" t="s">
        <v>2947</v>
      </c>
      <c r="D1066" s="7" t="s">
        <v>3057</v>
      </c>
      <c r="E1066" s="7" t="s">
        <v>398</v>
      </c>
      <c r="F1066" s="7" t="s">
        <v>884</v>
      </c>
      <c r="G1066" s="7" t="s">
        <v>3068</v>
      </c>
      <c r="H1066" s="1" t="s">
        <v>3059</v>
      </c>
      <c r="I1066" s="7">
        <v>1.4</v>
      </c>
      <c r="J1066" s="7" t="s">
        <v>4433</v>
      </c>
      <c r="K1066" s="7" t="s">
        <v>4410</v>
      </c>
      <c r="L1066" s="6">
        <v>690</v>
      </c>
      <c r="R1066" s="7" t="s">
        <v>3083</v>
      </c>
      <c r="T1066" s="18"/>
      <c r="W1066" s="7" t="s">
        <v>2947</v>
      </c>
      <c r="X1066" s="5">
        <f>-(37+50/60)</f>
        <v>-37.833333333333336</v>
      </c>
      <c r="Y1066" s="5">
        <f>142+1/60</f>
        <v>142.01666666666668</v>
      </c>
      <c r="Z1066" s="6">
        <v>192</v>
      </c>
      <c r="AA1066" s="44" t="s">
        <v>3088</v>
      </c>
      <c r="AB1066" s="7" t="s">
        <v>3079</v>
      </c>
    </row>
    <row r="1067" spans="1:28" ht="21.75" customHeight="1" x14ac:dyDescent="0.2">
      <c r="A1067" s="7" t="s">
        <v>3089</v>
      </c>
      <c r="B1067" s="7" t="s">
        <v>3058</v>
      </c>
      <c r="C1067" s="7" t="s">
        <v>2947</v>
      </c>
      <c r="D1067" s="7" t="s">
        <v>3057</v>
      </c>
      <c r="E1067" s="7" t="s">
        <v>398</v>
      </c>
      <c r="F1067" s="7" t="s">
        <v>3071</v>
      </c>
      <c r="G1067" s="7" t="s">
        <v>3069</v>
      </c>
      <c r="H1067" s="1" t="s">
        <v>3060</v>
      </c>
      <c r="I1067" s="7">
        <v>0.92</v>
      </c>
      <c r="J1067" s="7" t="s">
        <v>4433</v>
      </c>
      <c r="K1067" s="7" t="s">
        <v>4410</v>
      </c>
      <c r="L1067" s="6">
        <v>690</v>
      </c>
      <c r="R1067" s="7" t="s">
        <v>3083</v>
      </c>
      <c r="T1067" s="18"/>
      <c r="W1067" s="7" t="s">
        <v>2947</v>
      </c>
      <c r="X1067" s="5">
        <f t="shared" ref="X1067:X1074" si="7">-(37+50/60)</f>
        <v>-37.833333333333336</v>
      </c>
      <c r="Y1067" s="5">
        <f t="shared" ref="Y1067:Y1074" si="8">142+1/60</f>
        <v>142.01666666666668</v>
      </c>
      <c r="Z1067" s="6">
        <v>192</v>
      </c>
      <c r="AA1067" s="44"/>
      <c r="AB1067" s="7" t="s">
        <v>3081</v>
      </c>
    </row>
    <row r="1068" spans="1:28" ht="21.75" customHeight="1" x14ac:dyDescent="0.2">
      <c r="A1068" s="7" t="s">
        <v>3089</v>
      </c>
      <c r="B1068" s="7" t="s">
        <v>3058</v>
      </c>
      <c r="C1068" s="7" t="s">
        <v>2947</v>
      </c>
      <c r="D1068" s="7" t="s">
        <v>3057</v>
      </c>
      <c r="E1068" s="7" t="s">
        <v>398</v>
      </c>
      <c r="F1068" s="7" t="s">
        <v>3071</v>
      </c>
      <c r="G1068" s="7" t="s">
        <v>2861</v>
      </c>
      <c r="H1068" s="1" t="s">
        <v>3061</v>
      </c>
      <c r="I1068" s="7">
        <v>1.37</v>
      </c>
      <c r="J1068" s="7" t="s">
        <v>4433</v>
      </c>
      <c r="K1068" s="7" t="s">
        <v>4410</v>
      </c>
      <c r="L1068" s="6">
        <v>690</v>
      </c>
      <c r="R1068" s="7" t="s">
        <v>3083</v>
      </c>
      <c r="T1068" s="18"/>
      <c r="W1068" s="7" t="s">
        <v>2947</v>
      </c>
      <c r="X1068" s="5">
        <f t="shared" si="7"/>
        <v>-37.833333333333336</v>
      </c>
      <c r="Y1068" s="5">
        <f t="shared" si="8"/>
        <v>142.01666666666668</v>
      </c>
      <c r="Z1068" s="6">
        <v>192</v>
      </c>
      <c r="AA1068" s="44"/>
      <c r="AB1068" s="7" t="s">
        <v>3080</v>
      </c>
    </row>
    <row r="1069" spans="1:28" ht="21.75" customHeight="1" x14ac:dyDescent="0.2">
      <c r="A1069" s="7" t="s">
        <v>3089</v>
      </c>
      <c r="B1069" s="7" t="s">
        <v>3058</v>
      </c>
      <c r="C1069" s="7" t="s">
        <v>2947</v>
      </c>
      <c r="D1069" s="7" t="s">
        <v>3057</v>
      </c>
      <c r="E1069" s="7" t="s">
        <v>398</v>
      </c>
      <c r="F1069" s="7" t="s">
        <v>884</v>
      </c>
      <c r="G1069" s="7" t="s">
        <v>3070</v>
      </c>
      <c r="H1069" s="1" t="s">
        <v>3062</v>
      </c>
      <c r="I1069" s="7">
        <v>1.1499999999999999</v>
      </c>
      <c r="J1069" s="7" t="s">
        <v>4433</v>
      </c>
      <c r="K1069" s="7" t="s">
        <v>4410</v>
      </c>
      <c r="L1069" s="6">
        <v>690</v>
      </c>
      <c r="R1069" s="7" t="s">
        <v>3083</v>
      </c>
      <c r="T1069" s="18"/>
      <c r="W1069" s="7" t="s">
        <v>2947</v>
      </c>
      <c r="X1069" s="5">
        <f t="shared" si="7"/>
        <v>-37.833333333333336</v>
      </c>
      <c r="Y1069" s="5">
        <f t="shared" si="8"/>
        <v>142.01666666666668</v>
      </c>
      <c r="Z1069" s="6">
        <v>192</v>
      </c>
      <c r="AA1069" s="44"/>
      <c r="AB1069" s="7" t="s">
        <v>3081</v>
      </c>
    </row>
    <row r="1070" spans="1:28" ht="21.75" customHeight="1" x14ac:dyDescent="0.2">
      <c r="A1070" s="7" t="s">
        <v>3089</v>
      </c>
      <c r="B1070" s="7" t="s">
        <v>3058</v>
      </c>
      <c r="C1070" s="7" t="s">
        <v>2947</v>
      </c>
      <c r="D1070" s="7" t="s">
        <v>3057</v>
      </c>
      <c r="E1070" s="7" t="s">
        <v>398</v>
      </c>
      <c r="F1070" s="7" t="s">
        <v>884</v>
      </c>
      <c r="G1070" s="7" t="s">
        <v>3072</v>
      </c>
      <c r="H1070" s="1" t="s">
        <v>3063</v>
      </c>
      <c r="I1070" s="7">
        <v>1.32</v>
      </c>
      <c r="J1070" s="7" t="s">
        <v>4433</v>
      </c>
      <c r="K1070" s="7" t="s">
        <v>4410</v>
      </c>
      <c r="L1070" s="6">
        <v>690</v>
      </c>
      <c r="R1070" s="7" t="s">
        <v>3083</v>
      </c>
      <c r="T1070" s="18"/>
      <c r="W1070" s="7" t="s">
        <v>2947</v>
      </c>
      <c r="X1070" s="5">
        <f t="shared" si="7"/>
        <v>-37.833333333333336</v>
      </c>
      <c r="Y1070" s="5">
        <f t="shared" si="8"/>
        <v>142.01666666666668</v>
      </c>
      <c r="Z1070" s="6">
        <v>192</v>
      </c>
      <c r="AA1070" s="44"/>
      <c r="AB1070" s="7" t="s">
        <v>3082</v>
      </c>
    </row>
    <row r="1071" spans="1:28" ht="21.75" customHeight="1" x14ac:dyDescent="0.2">
      <c r="A1071" s="7" t="s">
        <v>3089</v>
      </c>
      <c r="B1071" s="7" t="s">
        <v>3058</v>
      </c>
      <c r="C1071" s="7" t="s">
        <v>2947</v>
      </c>
      <c r="D1071" s="7" t="s">
        <v>3057</v>
      </c>
      <c r="E1071" s="7" t="s">
        <v>3074</v>
      </c>
      <c r="F1071" s="7" t="s">
        <v>62</v>
      </c>
      <c r="G1071" s="7" t="s">
        <v>3073</v>
      </c>
      <c r="H1071" s="1" t="s">
        <v>3064</v>
      </c>
      <c r="I1071" s="7">
        <v>1.46</v>
      </c>
      <c r="J1071" s="7" t="s">
        <v>4433</v>
      </c>
      <c r="K1071" s="7" t="s">
        <v>4410</v>
      </c>
      <c r="L1071" s="6">
        <v>690</v>
      </c>
      <c r="R1071" s="7" t="s">
        <v>3083</v>
      </c>
      <c r="T1071" s="18"/>
      <c r="W1071" s="7" t="s">
        <v>2947</v>
      </c>
      <c r="X1071" s="5">
        <f t="shared" si="7"/>
        <v>-37.833333333333336</v>
      </c>
      <c r="Y1071" s="5">
        <f t="shared" si="8"/>
        <v>142.01666666666668</v>
      </c>
      <c r="Z1071" s="6">
        <v>192</v>
      </c>
      <c r="AA1071" s="44"/>
    </row>
    <row r="1072" spans="1:28" ht="21.75" customHeight="1" x14ac:dyDescent="0.2">
      <c r="A1072" s="7" t="s">
        <v>3089</v>
      </c>
      <c r="B1072" s="7" t="s">
        <v>3058</v>
      </c>
      <c r="C1072" s="7" t="s">
        <v>2947</v>
      </c>
      <c r="D1072" s="7" t="s">
        <v>3057</v>
      </c>
      <c r="E1072" s="7" t="s">
        <v>398</v>
      </c>
      <c r="F1072" s="7" t="s">
        <v>217</v>
      </c>
      <c r="G1072" s="7" t="s">
        <v>3075</v>
      </c>
      <c r="H1072" s="1" t="s">
        <v>3065</v>
      </c>
      <c r="I1072" s="7">
        <v>1.06</v>
      </c>
      <c r="J1072" s="7" t="s">
        <v>4433</v>
      </c>
      <c r="K1072" s="7" t="s">
        <v>4410</v>
      </c>
      <c r="L1072" s="6">
        <v>690</v>
      </c>
      <c r="R1072" s="7" t="s">
        <v>3083</v>
      </c>
      <c r="T1072" s="18"/>
      <c r="W1072" s="7" t="s">
        <v>2947</v>
      </c>
      <c r="X1072" s="5">
        <f t="shared" si="7"/>
        <v>-37.833333333333336</v>
      </c>
      <c r="Y1072" s="5">
        <f t="shared" si="8"/>
        <v>142.01666666666668</v>
      </c>
      <c r="Z1072" s="6">
        <v>192</v>
      </c>
      <c r="AA1072" s="44"/>
    </row>
    <row r="1073" spans="1:28" ht="21.75" customHeight="1" x14ac:dyDescent="0.2">
      <c r="A1073" s="7" t="s">
        <v>3089</v>
      </c>
      <c r="B1073" s="7" t="s">
        <v>3058</v>
      </c>
      <c r="C1073" s="7" t="s">
        <v>2947</v>
      </c>
      <c r="D1073" s="7" t="s">
        <v>3057</v>
      </c>
      <c r="E1073" s="7" t="s">
        <v>398</v>
      </c>
      <c r="F1073" s="7" t="s">
        <v>62</v>
      </c>
      <c r="G1073" s="7" t="s">
        <v>3076</v>
      </c>
      <c r="H1073" s="1" t="s">
        <v>3066</v>
      </c>
      <c r="I1073" s="7">
        <v>1.1200000000000001</v>
      </c>
      <c r="J1073" s="7" t="s">
        <v>4433</v>
      </c>
      <c r="K1073" s="7" t="s">
        <v>4410</v>
      </c>
      <c r="L1073" s="6">
        <v>690</v>
      </c>
      <c r="R1073" s="7" t="s">
        <v>3083</v>
      </c>
      <c r="T1073" s="18"/>
      <c r="W1073" s="7" t="s">
        <v>2947</v>
      </c>
      <c r="X1073" s="5">
        <f t="shared" si="7"/>
        <v>-37.833333333333336</v>
      </c>
      <c r="Y1073" s="5">
        <f t="shared" si="8"/>
        <v>142.01666666666668</v>
      </c>
      <c r="Z1073" s="6">
        <v>192</v>
      </c>
      <c r="AA1073" s="44"/>
    </row>
    <row r="1074" spans="1:28" ht="21.75" customHeight="1" x14ac:dyDescent="0.2">
      <c r="A1074" s="7" t="s">
        <v>3089</v>
      </c>
      <c r="B1074" s="7" t="s">
        <v>3058</v>
      </c>
      <c r="C1074" s="7" t="s">
        <v>2947</v>
      </c>
      <c r="D1074" s="7" t="s">
        <v>3057</v>
      </c>
      <c r="E1074" s="7" t="s">
        <v>398</v>
      </c>
      <c r="F1074" s="7" t="s">
        <v>62</v>
      </c>
      <c r="G1074" s="7" t="s">
        <v>3077</v>
      </c>
      <c r="H1074" s="1" t="s">
        <v>3067</v>
      </c>
      <c r="I1074" s="7">
        <v>2.0099999999999998</v>
      </c>
      <c r="J1074" s="7" t="s">
        <v>4433</v>
      </c>
      <c r="K1074" s="7" t="s">
        <v>4410</v>
      </c>
      <c r="L1074" s="6">
        <v>690</v>
      </c>
      <c r="S1074" s="7" t="s">
        <v>3084</v>
      </c>
      <c r="T1074" s="18" t="s">
        <v>3085</v>
      </c>
      <c r="W1074" s="7" t="s">
        <v>2947</v>
      </c>
      <c r="X1074" s="5">
        <f t="shared" si="7"/>
        <v>-37.833333333333336</v>
      </c>
      <c r="Y1074" s="5">
        <f t="shared" si="8"/>
        <v>142.01666666666668</v>
      </c>
      <c r="Z1074" s="6">
        <v>192</v>
      </c>
      <c r="AA1074" s="44" t="s">
        <v>3087</v>
      </c>
    </row>
    <row r="1075" spans="1:28" ht="21.75" customHeight="1" x14ac:dyDescent="0.2">
      <c r="A1075" s="7" t="s">
        <v>3089</v>
      </c>
      <c r="B1075" s="7" t="s">
        <v>3058</v>
      </c>
      <c r="C1075" s="7" t="s">
        <v>2947</v>
      </c>
      <c r="D1075" s="7" t="s">
        <v>3078</v>
      </c>
      <c r="E1075" s="7" t="s">
        <v>398</v>
      </c>
      <c r="F1075" s="7" t="s">
        <v>884</v>
      </c>
      <c r="G1075" s="7" t="s">
        <v>3068</v>
      </c>
      <c r="H1075" s="1" t="s">
        <v>3059</v>
      </c>
      <c r="I1075" s="7">
        <v>0.94</v>
      </c>
      <c r="J1075" s="7" t="s">
        <v>4433</v>
      </c>
      <c r="K1075" s="7" t="s">
        <v>4410</v>
      </c>
      <c r="L1075" s="6">
        <v>550</v>
      </c>
      <c r="S1075" s="7" t="s">
        <v>3084</v>
      </c>
      <c r="T1075" s="18" t="s">
        <v>3085</v>
      </c>
      <c r="W1075" s="7" t="s">
        <v>2947</v>
      </c>
      <c r="X1075" s="5">
        <f>-(37+14/60)</f>
        <v>-37.233333333333334</v>
      </c>
      <c r="Y1075" s="5">
        <f>143+7/60</f>
        <v>143.11666666666667</v>
      </c>
      <c r="Z1075" s="6">
        <v>309</v>
      </c>
      <c r="AA1075" s="44" t="s">
        <v>3086</v>
      </c>
      <c r="AB1075" s="7" t="s">
        <v>3079</v>
      </c>
    </row>
    <row r="1076" spans="1:28" ht="21.75" customHeight="1" x14ac:dyDescent="0.2">
      <c r="A1076" s="7" t="s">
        <v>3089</v>
      </c>
      <c r="B1076" s="7" t="s">
        <v>3058</v>
      </c>
      <c r="C1076" s="7" t="s">
        <v>2947</v>
      </c>
      <c r="D1076" s="7" t="s">
        <v>3078</v>
      </c>
      <c r="E1076" s="7" t="s">
        <v>398</v>
      </c>
      <c r="F1076" s="7" t="s">
        <v>3071</v>
      </c>
      <c r="G1076" s="7" t="s">
        <v>3069</v>
      </c>
      <c r="H1076" s="1" t="s">
        <v>3060</v>
      </c>
      <c r="I1076" s="7">
        <v>0.87</v>
      </c>
      <c r="J1076" s="7" t="s">
        <v>4433</v>
      </c>
      <c r="K1076" s="7" t="s">
        <v>4410</v>
      </c>
      <c r="L1076" s="6">
        <v>550</v>
      </c>
      <c r="S1076" s="7" t="s">
        <v>3084</v>
      </c>
      <c r="T1076" s="18" t="s">
        <v>3085</v>
      </c>
      <c r="W1076" s="7" t="s">
        <v>2947</v>
      </c>
      <c r="X1076" s="5">
        <f t="shared" ref="X1076:X1083" si="9">-(37+14/60)</f>
        <v>-37.233333333333334</v>
      </c>
      <c r="Y1076" s="5">
        <f t="shared" ref="Y1076:Y1083" si="10">143+7/60</f>
        <v>143.11666666666667</v>
      </c>
      <c r="Z1076" s="6">
        <v>309</v>
      </c>
      <c r="AA1076" s="44"/>
      <c r="AB1076" s="7" t="s">
        <v>3081</v>
      </c>
    </row>
    <row r="1077" spans="1:28" ht="21.75" customHeight="1" x14ac:dyDescent="0.2">
      <c r="A1077" s="7" t="s">
        <v>3089</v>
      </c>
      <c r="B1077" s="7" t="s">
        <v>3058</v>
      </c>
      <c r="C1077" s="7" t="s">
        <v>2947</v>
      </c>
      <c r="D1077" s="7" t="s">
        <v>3078</v>
      </c>
      <c r="E1077" s="7" t="s">
        <v>398</v>
      </c>
      <c r="F1077" s="7" t="s">
        <v>3071</v>
      </c>
      <c r="G1077" s="7" t="s">
        <v>2861</v>
      </c>
      <c r="H1077" s="1" t="s">
        <v>3061</v>
      </c>
      <c r="I1077" s="7">
        <v>0.92</v>
      </c>
      <c r="J1077" s="7" t="s">
        <v>4433</v>
      </c>
      <c r="K1077" s="7" t="s">
        <v>4410</v>
      </c>
      <c r="L1077" s="6">
        <v>550</v>
      </c>
      <c r="S1077" s="7" t="s">
        <v>3084</v>
      </c>
      <c r="T1077" s="18" t="s">
        <v>3085</v>
      </c>
      <c r="W1077" s="7" t="s">
        <v>2947</v>
      </c>
      <c r="X1077" s="5">
        <f t="shared" si="9"/>
        <v>-37.233333333333334</v>
      </c>
      <c r="Y1077" s="5">
        <f t="shared" si="10"/>
        <v>143.11666666666667</v>
      </c>
      <c r="Z1077" s="6">
        <v>309</v>
      </c>
      <c r="AA1077" s="44"/>
      <c r="AB1077" s="7" t="s">
        <v>3080</v>
      </c>
    </row>
    <row r="1078" spans="1:28" ht="21.75" customHeight="1" x14ac:dyDescent="0.2">
      <c r="A1078" s="7" t="s">
        <v>3089</v>
      </c>
      <c r="B1078" s="7" t="s">
        <v>3058</v>
      </c>
      <c r="C1078" s="7" t="s">
        <v>2947</v>
      </c>
      <c r="D1078" s="7" t="s">
        <v>3078</v>
      </c>
      <c r="E1078" s="7" t="s">
        <v>398</v>
      </c>
      <c r="F1078" s="7" t="s">
        <v>884</v>
      </c>
      <c r="G1078" s="7" t="s">
        <v>3070</v>
      </c>
      <c r="H1078" s="1" t="s">
        <v>3062</v>
      </c>
      <c r="I1078" s="7">
        <v>0.76</v>
      </c>
      <c r="J1078" s="7" t="s">
        <v>4433</v>
      </c>
      <c r="K1078" s="7" t="s">
        <v>4410</v>
      </c>
      <c r="L1078" s="6">
        <v>550</v>
      </c>
      <c r="S1078" s="7" t="s">
        <v>3084</v>
      </c>
      <c r="T1078" s="18" t="s">
        <v>3085</v>
      </c>
      <c r="W1078" s="7" t="s">
        <v>2947</v>
      </c>
      <c r="X1078" s="5">
        <f t="shared" si="9"/>
        <v>-37.233333333333334</v>
      </c>
      <c r="Y1078" s="5">
        <f t="shared" si="10"/>
        <v>143.11666666666667</v>
      </c>
      <c r="Z1078" s="6">
        <v>309</v>
      </c>
      <c r="AA1078" s="44"/>
      <c r="AB1078" s="7" t="s">
        <v>3081</v>
      </c>
    </row>
    <row r="1079" spans="1:28" ht="21.75" customHeight="1" x14ac:dyDescent="0.2">
      <c r="A1079" s="7" t="s">
        <v>3089</v>
      </c>
      <c r="B1079" s="7" t="s">
        <v>3058</v>
      </c>
      <c r="C1079" s="7" t="s">
        <v>2947</v>
      </c>
      <c r="D1079" s="7" t="s">
        <v>3078</v>
      </c>
      <c r="E1079" s="7" t="s">
        <v>398</v>
      </c>
      <c r="F1079" s="7" t="s">
        <v>884</v>
      </c>
      <c r="G1079" s="7" t="s">
        <v>3072</v>
      </c>
      <c r="H1079" s="1" t="s">
        <v>3063</v>
      </c>
      <c r="I1079" s="7">
        <v>0.75</v>
      </c>
      <c r="J1079" s="7" t="s">
        <v>4433</v>
      </c>
      <c r="K1079" s="7" t="s">
        <v>4410</v>
      </c>
      <c r="L1079" s="6">
        <v>550</v>
      </c>
      <c r="S1079" s="7" t="s">
        <v>3084</v>
      </c>
      <c r="T1079" s="18" t="s">
        <v>3085</v>
      </c>
      <c r="W1079" s="7" t="s">
        <v>2947</v>
      </c>
      <c r="X1079" s="5">
        <f t="shared" si="9"/>
        <v>-37.233333333333334</v>
      </c>
      <c r="Y1079" s="5">
        <f t="shared" si="10"/>
        <v>143.11666666666667</v>
      </c>
      <c r="Z1079" s="6">
        <v>309</v>
      </c>
      <c r="AA1079" s="44"/>
    </row>
    <row r="1080" spans="1:28" ht="21.75" customHeight="1" x14ac:dyDescent="0.2">
      <c r="A1080" s="7" t="s">
        <v>3089</v>
      </c>
      <c r="B1080" s="7" t="s">
        <v>3058</v>
      </c>
      <c r="C1080" s="7" t="s">
        <v>2947</v>
      </c>
      <c r="D1080" s="7" t="s">
        <v>3078</v>
      </c>
      <c r="E1080" s="7" t="s">
        <v>3074</v>
      </c>
      <c r="F1080" s="7" t="s">
        <v>62</v>
      </c>
      <c r="G1080" s="7" t="s">
        <v>3073</v>
      </c>
      <c r="H1080" s="1" t="s">
        <v>3064</v>
      </c>
      <c r="I1080" s="7">
        <v>0.82</v>
      </c>
      <c r="J1080" s="7" t="s">
        <v>4433</v>
      </c>
      <c r="K1080" s="7" t="s">
        <v>4410</v>
      </c>
      <c r="L1080" s="6">
        <v>550</v>
      </c>
      <c r="S1080" s="7" t="s">
        <v>3084</v>
      </c>
      <c r="T1080" s="18" t="s">
        <v>3085</v>
      </c>
      <c r="W1080" s="7" t="s">
        <v>2947</v>
      </c>
      <c r="X1080" s="5">
        <f t="shared" si="9"/>
        <v>-37.233333333333334</v>
      </c>
      <c r="Y1080" s="5">
        <f t="shared" si="10"/>
        <v>143.11666666666667</v>
      </c>
      <c r="Z1080" s="6">
        <v>309</v>
      </c>
      <c r="AA1080" s="44"/>
    </row>
    <row r="1081" spans="1:28" ht="21.75" customHeight="1" x14ac:dyDescent="0.2">
      <c r="A1081" s="7" t="s">
        <v>3089</v>
      </c>
      <c r="B1081" s="7" t="s">
        <v>3058</v>
      </c>
      <c r="C1081" s="7" t="s">
        <v>2947</v>
      </c>
      <c r="D1081" s="7" t="s">
        <v>3078</v>
      </c>
      <c r="E1081" s="7" t="s">
        <v>398</v>
      </c>
      <c r="F1081" s="7" t="s">
        <v>217</v>
      </c>
      <c r="G1081" s="7" t="s">
        <v>3075</v>
      </c>
      <c r="H1081" s="1" t="s">
        <v>3065</v>
      </c>
      <c r="I1081" s="7">
        <v>0.88</v>
      </c>
      <c r="J1081" s="7" t="s">
        <v>4433</v>
      </c>
      <c r="K1081" s="7" t="s">
        <v>4410</v>
      </c>
      <c r="L1081" s="6">
        <v>550</v>
      </c>
      <c r="S1081" s="7" t="s">
        <v>3084</v>
      </c>
      <c r="T1081" s="18" t="s">
        <v>3085</v>
      </c>
      <c r="W1081" s="7" t="s">
        <v>2947</v>
      </c>
      <c r="X1081" s="5">
        <f t="shared" si="9"/>
        <v>-37.233333333333334</v>
      </c>
      <c r="Y1081" s="5">
        <f t="shared" si="10"/>
        <v>143.11666666666667</v>
      </c>
      <c r="Z1081" s="6">
        <v>309</v>
      </c>
      <c r="AA1081" s="44"/>
    </row>
    <row r="1082" spans="1:28" ht="21.75" customHeight="1" x14ac:dyDescent="0.2">
      <c r="A1082" s="7" t="s">
        <v>3089</v>
      </c>
      <c r="B1082" s="7" t="s">
        <v>3058</v>
      </c>
      <c r="C1082" s="7" t="s">
        <v>2947</v>
      </c>
      <c r="D1082" s="7" t="s">
        <v>3078</v>
      </c>
      <c r="E1082" s="7" t="s">
        <v>398</v>
      </c>
      <c r="F1082" s="7" t="s">
        <v>62</v>
      </c>
      <c r="G1082" s="7" t="s">
        <v>3076</v>
      </c>
      <c r="H1082" s="1" t="s">
        <v>3066</v>
      </c>
      <c r="I1082" s="7">
        <v>0.71</v>
      </c>
      <c r="J1082" s="7" t="s">
        <v>4433</v>
      </c>
      <c r="K1082" s="7" t="s">
        <v>4410</v>
      </c>
      <c r="L1082" s="6">
        <v>550</v>
      </c>
      <c r="S1082" s="7" t="s">
        <v>3084</v>
      </c>
      <c r="T1082" s="18" t="s">
        <v>3085</v>
      </c>
      <c r="W1082" s="7" t="s">
        <v>2947</v>
      </c>
      <c r="X1082" s="5">
        <f t="shared" si="9"/>
        <v>-37.233333333333334</v>
      </c>
      <c r="Y1082" s="5">
        <f t="shared" si="10"/>
        <v>143.11666666666667</v>
      </c>
      <c r="Z1082" s="6">
        <v>309</v>
      </c>
      <c r="AA1082" s="44"/>
    </row>
    <row r="1083" spans="1:28" ht="21.75" customHeight="1" x14ac:dyDescent="0.2">
      <c r="A1083" s="7" t="s">
        <v>3089</v>
      </c>
      <c r="B1083" s="7" t="s">
        <v>3058</v>
      </c>
      <c r="C1083" s="7" t="s">
        <v>2947</v>
      </c>
      <c r="D1083" s="7" t="s">
        <v>3078</v>
      </c>
      <c r="E1083" s="7" t="s">
        <v>398</v>
      </c>
      <c r="F1083" s="7" t="s">
        <v>62</v>
      </c>
      <c r="G1083" s="7" t="s">
        <v>3077</v>
      </c>
      <c r="H1083" s="1" t="s">
        <v>3067</v>
      </c>
      <c r="I1083" s="7">
        <v>1.27</v>
      </c>
      <c r="J1083" s="7" t="s">
        <v>4433</v>
      </c>
      <c r="K1083" s="7" t="s">
        <v>4410</v>
      </c>
      <c r="L1083" s="6">
        <v>550</v>
      </c>
      <c r="S1083" s="7" t="s">
        <v>3084</v>
      </c>
      <c r="T1083" s="18" t="s">
        <v>3085</v>
      </c>
      <c r="W1083" s="7" t="s">
        <v>2947</v>
      </c>
      <c r="X1083" s="5">
        <f t="shared" si="9"/>
        <v>-37.233333333333334</v>
      </c>
      <c r="Y1083" s="5">
        <f t="shared" si="10"/>
        <v>143.11666666666667</v>
      </c>
      <c r="Z1083" s="6">
        <v>309</v>
      </c>
      <c r="AA1083" s="44"/>
    </row>
    <row r="1084" spans="1:28" s="8" customFormat="1" ht="21.75" customHeight="1" x14ac:dyDescent="0.2">
      <c r="A1084" s="8" t="s">
        <v>5037</v>
      </c>
      <c r="B1084" s="8" t="s">
        <v>5038</v>
      </c>
      <c r="C1084" s="8" t="s">
        <v>5053</v>
      </c>
      <c r="D1084" s="8" t="s">
        <v>5040</v>
      </c>
      <c r="E1084" s="8" t="s">
        <v>5049</v>
      </c>
      <c r="F1084" s="8" t="s">
        <v>212</v>
      </c>
      <c r="H1084" s="3" t="s">
        <v>5047</v>
      </c>
      <c r="I1084" s="8">
        <v>0.62</v>
      </c>
      <c r="J1084" s="8" t="s">
        <v>4367</v>
      </c>
      <c r="K1084" s="8" t="s">
        <v>4480</v>
      </c>
      <c r="L1084" s="14">
        <v>1389</v>
      </c>
      <c r="M1084" s="14" t="s">
        <v>5054</v>
      </c>
      <c r="N1084" s="14"/>
      <c r="O1084" s="110" t="s">
        <v>5057</v>
      </c>
      <c r="P1084" s="4"/>
      <c r="R1084" s="8" t="s">
        <v>5050</v>
      </c>
      <c r="T1084" s="9"/>
      <c r="U1084" s="8" t="s">
        <v>5044</v>
      </c>
      <c r="V1084" s="8" t="s">
        <v>5045</v>
      </c>
      <c r="X1084" s="13">
        <f>24+43.5/60</f>
        <v>24.725000000000001</v>
      </c>
      <c r="Y1084" s="13">
        <f>108+18.5/60</f>
        <v>108.30833333333334</v>
      </c>
      <c r="Z1084" s="14">
        <v>522</v>
      </c>
      <c r="AA1084" s="22" t="s">
        <v>5043</v>
      </c>
    </row>
    <row r="1085" spans="1:28" s="8" customFormat="1" ht="21.75" customHeight="1" x14ac:dyDescent="0.2">
      <c r="A1085" s="8" t="s">
        <v>5037</v>
      </c>
      <c r="B1085" s="8" t="s">
        <v>5038</v>
      </c>
      <c r="C1085" s="8" t="s">
        <v>5053</v>
      </c>
      <c r="D1085" s="8" t="s">
        <v>5040</v>
      </c>
      <c r="E1085" s="8" t="s">
        <v>280</v>
      </c>
      <c r="F1085" s="8" t="s">
        <v>214</v>
      </c>
      <c r="H1085" s="3" t="s">
        <v>5048</v>
      </c>
      <c r="I1085" s="8">
        <v>0.37</v>
      </c>
      <c r="J1085" s="8" t="s">
        <v>4367</v>
      </c>
      <c r="K1085" s="8" t="s">
        <v>4480</v>
      </c>
      <c r="L1085" s="14">
        <v>1389</v>
      </c>
      <c r="M1085" s="14" t="s">
        <v>5054</v>
      </c>
      <c r="N1085" s="14"/>
      <c r="O1085" s="110" t="s">
        <v>5057</v>
      </c>
      <c r="P1085" s="4"/>
      <c r="R1085" s="8" t="s">
        <v>5050</v>
      </c>
      <c r="T1085" s="9"/>
      <c r="U1085" s="8" t="s">
        <v>5044</v>
      </c>
      <c r="V1085" s="8" t="s">
        <v>5045</v>
      </c>
      <c r="X1085" s="13">
        <f>24+43.5/60</f>
        <v>24.725000000000001</v>
      </c>
      <c r="Y1085" s="13">
        <f>108+18.5/60</f>
        <v>108.30833333333334</v>
      </c>
      <c r="Z1085" s="14">
        <v>522</v>
      </c>
      <c r="AA1085" s="22" t="s">
        <v>5046</v>
      </c>
    </row>
    <row r="1086" spans="1:28" s="8" customFormat="1" ht="21.75" customHeight="1" x14ac:dyDescent="0.2">
      <c r="A1086" s="8" t="s">
        <v>5037</v>
      </c>
      <c r="B1086" s="8" t="s">
        <v>5038</v>
      </c>
      <c r="C1086" s="8" t="s">
        <v>5053</v>
      </c>
      <c r="D1086" s="8" t="s">
        <v>5039</v>
      </c>
      <c r="E1086" s="8" t="s">
        <v>5049</v>
      </c>
      <c r="F1086" s="8" t="s">
        <v>212</v>
      </c>
      <c r="H1086" s="3" t="s">
        <v>5047</v>
      </c>
      <c r="I1086" s="8">
        <v>1.17</v>
      </c>
      <c r="J1086" s="8" t="s">
        <v>4367</v>
      </c>
      <c r="K1086" s="8" t="s">
        <v>4480</v>
      </c>
      <c r="L1086" s="14">
        <v>1389</v>
      </c>
      <c r="M1086" s="14" t="s">
        <v>5054</v>
      </c>
      <c r="N1086" s="14"/>
      <c r="O1086" s="110" t="s">
        <v>5057</v>
      </c>
      <c r="P1086" s="4"/>
      <c r="R1086" s="8" t="s">
        <v>5051</v>
      </c>
      <c r="T1086" s="9"/>
      <c r="U1086" s="8" t="s">
        <v>5044</v>
      </c>
      <c r="V1086" s="8" t="s">
        <v>5045</v>
      </c>
      <c r="X1086" s="13">
        <v>24.721399999999999</v>
      </c>
      <c r="Y1086" s="13">
        <v>108.2985</v>
      </c>
      <c r="Z1086" s="14">
        <v>393</v>
      </c>
      <c r="AA1086" s="132" t="s">
        <v>5055</v>
      </c>
      <c r="AB1086" s="132" t="s">
        <v>5056</v>
      </c>
    </row>
    <row r="1087" spans="1:28" s="8" customFormat="1" ht="21.75" customHeight="1" x14ac:dyDescent="0.2">
      <c r="A1087" s="8" t="s">
        <v>5037</v>
      </c>
      <c r="B1087" s="8" t="s">
        <v>5038</v>
      </c>
      <c r="C1087" s="8" t="s">
        <v>5053</v>
      </c>
      <c r="D1087" s="8" t="s">
        <v>5039</v>
      </c>
      <c r="E1087" s="8" t="s">
        <v>280</v>
      </c>
      <c r="F1087" s="8" t="s">
        <v>214</v>
      </c>
      <c r="H1087" s="3" t="s">
        <v>5048</v>
      </c>
      <c r="I1087" s="8">
        <v>0.35</v>
      </c>
      <c r="J1087" s="8" t="s">
        <v>4367</v>
      </c>
      <c r="K1087" s="8" t="s">
        <v>4480</v>
      </c>
      <c r="L1087" s="14">
        <v>1389</v>
      </c>
      <c r="M1087" s="14" t="s">
        <v>5054</v>
      </c>
      <c r="N1087" s="14"/>
      <c r="O1087" s="110" t="s">
        <v>5057</v>
      </c>
      <c r="P1087" s="4"/>
      <c r="R1087" s="8" t="s">
        <v>5051</v>
      </c>
      <c r="T1087" s="9"/>
      <c r="U1087" s="8" t="s">
        <v>5044</v>
      </c>
      <c r="V1087" s="8" t="s">
        <v>5045</v>
      </c>
      <c r="X1087" s="13">
        <v>24.721399999999999</v>
      </c>
      <c r="Y1087" s="13">
        <v>108.2985</v>
      </c>
      <c r="Z1087" s="14">
        <v>393</v>
      </c>
      <c r="AA1087" s="133"/>
      <c r="AB1087" s="133"/>
    </row>
    <row r="1088" spans="1:28" s="8" customFormat="1" ht="21.75" customHeight="1" x14ac:dyDescent="0.2">
      <c r="A1088" s="8" t="s">
        <v>5037</v>
      </c>
      <c r="B1088" s="8" t="s">
        <v>5038</v>
      </c>
      <c r="C1088" s="8" t="s">
        <v>5053</v>
      </c>
      <c r="D1088" s="8" t="s">
        <v>5041</v>
      </c>
      <c r="E1088" s="8" t="s">
        <v>5049</v>
      </c>
      <c r="F1088" s="8" t="s">
        <v>212</v>
      </c>
      <c r="H1088" s="3" t="s">
        <v>5047</v>
      </c>
      <c r="I1088" s="8">
        <v>0.68</v>
      </c>
      <c r="J1088" s="8" t="s">
        <v>4367</v>
      </c>
      <c r="K1088" s="8" t="s">
        <v>4480</v>
      </c>
      <c r="L1088" s="14">
        <v>1389</v>
      </c>
      <c r="M1088" s="14" t="s">
        <v>5054</v>
      </c>
      <c r="N1088" s="14"/>
      <c r="O1088" s="110" t="s">
        <v>5057</v>
      </c>
      <c r="P1088" s="4"/>
      <c r="R1088" s="8" t="s">
        <v>5052</v>
      </c>
      <c r="T1088" s="9"/>
      <c r="U1088" s="8" t="s">
        <v>3396</v>
      </c>
      <c r="V1088" s="8">
        <v>0</v>
      </c>
      <c r="X1088" s="13">
        <v>24.9069</v>
      </c>
      <c r="Y1088" s="13">
        <v>107.9432</v>
      </c>
      <c r="Z1088" s="14">
        <v>509</v>
      </c>
      <c r="AA1088" s="22" t="s">
        <v>5042</v>
      </c>
    </row>
    <row r="1089" spans="1:28" s="8" customFormat="1" ht="21.75" customHeight="1" x14ac:dyDescent="0.2">
      <c r="A1089" s="8" t="s">
        <v>5037</v>
      </c>
      <c r="B1089" s="8" t="s">
        <v>5038</v>
      </c>
      <c r="C1089" s="8" t="s">
        <v>5053</v>
      </c>
      <c r="D1089" s="8" t="s">
        <v>5041</v>
      </c>
      <c r="E1089" s="8" t="s">
        <v>280</v>
      </c>
      <c r="F1089" s="8" t="s">
        <v>214</v>
      </c>
      <c r="H1089" s="3" t="s">
        <v>5048</v>
      </c>
      <c r="I1089" s="8">
        <v>0.26</v>
      </c>
      <c r="J1089" s="8" t="s">
        <v>4367</v>
      </c>
      <c r="K1089" s="8" t="s">
        <v>4480</v>
      </c>
      <c r="L1089" s="14">
        <v>1389</v>
      </c>
      <c r="M1089" s="14" t="s">
        <v>5054</v>
      </c>
      <c r="N1089" s="14"/>
      <c r="O1089" s="110" t="s">
        <v>5057</v>
      </c>
      <c r="P1089" s="4"/>
      <c r="R1089" s="8" t="s">
        <v>5052</v>
      </c>
      <c r="T1089" s="9"/>
      <c r="U1089" s="8" t="s">
        <v>3396</v>
      </c>
      <c r="V1089" s="8">
        <v>0</v>
      </c>
      <c r="X1089" s="13">
        <v>24.9069</v>
      </c>
      <c r="Y1089" s="13">
        <v>107.9432</v>
      </c>
      <c r="Z1089" s="14">
        <v>509</v>
      </c>
      <c r="AA1089" s="22"/>
    </row>
    <row r="1090" spans="1:28" ht="21.75" customHeight="1" x14ac:dyDescent="0.2">
      <c r="A1090" s="7" t="s">
        <v>5845</v>
      </c>
      <c r="B1090" s="7" t="s">
        <v>5846</v>
      </c>
      <c r="C1090" s="7" t="s">
        <v>284</v>
      </c>
      <c r="E1090" s="7" t="s">
        <v>263</v>
      </c>
      <c r="F1090" s="7" t="s">
        <v>212</v>
      </c>
      <c r="H1090" s="1" t="s">
        <v>5847</v>
      </c>
      <c r="I1090" s="7">
        <v>4</v>
      </c>
      <c r="J1090" s="7" t="s">
        <v>4367</v>
      </c>
      <c r="K1090" s="7" t="s">
        <v>4480</v>
      </c>
      <c r="L1090" s="6">
        <v>2000</v>
      </c>
      <c r="O1090" s="45" t="s">
        <v>5848</v>
      </c>
      <c r="R1090" s="7" t="s">
        <v>5850</v>
      </c>
      <c r="T1090" s="18"/>
      <c r="U1090" s="7" t="s">
        <v>878</v>
      </c>
      <c r="X1090" s="5">
        <f>2+59/60</f>
        <v>2.9833333333333334</v>
      </c>
      <c r="Y1090" s="5">
        <f>102+18/60</f>
        <v>102.3</v>
      </c>
      <c r="Z1090" s="6">
        <v>121</v>
      </c>
      <c r="AA1090" s="44" t="s">
        <v>5849</v>
      </c>
    </row>
    <row r="1091" spans="1:28" s="8" customFormat="1" ht="21.75" customHeight="1" x14ac:dyDescent="0.2">
      <c r="A1091" s="8" t="s">
        <v>2889</v>
      </c>
      <c r="B1091" s="8" t="s">
        <v>2908</v>
      </c>
      <c r="C1091" s="8" t="s">
        <v>2909</v>
      </c>
      <c r="D1091" s="8">
        <v>1</v>
      </c>
      <c r="E1091" s="8" t="s">
        <v>263</v>
      </c>
      <c r="F1091" s="8" t="s">
        <v>214</v>
      </c>
      <c r="H1091" s="3" t="s">
        <v>2904</v>
      </c>
      <c r="I1091" s="8">
        <v>7</v>
      </c>
      <c r="J1091" s="8" t="s">
        <v>5793</v>
      </c>
      <c r="K1091" s="8" t="s">
        <v>5794</v>
      </c>
      <c r="L1091" s="14" t="s">
        <v>2901</v>
      </c>
      <c r="M1091" s="14" t="s">
        <v>2902</v>
      </c>
      <c r="N1091" s="14"/>
      <c r="O1091" s="110"/>
      <c r="P1091" s="4"/>
      <c r="R1091" s="8" t="s">
        <v>2893</v>
      </c>
      <c r="T1091" s="9"/>
      <c r="U1091" s="8" t="s">
        <v>2892</v>
      </c>
      <c r="X1091" s="13">
        <v>43.557509000000003</v>
      </c>
      <c r="Y1091" s="13">
        <v>3.28955927803452</v>
      </c>
      <c r="Z1091" s="14">
        <v>252</v>
      </c>
      <c r="AA1091" s="132" t="s">
        <v>2903</v>
      </c>
      <c r="AB1091" s="8" t="s">
        <v>2891</v>
      </c>
    </row>
    <row r="1092" spans="1:28" s="8" customFormat="1" ht="21.75" customHeight="1" x14ac:dyDescent="0.2">
      <c r="A1092" s="8" t="s">
        <v>2889</v>
      </c>
      <c r="B1092" s="8" t="s">
        <v>2908</v>
      </c>
      <c r="C1092" s="8" t="s">
        <v>2909</v>
      </c>
      <c r="D1092" s="8">
        <v>2</v>
      </c>
      <c r="E1092" s="8" t="s">
        <v>263</v>
      </c>
      <c r="F1092" s="8" t="s">
        <v>214</v>
      </c>
      <c r="H1092" s="3" t="s">
        <v>2904</v>
      </c>
      <c r="I1092" s="8">
        <v>9</v>
      </c>
      <c r="J1092" s="8" t="s">
        <v>5793</v>
      </c>
      <c r="K1092" s="8" t="s">
        <v>5794</v>
      </c>
      <c r="L1092" s="14" t="s">
        <v>2901</v>
      </c>
      <c r="M1092" s="14" t="s">
        <v>2902</v>
      </c>
      <c r="N1092" s="14"/>
      <c r="O1092" s="110"/>
      <c r="P1092" s="4"/>
      <c r="R1092" s="8" t="s">
        <v>2893</v>
      </c>
      <c r="T1092" s="9"/>
      <c r="U1092" s="8" t="s">
        <v>2892</v>
      </c>
      <c r="X1092" s="13">
        <v>43.560116000000001</v>
      </c>
      <c r="Y1092" s="13">
        <v>3.2946854197794502</v>
      </c>
      <c r="Z1092" s="14">
        <v>191</v>
      </c>
      <c r="AA1092" s="137"/>
      <c r="AB1092" s="8" t="s">
        <v>2891</v>
      </c>
    </row>
    <row r="1093" spans="1:28" s="8" customFormat="1" ht="21.75" customHeight="1" x14ac:dyDescent="0.2">
      <c r="A1093" s="8" t="s">
        <v>2889</v>
      </c>
      <c r="B1093" s="8" t="s">
        <v>2908</v>
      </c>
      <c r="C1093" s="8" t="s">
        <v>2909</v>
      </c>
      <c r="D1093" s="8">
        <v>3</v>
      </c>
      <c r="E1093" s="8" t="s">
        <v>263</v>
      </c>
      <c r="F1093" s="8" t="s">
        <v>214</v>
      </c>
      <c r="H1093" s="3" t="s">
        <v>2904</v>
      </c>
      <c r="I1093" s="8">
        <v>7.5</v>
      </c>
      <c r="J1093" s="8" t="s">
        <v>5793</v>
      </c>
      <c r="K1093" s="8" t="s">
        <v>5794</v>
      </c>
      <c r="L1093" s="14" t="s">
        <v>2901</v>
      </c>
      <c r="M1093" s="14" t="s">
        <v>2902</v>
      </c>
      <c r="N1093" s="14"/>
      <c r="O1093" s="110"/>
      <c r="P1093" s="4"/>
      <c r="R1093" s="8" t="s">
        <v>2893</v>
      </c>
      <c r="T1093" s="9"/>
      <c r="U1093" s="8" t="s">
        <v>2892</v>
      </c>
      <c r="X1093" s="13">
        <v>43.567511000000003</v>
      </c>
      <c r="Y1093" s="13">
        <v>3.2866971215321401</v>
      </c>
      <c r="Z1093" s="14">
        <v>638</v>
      </c>
      <c r="AA1093" s="137"/>
      <c r="AB1093" s="8" t="s">
        <v>2891</v>
      </c>
    </row>
    <row r="1094" spans="1:28" s="8" customFormat="1" ht="21.75" customHeight="1" x14ac:dyDescent="0.2">
      <c r="A1094" s="8" t="s">
        <v>2889</v>
      </c>
      <c r="B1094" s="8" t="s">
        <v>2908</v>
      </c>
      <c r="C1094" s="8" t="s">
        <v>2909</v>
      </c>
      <c r="D1094" s="8">
        <v>4</v>
      </c>
      <c r="E1094" s="8" t="s">
        <v>263</v>
      </c>
      <c r="F1094" s="8" t="s">
        <v>214</v>
      </c>
      <c r="G1094" s="8" t="s">
        <v>2907</v>
      </c>
      <c r="H1094" s="3"/>
      <c r="I1094" s="8">
        <v>8</v>
      </c>
      <c r="J1094" s="8" t="s">
        <v>5793</v>
      </c>
      <c r="K1094" s="8" t="s">
        <v>5794</v>
      </c>
      <c r="L1094" s="14" t="s">
        <v>2901</v>
      </c>
      <c r="M1094" s="14" t="s">
        <v>2902</v>
      </c>
      <c r="N1094" s="14"/>
      <c r="O1094" s="110"/>
      <c r="P1094" s="4"/>
      <c r="R1094" s="8" t="s">
        <v>2899</v>
      </c>
      <c r="T1094" s="9"/>
      <c r="U1094" s="8" t="s">
        <v>2898</v>
      </c>
      <c r="V1094" s="8" t="s">
        <v>2900</v>
      </c>
      <c r="X1094" s="13">
        <v>43.632643000000002</v>
      </c>
      <c r="Y1094" s="13">
        <v>3.2144243646583099</v>
      </c>
      <c r="Z1094" s="14">
        <v>367</v>
      </c>
      <c r="AA1094" s="137"/>
      <c r="AB1094" s="8" t="s">
        <v>2891</v>
      </c>
    </row>
    <row r="1095" spans="1:28" s="8" customFormat="1" ht="21.75" customHeight="1" x14ac:dyDescent="0.2">
      <c r="A1095" s="8" t="s">
        <v>2889</v>
      </c>
      <c r="B1095" s="8" t="s">
        <v>2908</v>
      </c>
      <c r="C1095" s="8" t="s">
        <v>2909</v>
      </c>
      <c r="D1095" s="8">
        <v>5</v>
      </c>
      <c r="E1095" s="8" t="s">
        <v>263</v>
      </c>
      <c r="F1095" s="8" t="s">
        <v>214</v>
      </c>
      <c r="G1095" s="8" t="s">
        <v>2907</v>
      </c>
      <c r="H1095" s="3"/>
      <c r="I1095" s="8">
        <v>8.5</v>
      </c>
      <c r="J1095" s="8" t="s">
        <v>5793</v>
      </c>
      <c r="K1095" s="8" t="s">
        <v>5794</v>
      </c>
      <c r="L1095" s="14" t="s">
        <v>2901</v>
      </c>
      <c r="M1095" s="14" t="s">
        <v>2902</v>
      </c>
      <c r="N1095" s="14"/>
      <c r="O1095" s="110"/>
      <c r="P1095" s="4"/>
      <c r="R1095" s="8" t="s">
        <v>2899</v>
      </c>
      <c r="T1095" s="9"/>
      <c r="U1095" s="8" t="s">
        <v>2898</v>
      </c>
      <c r="V1095" s="8" t="s">
        <v>2900</v>
      </c>
      <c r="X1095" s="13">
        <v>43.635548999999997</v>
      </c>
      <c r="Y1095" s="13">
        <v>3.2058310296088801</v>
      </c>
      <c r="Z1095" s="14">
        <v>384</v>
      </c>
      <c r="AA1095" s="137"/>
      <c r="AB1095" s="8" t="s">
        <v>2891</v>
      </c>
    </row>
    <row r="1096" spans="1:28" s="8" customFormat="1" ht="21.75" customHeight="1" x14ac:dyDescent="0.2">
      <c r="A1096" s="8" t="s">
        <v>2889</v>
      </c>
      <c r="B1096" s="8" t="s">
        <v>2908</v>
      </c>
      <c r="C1096" s="8" t="s">
        <v>2909</v>
      </c>
      <c r="D1096" s="8">
        <v>6</v>
      </c>
      <c r="E1096" s="8" t="s">
        <v>263</v>
      </c>
      <c r="F1096" s="8" t="s">
        <v>214</v>
      </c>
      <c r="H1096" s="3" t="s">
        <v>2905</v>
      </c>
      <c r="I1096" s="8">
        <v>7</v>
      </c>
      <c r="J1096" s="8" t="s">
        <v>5793</v>
      </c>
      <c r="K1096" s="8" t="s">
        <v>5794</v>
      </c>
      <c r="L1096" s="14" t="s">
        <v>2901</v>
      </c>
      <c r="M1096" s="14" t="s">
        <v>2902</v>
      </c>
      <c r="N1096" s="14"/>
      <c r="O1096" s="110"/>
      <c r="P1096" s="4"/>
      <c r="R1096" s="8" t="s">
        <v>2895</v>
      </c>
      <c r="T1096" s="9"/>
      <c r="U1096" s="8" t="s">
        <v>2894</v>
      </c>
      <c r="W1096" s="8" t="s">
        <v>2910</v>
      </c>
      <c r="X1096" s="13">
        <v>43.592689999999997</v>
      </c>
      <c r="Y1096" s="13">
        <v>3.2588559751868198</v>
      </c>
      <c r="Z1096" s="14">
        <v>364</v>
      </c>
      <c r="AA1096" s="137"/>
      <c r="AB1096" s="8" t="s">
        <v>2891</v>
      </c>
    </row>
    <row r="1097" spans="1:28" s="8" customFormat="1" ht="21.75" customHeight="1" x14ac:dyDescent="0.2">
      <c r="A1097" s="8" t="s">
        <v>2889</v>
      </c>
      <c r="B1097" s="8" t="s">
        <v>2908</v>
      </c>
      <c r="C1097" s="8" t="s">
        <v>2909</v>
      </c>
      <c r="D1097" s="8">
        <v>9</v>
      </c>
      <c r="E1097" s="8" t="s">
        <v>263</v>
      </c>
      <c r="F1097" s="8" t="s">
        <v>214</v>
      </c>
      <c r="H1097" s="3" t="s">
        <v>2904</v>
      </c>
      <c r="I1097" s="8">
        <v>4.7</v>
      </c>
      <c r="J1097" s="8" t="s">
        <v>5793</v>
      </c>
      <c r="K1097" s="8" t="s">
        <v>5794</v>
      </c>
      <c r="L1097" s="14" t="s">
        <v>2901</v>
      </c>
      <c r="M1097" s="14" t="s">
        <v>2902</v>
      </c>
      <c r="N1097" s="14"/>
      <c r="O1097" s="110"/>
      <c r="P1097" s="4"/>
      <c r="R1097" s="8" t="s">
        <v>2893</v>
      </c>
      <c r="T1097" s="9"/>
      <c r="U1097" s="8" t="s">
        <v>2892</v>
      </c>
      <c r="X1097" s="13">
        <v>43.563063</v>
      </c>
      <c r="Y1097" s="13">
        <v>3.29016784778067</v>
      </c>
      <c r="Z1097" s="14">
        <v>251</v>
      </c>
      <c r="AA1097" s="137"/>
      <c r="AB1097" s="8" t="s">
        <v>2890</v>
      </c>
    </row>
    <row r="1098" spans="1:28" s="8" customFormat="1" ht="21.75" customHeight="1" x14ac:dyDescent="0.2">
      <c r="A1098" s="8" t="s">
        <v>2889</v>
      </c>
      <c r="B1098" s="8" t="s">
        <v>2908</v>
      </c>
      <c r="C1098" s="8" t="s">
        <v>2909</v>
      </c>
      <c r="D1098" s="8">
        <v>10</v>
      </c>
      <c r="E1098" s="8" t="s">
        <v>263</v>
      </c>
      <c r="F1098" s="8" t="s">
        <v>214</v>
      </c>
      <c r="G1098" s="8" t="s">
        <v>2907</v>
      </c>
      <c r="H1098" s="3"/>
      <c r="I1098" s="8">
        <v>11</v>
      </c>
      <c r="J1098" s="8" t="s">
        <v>5793</v>
      </c>
      <c r="K1098" s="8" t="s">
        <v>5794</v>
      </c>
      <c r="L1098" s="14" t="s">
        <v>2901</v>
      </c>
      <c r="M1098" s="14" t="s">
        <v>2902</v>
      </c>
      <c r="N1098" s="14"/>
      <c r="O1098" s="110"/>
      <c r="P1098" s="4"/>
      <c r="R1098" s="8" t="s">
        <v>2899</v>
      </c>
      <c r="T1098" s="9"/>
      <c r="U1098" s="8" t="s">
        <v>2898</v>
      </c>
      <c r="V1098" s="8" t="s">
        <v>2900</v>
      </c>
      <c r="X1098" s="13">
        <v>43.634909999999998</v>
      </c>
      <c r="Y1098" s="13">
        <v>3.2156721325228301</v>
      </c>
      <c r="Z1098" s="14">
        <v>365</v>
      </c>
      <c r="AA1098" s="137"/>
      <c r="AB1098" s="8" t="s">
        <v>2891</v>
      </c>
    </row>
    <row r="1099" spans="1:28" s="8" customFormat="1" ht="21.75" customHeight="1" x14ac:dyDescent="0.2">
      <c r="A1099" s="8" t="s">
        <v>2889</v>
      </c>
      <c r="B1099" s="8" t="s">
        <v>2908</v>
      </c>
      <c r="C1099" s="8" t="s">
        <v>2909</v>
      </c>
      <c r="D1099" s="8">
        <v>11</v>
      </c>
      <c r="E1099" s="8" t="s">
        <v>263</v>
      </c>
      <c r="F1099" s="8" t="s">
        <v>214</v>
      </c>
      <c r="H1099" s="3" t="s">
        <v>2906</v>
      </c>
      <c r="I1099" s="8">
        <v>12</v>
      </c>
      <c r="J1099" s="8" t="s">
        <v>5793</v>
      </c>
      <c r="K1099" s="8" t="s">
        <v>5794</v>
      </c>
      <c r="L1099" s="14" t="s">
        <v>2901</v>
      </c>
      <c r="M1099" s="14" t="s">
        <v>2902</v>
      </c>
      <c r="N1099" s="14"/>
      <c r="O1099" s="110"/>
      <c r="P1099" s="4"/>
      <c r="R1099" s="8" t="s">
        <v>2897</v>
      </c>
      <c r="T1099" s="9"/>
      <c r="U1099" s="8" t="s">
        <v>2896</v>
      </c>
      <c r="X1099" s="13">
        <v>43.620752000000003</v>
      </c>
      <c r="Y1099" s="13">
        <v>3.23558853362265</v>
      </c>
      <c r="Z1099" s="14">
        <v>437</v>
      </c>
      <c r="AA1099" s="137"/>
      <c r="AB1099" s="8" t="s">
        <v>2891</v>
      </c>
    </row>
    <row r="1100" spans="1:28" s="8" customFormat="1" ht="21.75" customHeight="1" x14ac:dyDescent="0.2">
      <c r="A1100" s="8" t="s">
        <v>2889</v>
      </c>
      <c r="B1100" s="8" t="s">
        <v>2908</v>
      </c>
      <c r="C1100" s="8" t="s">
        <v>2909</v>
      </c>
      <c r="D1100" s="8">
        <v>12</v>
      </c>
      <c r="E1100" s="8" t="s">
        <v>263</v>
      </c>
      <c r="F1100" s="8" t="s">
        <v>214</v>
      </c>
      <c r="H1100" s="3" t="s">
        <v>2906</v>
      </c>
      <c r="I1100" s="8">
        <v>11</v>
      </c>
      <c r="J1100" s="8" t="s">
        <v>5793</v>
      </c>
      <c r="K1100" s="8" t="s">
        <v>5794</v>
      </c>
      <c r="L1100" s="14" t="s">
        <v>2901</v>
      </c>
      <c r="M1100" s="14" t="s">
        <v>2902</v>
      </c>
      <c r="N1100" s="14"/>
      <c r="O1100" s="110"/>
      <c r="P1100" s="4"/>
      <c r="R1100" s="8" t="s">
        <v>2897</v>
      </c>
      <c r="T1100" s="9"/>
      <c r="U1100" s="8" t="s">
        <v>2896</v>
      </c>
      <c r="X1100" s="13">
        <v>43.617235000000001</v>
      </c>
      <c r="Y1100" s="13">
        <v>3.23820221384161</v>
      </c>
      <c r="Z1100" s="14">
        <v>420</v>
      </c>
      <c r="AA1100" s="137"/>
      <c r="AB1100" s="8" t="s">
        <v>2891</v>
      </c>
    </row>
    <row r="1101" spans="1:28" s="8" customFormat="1" ht="21.75" customHeight="1" x14ac:dyDescent="0.2">
      <c r="A1101" s="8" t="s">
        <v>2889</v>
      </c>
      <c r="B1101" s="8" t="s">
        <v>2908</v>
      </c>
      <c r="C1101" s="8" t="s">
        <v>2909</v>
      </c>
      <c r="D1101" s="8">
        <v>13</v>
      </c>
      <c r="E1101" s="8" t="s">
        <v>263</v>
      </c>
      <c r="F1101" s="8" t="s">
        <v>214</v>
      </c>
      <c r="H1101" s="3" t="s">
        <v>2904</v>
      </c>
      <c r="I1101" s="8">
        <v>10</v>
      </c>
      <c r="J1101" s="8" t="s">
        <v>5793</v>
      </c>
      <c r="K1101" s="8" t="s">
        <v>5794</v>
      </c>
      <c r="L1101" s="14" t="s">
        <v>2901</v>
      </c>
      <c r="M1101" s="14" t="s">
        <v>2902</v>
      </c>
      <c r="N1101" s="14"/>
      <c r="O1101" s="110"/>
      <c r="P1101" s="4"/>
      <c r="R1101" s="8" t="s">
        <v>2893</v>
      </c>
      <c r="T1101" s="9"/>
      <c r="U1101" s="8" t="s">
        <v>2892</v>
      </c>
      <c r="X1101" s="13">
        <v>43.589703999999998</v>
      </c>
      <c r="Y1101" s="13">
        <v>3.2802245215283499</v>
      </c>
      <c r="Z1101" s="14">
        <v>374</v>
      </c>
      <c r="AA1101" s="137"/>
      <c r="AB1101" s="8" t="s">
        <v>2891</v>
      </c>
    </row>
    <row r="1102" spans="1:28" s="8" customFormat="1" ht="21.75" customHeight="1" x14ac:dyDescent="0.2">
      <c r="A1102" s="8" t="s">
        <v>2889</v>
      </c>
      <c r="B1102" s="8" t="s">
        <v>2908</v>
      </c>
      <c r="C1102" s="8" t="s">
        <v>2909</v>
      </c>
      <c r="D1102" s="8">
        <v>14</v>
      </c>
      <c r="E1102" s="8" t="s">
        <v>263</v>
      </c>
      <c r="F1102" s="8" t="s">
        <v>214</v>
      </c>
      <c r="H1102" s="3" t="s">
        <v>2905</v>
      </c>
      <c r="I1102" s="8">
        <v>3.7</v>
      </c>
      <c r="J1102" s="8" t="s">
        <v>5793</v>
      </c>
      <c r="K1102" s="8" t="s">
        <v>5794</v>
      </c>
      <c r="L1102" s="14" t="s">
        <v>2901</v>
      </c>
      <c r="M1102" s="14" t="s">
        <v>2902</v>
      </c>
      <c r="N1102" s="14"/>
      <c r="O1102" s="110"/>
      <c r="P1102" s="4"/>
      <c r="R1102" s="8" t="s">
        <v>2895</v>
      </c>
      <c r="T1102" s="9"/>
      <c r="U1102" s="8" t="s">
        <v>2894</v>
      </c>
      <c r="W1102" s="8" t="s">
        <v>2910</v>
      </c>
      <c r="X1102" s="13">
        <v>43.562645000000003</v>
      </c>
      <c r="Y1102" s="13">
        <v>3.2808420053905301</v>
      </c>
      <c r="Z1102" s="14">
        <v>297</v>
      </c>
      <c r="AA1102" s="133"/>
      <c r="AB1102" s="8" t="s">
        <v>2890</v>
      </c>
    </row>
    <row r="1103" spans="1:28" s="77" customFormat="1" ht="21.75" customHeight="1" x14ac:dyDescent="0.2">
      <c r="A1103" s="77" t="s">
        <v>7683</v>
      </c>
      <c r="B1103" s="77" t="s">
        <v>7684</v>
      </c>
      <c r="C1103" s="77" t="s">
        <v>46</v>
      </c>
      <c r="E1103" s="77" t="s">
        <v>5418</v>
      </c>
      <c r="F1103" s="77" t="s">
        <v>7688</v>
      </c>
      <c r="G1103" s="77" t="s">
        <v>7687</v>
      </c>
      <c r="H1103" s="78" t="s">
        <v>7686</v>
      </c>
      <c r="I1103" s="77">
        <v>1.1499999999999999</v>
      </c>
      <c r="J1103" s="77" t="s">
        <v>4367</v>
      </c>
      <c r="K1103" s="77" t="s">
        <v>4480</v>
      </c>
      <c r="L1103" s="79"/>
      <c r="M1103" s="79"/>
      <c r="N1103" s="79"/>
      <c r="O1103" s="111" t="s">
        <v>7685</v>
      </c>
      <c r="P1103" s="80"/>
      <c r="T1103" s="89"/>
      <c r="X1103" s="81">
        <v>29.058199999999999</v>
      </c>
      <c r="Y1103" s="81">
        <v>-112.08</v>
      </c>
      <c r="Z1103" s="79">
        <v>235</v>
      </c>
      <c r="AA1103" s="88" t="s">
        <v>7689</v>
      </c>
    </row>
    <row r="1104" spans="1:28" s="8" customFormat="1" ht="21.75" customHeight="1" x14ac:dyDescent="0.2">
      <c r="A1104" s="8" t="s">
        <v>2812</v>
      </c>
      <c r="B1104" s="8" t="s">
        <v>1316</v>
      </c>
      <c r="C1104" s="8" t="s">
        <v>46</v>
      </c>
      <c r="E1104" s="8" t="s">
        <v>280</v>
      </c>
      <c r="F1104" s="8" t="s">
        <v>212</v>
      </c>
      <c r="G1104" s="8" t="s">
        <v>1314</v>
      </c>
      <c r="H1104" s="3" t="s">
        <v>1315</v>
      </c>
      <c r="I1104" s="8" t="s">
        <v>1317</v>
      </c>
      <c r="J1104" s="8" t="s">
        <v>4433</v>
      </c>
      <c r="K1104" s="8" t="s">
        <v>4480</v>
      </c>
      <c r="L1104" s="14"/>
      <c r="M1104" s="14"/>
      <c r="N1104" s="14"/>
      <c r="O1104" s="110" t="s">
        <v>770</v>
      </c>
      <c r="P1104" s="4" t="s">
        <v>1317</v>
      </c>
      <c r="R1104" s="8" t="s">
        <v>1318</v>
      </c>
      <c r="T1104" s="9"/>
      <c r="X1104" s="13">
        <v>33.088799999999999</v>
      </c>
      <c r="Y1104" s="13">
        <v>-115.9074</v>
      </c>
      <c r="Z1104" s="14">
        <v>-30</v>
      </c>
      <c r="AA1104" s="8" t="s">
        <v>1319</v>
      </c>
      <c r="AB1104" s="8" t="s">
        <v>1320</v>
      </c>
    </row>
    <row r="1105" spans="1:28" ht="21.75" customHeight="1" x14ac:dyDescent="0.2">
      <c r="A1105" s="7" t="s">
        <v>3149</v>
      </c>
      <c r="B1105" s="7" t="s">
        <v>3159</v>
      </c>
      <c r="C1105" s="7" t="s">
        <v>1883</v>
      </c>
      <c r="D1105" s="7" t="s">
        <v>3150</v>
      </c>
      <c r="E1105" s="7" t="s">
        <v>280</v>
      </c>
      <c r="F1105" s="7" t="s">
        <v>214</v>
      </c>
      <c r="G1105" s="7" t="s">
        <v>39</v>
      </c>
      <c r="H1105" s="1" t="s">
        <v>40</v>
      </c>
      <c r="I1105" s="7">
        <v>0.34</v>
      </c>
      <c r="J1105" s="7" t="s">
        <v>5795</v>
      </c>
      <c r="K1105" s="7" t="s">
        <v>4480</v>
      </c>
      <c r="L1105" s="6">
        <v>560</v>
      </c>
      <c r="O1105" s="45" t="s">
        <v>3160</v>
      </c>
      <c r="P1105" s="2" t="s">
        <v>3155</v>
      </c>
      <c r="Q1105" s="7">
        <v>0.34</v>
      </c>
      <c r="R1105" s="7" t="s">
        <v>3161</v>
      </c>
      <c r="T1105" s="18"/>
      <c r="W1105" s="7" t="s">
        <v>3162</v>
      </c>
      <c r="X1105" s="5">
        <v>37.043900000000001</v>
      </c>
      <c r="Y1105" s="5">
        <v>-99.756600000000006</v>
      </c>
      <c r="Z1105" s="6">
        <v>561</v>
      </c>
      <c r="AA1105" s="44" t="s">
        <v>3163</v>
      </c>
      <c r="AB1105" s="139" t="s">
        <v>3154</v>
      </c>
    </row>
    <row r="1106" spans="1:28" ht="21.75" customHeight="1" x14ac:dyDescent="0.2">
      <c r="A1106" s="7" t="s">
        <v>3149</v>
      </c>
      <c r="B1106" s="7" t="s">
        <v>3159</v>
      </c>
      <c r="C1106" s="7" t="s">
        <v>1883</v>
      </c>
      <c r="D1106" s="7" t="s">
        <v>3151</v>
      </c>
      <c r="E1106" s="7" t="s">
        <v>280</v>
      </c>
      <c r="F1106" s="7" t="s">
        <v>214</v>
      </c>
      <c r="G1106" s="7" t="s">
        <v>39</v>
      </c>
      <c r="H1106" s="1" t="s">
        <v>40</v>
      </c>
      <c r="I1106" s="7">
        <v>1.45</v>
      </c>
      <c r="J1106" s="7" t="s">
        <v>5795</v>
      </c>
      <c r="K1106" s="7" t="s">
        <v>4480</v>
      </c>
      <c r="L1106" s="6">
        <v>560</v>
      </c>
      <c r="O1106" s="45" t="s">
        <v>3160</v>
      </c>
      <c r="P1106" s="2" t="s">
        <v>3156</v>
      </c>
      <c r="Q1106" s="7">
        <v>1.45</v>
      </c>
      <c r="R1106" s="7" t="s">
        <v>3161</v>
      </c>
      <c r="T1106" s="18"/>
      <c r="W1106" s="7" t="s">
        <v>3162</v>
      </c>
      <c r="X1106" s="5">
        <v>37.045099999999998</v>
      </c>
      <c r="Y1106" s="5">
        <v>-99.756399999999999</v>
      </c>
      <c r="Z1106" s="6">
        <v>561</v>
      </c>
      <c r="AA1106" s="44" t="s">
        <v>3165</v>
      </c>
      <c r="AB1106" s="139"/>
    </row>
    <row r="1107" spans="1:28" ht="21.75" customHeight="1" x14ac:dyDescent="0.2">
      <c r="A1107" s="7" t="s">
        <v>3149</v>
      </c>
      <c r="B1107" s="7" t="s">
        <v>3159</v>
      </c>
      <c r="C1107" s="7" t="s">
        <v>1883</v>
      </c>
      <c r="D1107" s="7" t="s">
        <v>3152</v>
      </c>
      <c r="E1107" s="7" t="s">
        <v>280</v>
      </c>
      <c r="F1107" s="7" t="s">
        <v>214</v>
      </c>
      <c r="G1107" s="7" t="s">
        <v>39</v>
      </c>
      <c r="H1107" s="1" t="s">
        <v>40</v>
      </c>
      <c r="I1107" s="7">
        <v>0.85</v>
      </c>
      <c r="J1107" s="7" t="s">
        <v>5795</v>
      </c>
      <c r="K1107" s="7" t="s">
        <v>4480</v>
      </c>
      <c r="L1107" s="6">
        <v>560</v>
      </c>
      <c r="O1107" s="45" t="s">
        <v>3160</v>
      </c>
      <c r="P1107" s="2" t="s">
        <v>3157</v>
      </c>
      <c r="Q1107" s="7">
        <v>0.85</v>
      </c>
      <c r="R1107" s="7" t="s">
        <v>3161</v>
      </c>
      <c r="T1107" s="18"/>
      <c r="W1107" s="7" t="s">
        <v>3162</v>
      </c>
      <c r="X1107" s="5">
        <v>37.045900000000003</v>
      </c>
      <c r="Y1107" s="5">
        <v>-99.752700000000004</v>
      </c>
      <c r="Z1107" s="6">
        <v>560</v>
      </c>
      <c r="AA1107" s="44" t="s">
        <v>3164</v>
      </c>
      <c r="AB1107" s="139"/>
    </row>
    <row r="1108" spans="1:28" ht="21.75" customHeight="1" x14ac:dyDescent="0.2">
      <c r="A1108" s="7" t="s">
        <v>3149</v>
      </c>
      <c r="B1108" s="7" t="s">
        <v>3159</v>
      </c>
      <c r="C1108" s="7" t="s">
        <v>1883</v>
      </c>
      <c r="D1108" s="7" t="s">
        <v>3153</v>
      </c>
      <c r="E1108" s="7" t="s">
        <v>280</v>
      </c>
      <c r="F1108" s="7" t="s">
        <v>214</v>
      </c>
      <c r="G1108" s="7" t="s">
        <v>39</v>
      </c>
      <c r="H1108" s="1" t="s">
        <v>40</v>
      </c>
      <c r="I1108" s="7">
        <v>1.25</v>
      </c>
      <c r="J1108" s="7" t="s">
        <v>5795</v>
      </c>
      <c r="K1108" s="7" t="s">
        <v>4480</v>
      </c>
      <c r="L1108" s="6">
        <v>560</v>
      </c>
      <c r="O1108" s="45" t="s">
        <v>3160</v>
      </c>
      <c r="P1108" s="2" t="s">
        <v>3158</v>
      </c>
      <c r="Q1108" s="7">
        <v>1.25</v>
      </c>
      <c r="R1108" s="7" t="s">
        <v>3161</v>
      </c>
      <c r="T1108" s="18"/>
      <c r="W1108" s="7" t="s">
        <v>3162</v>
      </c>
      <c r="X1108" s="5">
        <v>37.0471</v>
      </c>
      <c r="Y1108" s="5">
        <v>-99.751999999999995</v>
      </c>
      <c r="Z1108" s="6">
        <v>559</v>
      </c>
      <c r="AA1108" s="44" t="s">
        <v>3166</v>
      </c>
      <c r="AB1108" s="139"/>
    </row>
    <row r="1109" spans="1:28" s="8" customFormat="1" ht="21.75" customHeight="1" x14ac:dyDescent="0.2">
      <c r="A1109" s="8" t="s">
        <v>3981</v>
      </c>
      <c r="B1109" s="8" t="s">
        <v>3986</v>
      </c>
      <c r="C1109" s="8" t="s">
        <v>3987</v>
      </c>
      <c r="D1109" s="8" t="s">
        <v>3985</v>
      </c>
      <c r="E1109" s="8" t="s">
        <v>3983</v>
      </c>
      <c r="F1109" s="8" t="s">
        <v>2529</v>
      </c>
      <c r="G1109" s="8" t="s">
        <v>3984</v>
      </c>
      <c r="H1109" s="3" t="s">
        <v>2922</v>
      </c>
      <c r="I1109" s="8">
        <v>0.42</v>
      </c>
      <c r="J1109" s="8" t="s">
        <v>4367</v>
      </c>
      <c r="K1109" s="8" t="s">
        <v>4480</v>
      </c>
      <c r="L1109" s="14">
        <v>220</v>
      </c>
      <c r="M1109" s="14" t="s">
        <v>3982</v>
      </c>
      <c r="N1109" s="14"/>
      <c r="O1109" s="110" t="s">
        <v>3989</v>
      </c>
      <c r="P1109" s="4"/>
      <c r="T1109" s="9"/>
      <c r="X1109" s="13">
        <v>33.634500000000003</v>
      </c>
      <c r="Y1109" s="13">
        <v>-116.3931</v>
      </c>
      <c r="Z1109" s="14">
        <v>453</v>
      </c>
      <c r="AA1109" s="22" t="s">
        <v>3988</v>
      </c>
      <c r="AB1109" s="8" t="s">
        <v>3990</v>
      </c>
    </row>
    <row r="1110" spans="1:28" ht="21.75" customHeight="1" x14ac:dyDescent="0.2">
      <c r="A1110" s="7" t="s">
        <v>6743</v>
      </c>
      <c r="B1110" s="7" t="s">
        <v>6744</v>
      </c>
      <c r="C1110" s="7" t="s">
        <v>2710</v>
      </c>
      <c r="D1110" s="7" t="s">
        <v>6754</v>
      </c>
      <c r="E1110" s="7" t="s">
        <v>263</v>
      </c>
      <c r="F1110" s="7" t="s">
        <v>212</v>
      </c>
      <c r="G1110" s="7" t="s">
        <v>6755</v>
      </c>
      <c r="H1110" s="1" t="s">
        <v>6753</v>
      </c>
      <c r="I1110" s="7">
        <v>28</v>
      </c>
      <c r="J1110" s="7" t="s">
        <v>6752</v>
      </c>
      <c r="K1110" s="7" t="s">
        <v>4480</v>
      </c>
      <c r="L1110" s="6">
        <v>376</v>
      </c>
      <c r="M1110" s="6" t="s">
        <v>6745</v>
      </c>
      <c r="N1110" s="6">
        <v>2200</v>
      </c>
      <c r="R1110" s="7" t="s">
        <v>6749</v>
      </c>
      <c r="S1110" s="7" t="s">
        <v>6746</v>
      </c>
      <c r="T1110" s="18" t="s">
        <v>6747</v>
      </c>
      <c r="U1110" s="7" t="s">
        <v>6748</v>
      </c>
      <c r="V1110" s="7">
        <v>50</v>
      </c>
      <c r="X1110" s="5">
        <v>-33.106200000000001</v>
      </c>
      <c r="Y1110" s="5">
        <v>118.9937</v>
      </c>
      <c r="Z1110" s="6">
        <v>317</v>
      </c>
      <c r="AA1110" s="44" t="s">
        <v>6750</v>
      </c>
      <c r="AB1110" s="7" t="s">
        <v>6751</v>
      </c>
    </row>
    <row r="1111" spans="1:28" s="8" customFormat="1" ht="21.75" customHeight="1" x14ac:dyDescent="0.2">
      <c r="A1111" s="8" t="s">
        <v>1321</v>
      </c>
      <c r="B1111" s="8" t="s">
        <v>1355</v>
      </c>
      <c r="C1111" s="8" t="s">
        <v>1322</v>
      </c>
      <c r="D1111" s="8" t="s">
        <v>1323</v>
      </c>
      <c r="E1111" s="8" t="s">
        <v>280</v>
      </c>
      <c r="F1111" s="8" t="s">
        <v>212</v>
      </c>
      <c r="G1111" s="8" t="s">
        <v>1341</v>
      </c>
      <c r="H1111" s="3" t="s">
        <v>1342</v>
      </c>
      <c r="I1111" s="4">
        <v>8</v>
      </c>
      <c r="J1111" s="4" t="s">
        <v>5767</v>
      </c>
      <c r="K1111" s="4" t="s">
        <v>4480</v>
      </c>
      <c r="L1111" s="14">
        <v>437</v>
      </c>
      <c r="M1111" s="14"/>
      <c r="N1111" s="14"/>
      <c r="O1111" s="110"/>
      <c r="P1111" s="4"/>
      <c r="Q1111" s="8">
        <v>8</v>
      </c>
      <c r="R1111" s="8" t="s">
        <v>1354</v>
      </c>
      <c r="T1111" s="9"/>
      <c r="X1111" s="13">
        <v>-22.324300000000001</v>
      </c>
      <c r="Y1111" s="13">
        <v>26.840199999999999</v>
      </c>
      <c r="Z1111" s="14">
        <v>1086</v>
      </c>
      <c r="AA1111" s="132" t="s">
        <v>1356</v>
      </c>
      <c r="AB1111" s="138" t="s">
        <v>1359</v>
      </c>
    </row>
    <row r="1112" spans="1:28" s="8" customFormat="1" ht="21.75" customHeight="1" x14ac:dyDescent="0.2">
      <c r="A1112" s="8" t="s">
        <v>1321</v>
      </c>
      <c r="B1112" s="8" t="s">
        <v>1355</v>
      </c>
      <c r="C1112" s="8" t="s">
        <v>1322</v>
      </c>
      <c r="D1112" s="8" t="s">
        <v>1324</v>
      </c>
      <c r="E1112" s="8" t="s">
        <v>280</v>
      </c>
      <c r="F1112" s="8" t="s">
        <v>212</v>
      </c>
      <c r="G1112" s="8" t="s">
        <v>1343</v>
      </c>
      <c r="H1112" s="3" t="s">
        <v>1344</v>
      </c>
      <c r="I1112" s="4">
        <v>28</v>
      </c>
      <c r="J1112" s="4" t="s">
        <v>5767</v>
      </c>
      <c r="K1112" s="4" t="s">
        <v>4480</v>
      </c>
      <c r="L1112" s="14">
        <v>437</v>
      </c>
      <c r="M1112" s="14"/>
      <c r="N1112" s="14"/>
      <c r="O1112" s="110"/>
      <c r="P1112" s="4"/>
      <c r="Q1112" s="8">
        <v>36</v>
      </c>
      <c r="R1112" s="8" t="s">
        <v>1354</v>
      </c>
      <c r="T1112" s="9"/>
      <c r="X1112" s="13">
        <v>-22.4924</v>
      </c>
      <c r="Y1112" s="13">
        <v>26.508099999999999</v>
      </c>
      <c r="Z1112" s="14">
        <v>1126</v>
      </c>
      <c r="AA1112" s="133"/>
      <c r="AB1112" s="138"/>
    </row>
    <row r="1113" spans="1:28" s="8" customFormat="1" ht="21.75" customHeight="1" x14ac:dyDescent="0.2">
      <c r="A1113" s="8" t="s">
        <v>1321</v>
      </c>
      <c r="B1113" s="8" t="s">
        <v>1355</v>
      </c>
      <c r="C1113" s="8" t="s">
        <v>1322</v>
      </c>
      <c r="D1113" s="8" t="s">
        <v>1325</v>
      </c>
      <c r="E1113" s="8" t="s">
        <v>280</v>
      </c>
      <c r="F1113" s="8" t="s">
        <v>212</v>
      </c>
      <c r="G1113" s="8" t="s">
        <v>1345</v>
      </c>
      <c r="H1113" s="3" t="s">
        <v>1346</v>
      </c>
      <c r="I1113" s="4">
        <v>20</v>
      </c>
      <c r="J1113" s="4" t="s">
        <v>5767</v>
      </c>
      <c r="K1113" s="4" t="s">
        <v>4480</v>
      </c>
      <c r="L1113" s="14">
        <v>437</v>
      </c>
      <c r="M1113" s="14"/>
      <c r="N1113" s="14"/>
      <c r="O1113" s="110"/>
      <c r="P1113" s="4"/>
      <c r="Q1113" s="8">
        <v>36</v>
      </c>
      <c r="R1113" s="8" t="s">
        <v>1354</v>
      </c>
      <c r="T1113" s="9"/>
      <c r="X1113" s="13">
        <v>-22.4924</v>
      </c>
      <c r="Y1113" s="13">
        <v>26.508099999999999</v>
      </c>
      <c r="Z1113" s="14">
        <v>1126</v>
      </c>
      <c r="AA1113" s="132" t="s">
        <v>1357</v>
      </c>
      <c r="AB1113" s="138"/>
    </row>
    <row r="1114" spans="1:28" s="8" customFormat="1" ht="21.75" customHeight="1" x14ac:dyDescent="0.2">
      <c r="A1114" s="8" t="s">
        <v>1321</v>
      </c>
      <c r="B1114" s="8" t="s">
        <v>1355</v>
      </c>
      <c r="C1114" s="8" t="s">
        <v>1322</v>
      </c>
      <c r="D1114" s="8" t="s">
        <v>1326</v>
      </c>
      <c r="E1114" s="8" t="s">
        <v>280</v>
      </c>
      <c r="F1114" s="8" t="s">
        <v>212</v>
      </c>
      <c r="G1114" s="8" t="s">
        <v>1347</v>
      </c>
      <c r="H1114" s="3" t="s">
        <v>1348</v>
      </c>
      <c r="I1114" s="4">
        <v>15</v>
      </c>
      <c r="J1114" s="4" t="s">
        <v>5767</v>
      </c>
      <c r="K1114" s="4" t="s">
        <v>4480</v>
      </c>
      <c r="L1114" s="14">
        <v>437</v>
      </c>
      <c r="M1114" s="14"/>
      <c r="N1114" s="14"/>
      <c r="O1114" s="110"/>
      <c r="P1114" s="4"/>
      <c r="Q1114" s="8">
        <v>36</v>
      </c>
      <c r="R1114" s="8" t="s">
        <v>1354</v>
      </c>
      <c r="T1114" s="9"/>
      <c r="X1114" s="13">
        <v>-22.4924</v>
      </c>
      <c r="Y1114" s="13">
        <v>26.508099999999999</v>
      </c>
      <c r="Z1114" s="14">
        <v>1126</v>
      </c>
      <c r="AA1114" s="133"/>
      <c r="AB1114" s="138" t="s">
        <v>5798</v>
      </c>
    </row>
    <row r="1115" spans="1:28" s="8" customFormat="1" ht="21.75" customHeight="1" x14ac:dyDescent="0.2">
      <c r="A1115" s="8" t="s">
        <v>1321</v>
      </c>
      <c r="B1115" s="8" t="s">
        <v>1355</v>
      </c>
      <c r="C1115" s="8" t="s">
        <v>1322</v>
      </c>
      <c r="D1115" s="8" t="s">
        <v>1327</v>
      </c>
      <c r="E1115" s="8" t="s">
        <v>263</v>
      </c>
      <c r="F1115" s="8" t="s">
        <v>212</v>
      </c>
      <c r="G1115" s="8" t="s">
        <v>1349</v>
      </c>
      <c r="H1115" s="3" t="s">
        <v>1245</v>
      </c>
      <c r="I1115" s="4">
        <v>20</v>
      </c>
      <c r="J1115" s="4" t="s">
        <v>5767</v>
      </c>
      <c r="K1115" s="4" t="s">
        <v>4480</v>
      </c>
      <c r="L1115" s="14">
        <v>437</v>
      </c>
      <c r="M1115" s="14"/>
      <c r="N1115" s="14"/>
      <c r="O1115" s="110"/>
      <c r="P1115" s="4"/>
      <c r="Q1115" s="8">
        <v>78</v>
      </c>
      <c r="R1115" s="8" t="s">
        <v>1354</v>
      </c>
      <c r="T1115" s="9"/>
      <c r="X1115" s="13">
        <v>-22.394200000000001</v>
      </c>
      <c r="Y1115" s="13">
        <v>26.389199999999999</v>
      </c>
      <c r="Z1115" s="14">
        <v>1214</v>
      </c>
      <c r="AA1115" s="132" t="s">
        <v>1358</v>
      </c>
      <c r="AB1115" s="138"/>
    </row>
    <row r="1116" spans="1:28" s="8" customFormat="1" ht="21.75" customHeight="1" x14ac:dyDescent="0.2">
      <c r="A1116" s="8" t="s">
        <v>1321</v>
      </c>
      <c r="B1116" s="8" t="s">
        <v>1355</v>
      </c>
      <c r="C1116" s="8" t="s">
        <v>1322</v>
      </c>
      <c r="D1116" s="8" t="s">
        <v>1328</v>
      </c>
      <c r="E1116" s="8" t="s">
        <v>280</v>
      </c>
      <c r="F1116" s="8" t="s">
        <v>212</v>
      </c>
      <c r="G1116" s="8" t="s">
        <v>1343</v>
      </c>
      <c r="H1116" s="3" t="s">
        <v>1344</v>
      </c>
      <c r="I1116" s="4">
        <v>15</v>
      </c>
      <c r="J1116" s="4" t="s">
        <v>5767</v>
      </c>
      <c r="K1116" s="4" t="s">
        <v>4480</v>
      </c>
      <c r="L1116" s="14">
        <v>437</v>
      </c>
      <c r="M1116" s="14"/>
      <c r="N1116" s="14"/>
      <c r="O1116" s="110"/>
      <c r="P1116" s="4"/>
      <c r="Q1116" s="8">
        <v>78</v>
      </c>
      <c r="R1116" s="8" t="s">
        <v>1354</v>
      </c>
      <c r="T1116" s="9"/>
      <c r="X1116" s="13">
        <v>-22.394200000000001</v>
      </c>
      <c r="Y1116" s="13">
        <v>26.389199999999999</v>
      </c>
      <c r="Z1116" s="14">
        <v>1214</v>
      </c>
      <c r="AA1116" s="133"/>
      <c r="AB1116" s="138"/>
    </row>
    <row r="1117" spans="1:28" s="8" customFormat="1" ht="21.75" customHeight="1" x14ac:dyDescent="0.2">
      <c r="A1117" s="8" t="s">
        <v>1321</v>
      </c>
      <c r="B1117" s="8" t="s">
        <v>1355</v>
      </c>
      <c r="C1117" s="8" t="s">
        <v>1322</v>
      </c>
      <c r="D1117" s="8" t="s">
        <v>1329</v>
      </c>
      <c r="E1117" s="8" t="s">
        <v>280</v>
      </c>
      <c r="F1117" s="8" t="s">
        <v>212</v>
      </c>
      <c r="G1117" s="8" t="s">
        <v>1343</v>
      </c>
      <c r="H1117" s="3" t="s">
        <v>1344</v>
      </c>
      <c r="I1117" s="4">
        <v>15</v>
      </c>
      <c r="J1117" s="4" t="s">
        <v>5767</v>
      </c>
      <c r="K1117" s="4" t="s">
        <v>4480</v>
      </c>
      <c r="L1117" s="14">
        <v>437</v>
      </c>
      <c r="M1117" s="14"/>
      <c r="N1117" s="14"/>
      <c r="O1117" s="110"/>
      <c r="P1117" s="4"/>
      <c r="Q1117" s="8">
        <v>78</v>
      </c>
      <c r="R1117" s="8" t="s">
        <v>1354</v>
      </c>
      <c r="T1117" s="9"/>
      <c r="X1117" s="13">
        <v>-22.394200000000001</v>
      </c>
      <c r="Y1117" s="13">
        <v>26.389199999999999</v>
      </c>
      <c r="Z1117" s="14">
        <v>1214</v>
      </c>
      <c r="AB1117" s="138"/>
    </row>
    <row r="1118" spans="1:28" s="8" customFormat="1" ht="21.75" customHeight="1" x14ac:dyDescent="0.2">
      <c r="A1118" s="8" t="s">
        <v>1321</v>
      </c>
      <c r="B1118" s="8" t="s">
        <v>1355</v>
      </c>
      <c r="C1118" s="8" t="s">
        <v>1322</v>
      </c>
      <c r="D1118" s="8" t="s">
        <v>1330</v>
      </c>
      <c r="E1118" s="8" t="s">
        <v>280</v>
      </c>
      <c r="F1118" s="8" t="s">
        <v>212</v>
      </c>
      <c r="G1118" s="8" t="s">
        <v>1350</v>
      </c>
      <c r="H1118" s="3" t="s">
        <v>1351</v>
      </c>
      <c r="I1118" s="4">
        <v>35</v>
      </c>
      <c r="J1118" s="4" t="s">
        <v>5767</v>
      </c>
      <c r="K1118" s="4" t="s">
        <v>4480</v>
      </c>
      <c r="L1118" s="14">
        <v>437</v>
      </c>
      <c r="M1118" s="14"/>
      <c r="N1118" s="14"/>
      <c r="O1118" s="110"/>
      <c r="P1118" s="4"/>
      <c r="Q1118" s="8">
        <v>78</v>
      </c>
      <c r="R1118" s="8" t="s">
        <v>1354</v>
      </c>
      <c r="T1118" s="9"/>
      <c r="X1118" s="13">
        <v>-22.394200000000001</v>
      </c>
      <c r="Y1118" s="13">
        <v>26.389199999999999</v>
      </c>
      <c r="Z1118" s="14">
        <v>1214</v>
      </c>
      <c r="AB1118" s="138"/>
    </row>
    <row r="1119" spans="1:28" s="8" customFormat="1" ht="21.75" customHeight="1" x14ac:dyDescent="0.2">
      <c r="A1119" s="8" t="s">
        <v>1321</v>
      </c>
      <c r="B1119" s="8" t="s">
        <v>1355</v>
      </c>
      <c r="C1119" s="8" t="s">
        <v>1322</v>
      </c>
      <c r="D1119" s="8" t="s">
        <v>1330</v>
      </c>
      <c r="E1119" s="8" t="s">
        <v>263</v>
      </c>
      <c r="F1119" s="8" t="s">
        <v>212</v>
      </c>
      <c r="G1119" s="8" t="s">
        <v>1349</v>
      </c>
      <c r="H1119" s="3" t="s">
        <v>1245</v>
      </c>
      <c r="I1119" s="4">
        <v>35</v>
      </c>
      <c r="J1119" s="4" t="s">
        <v>5767</v>
      </c>
      <c r="K1119" s="4" t="s">
        <v>4480</v>
      </c>
      <c r="L1119" s="14">
        <v>437</v>
      </c>
      <c r="M1119" s="14"/>
      <c r="N1119" s="14"/>
      <c r="O1119" s="110"/>
      <c r="P1119" s="4"/>
      <c r="Q1119" s="8">
        <v>78</v>
      </c>
      <c r="R1119" s="8" t="s">
        <v>1354</v>
      </c>
      <c r="T1119" s="9"/>
      <c r="X1119" s="13">
        <v>-22.394200000000001</v>
      </c>
      <c r="Y1119" s="13">
        <v>26.389199999999999</v>
      </c>
      <c r="Z1119" s="14">
        <v>1214</v>
      </c>
      <c r="AB1119" s="138"/>
    </row>
    <row r="1120" spans="1:28" s="8" customFormat="1" ht="21.75" customHeight="1" x14ac:dyDescent="0.2">
      <c r="A1120" s="8" t="s">
        <v>1321</v>
      </c>
      <c r="B1120" s="8" t="s">
        <v>1355</v>
      </c>
      <c r="C1120" s="8" t="s">
        <v>1322</v>
      </c>
      <c r="D1120" s="8" t="s">
        <v>1331</v>
      </c>
      <c r="E1120" s="8" t="s">
        <v>280</v>
      </c>
      <c r="F1120" s="8" t="s">
        <v>212</v>
      </c>
      <c r="G1120" s="8" t="s">
        <v>1350</v>
      </c>
      <c r="H1120" s="3" t="s">
        <v>1351</v>
      </c>
      <c r="I1120" s="4">
        <v>55</v>
      </c>
      <c r="J1120" s="4" t="s">
        <v>5767</v>
      </c>
      <c r="K1120" s="4" t="s">
        <v>4480</v>
      </c>
      <c r="L1120" s="14">
        <v>437</v>
      </c>
      <c r="M1120" s="14"/>
      <c r="N1120" s="14"/>
      <c r="O1120" s="110"/>
      <c r="P1120" s="4"/>
      <c r="Q1120" s="8">
        <v>79</v>
      </c>
      <c r="R1120" s="8" t="s">
        <v>1354</v>
      </c>
      <c r="T1120" s="9"/>
      <c r="X1120" s="13">
        <v>-22.3626</v>
      </c>
      <c r="Y1120" s="13">
        <v>26.466200000000001</v>
      </c>
      <c r="Z1120" s="14">
        <v>1225</v>
      </c>
      <c r="AB1120" s="138"/>
    </row>
    <row r="1121" spans="1:28" s="8" customFormat="1" ht="21.75" customHeight="1" x14ac:dyDescent="0.2">
      <c r="A1121" s="8" t="s">
        <v>1321</v>
      </c>
      <c r="B1121" s="8" t="s">
        <v>1355</v>
      </c>
      <c r="C1121" s="8" t="s">
        <v>1322</v>
      </c>
      <c r="D1121" s="8" t="s">
        <v>1332</v>
      </c>
      <c r="E1121" s="8" t="s">
        <v>280</v>
      </c>
      <c r="F1121" s="8" t="s">
        <v>212</v>
      </c>
      <c r="G1121" s="8" t="s">
        <v>1350</v>
      </c>
      <c r="H1121" s="3" t="s">
        <v>1351</v>
      </c>
      <c r="I1121" s="4">
        <v>40</v>
      </c>
      <c r="J1121" s="4" t="s">
        <v>5767</v>
      </c>
      <c r="K1121" s="4" t="s">
        <v>4480</v>
      </c>
      <c r="L1121" s="14">
        <v>437</v>
      </c>
      <c r="M1121" s="14"/>
      <c r="N1121" s="14"/>
      <c r="O1121" s="110"/>
      <c r="P1121" s="4"/>
      <c r="Q1121" s="8">
        <v>79</v>
      </c>
      <c r="R1121" s="8" t="s">
        <v>1354</v>
      </c>
      <c r="T1121" s="9"/>
      <c r="X1121" s="13">
        <v>-22.3506</v>
      </c>
      <c r="Y1121" s="13">
        <v>26.454999999999998</v>
      </c>
      <c r="Z1121" s="14">
        <v>1228</v>
      </c>
      <c r="AB1121" s="138"/>
    </row>
    <row r="1122" spans="1:28" s="8" customFormat="1" ht="21.75" customHeight="1" x14ac:dyDescent="0.2">
      <c r="A1122" s="8" t="s">
        <v>1321</v>
      </c>
      <c r="B1122" s="8" t="s">
        <v>1355</v>
      </c>
      <c r="C1122" s="8" t="s">
        <v>1322</v>
      </c>
      <c r="D1122" s="8" t="s">
        <v>1333</v>
      </c>
      <c r="E1122" s="8" t="s">
        <v>263</v>
      </c>
      <c r="F1122" s="8" t="s">
        <v>212</v>
      </c>
      <c r="G1122" s="8" t="s">
        <v>1349</v>
      </c>
      <c r="H1122" s="3" t="s">
        <v>1245</v>
      </c>
      <c r="I1122" s="4">
        <v>40</v>
      </c>
      <c r="J1122" s="4" t="s">
        <v>5767</v>
      </c>
      <c r="K1122" s="4" t="s">
        <v>4480</v>
      </c>
      <c r="L1122" s="14">
        <v>437</v>
      </c>
      <c r="M1122" s="14"/>
      <c r="N1122" s="14"/>
      <c r="O1122" s="110"/>
      <c r="P1122" s="4"/>
      <c r="Q1122" s="8">
        <v>79</v>
      </c>
      <c r="R1122" s="8" t="s">
        <v>1354</v>
      </c>
      <c r="T1122" s="9"/>
      <c r="X1122" s="13">
        <v>-22.340199999999999</v>
      </c>
      <c r="Y1122" s="13">
        <v>26.432099999999998</v>
      </c>
      <c r="Z1122" s="14">
        <v>1223</v>
      </c>
      <c r="AB1122" s="138"/>
    </row>
    <row r="1123" spans="1:28" s="8" customFormat="1" ht="21.75" customHeight="1" x14ac:dyDescent="0.2">
      <c r="A1123" s="8" t="s">
        <v>1321</v>
      </c>
      <c r="B1123" s="8" t="s">
        <v>1355</v>
      </c>
      <c r="C1123" s="8" t="s">
        <v>1322</v>
      </c>
      <c r="D1123" s="8" t="s">
        <v>1334</v>
      </c>
      <c r="E1123" s="8" t="s">
        <v>280</v>
      </c>
      <c r="F1123" s="8" t="s">
        <v>212</v>
      </c>
      <c r="G1123" s="8" t="s">
        <v>1350</v>
      </c>
      <c r="H1123" s="3" t="s">
        <v>1351</v>
      </c>
      <c r="I1123" s="4">
        <v>70</v>
      </c>
      <c r="J1123" s="4" t="s">
        <v>5767</v>
      </c>
      <c r="K1123" s="4" t="s">
        <v>4480</v>
      </c>
      <c r="L1123" s="14">
        <v>437</v>
      </c>
      <c r="M1123" s="14"/>
      <c r="N1123" s="14"/>
      <c r="O1123" s="110"/>
      <c r="P1123" s="4"/>
      <c r="Q1123" s="8">
        <v>80</v>
      </c>
      <c r="R1123" s="8" t="s">
        <v>1354</v>
      </c>
      <c r="T1123" s="9"/>
      <c r="X1123" s="13">
        <v>-22.313400000000001</v>
      </c>
      <c r="Y1123" s="13">
        <v>26.4283</v>
      </c>
      <c r="Z1123" s="14">
        <v>1221</v>
      </c>
      <c r="AB1123" s="138"/>
    </row>
    <row r="1124" spans="1:28" s="8" customFormat="1" ht="21.75" customHeight="1" x14ac:dyDescent="0.2">
      <c r="A1124" s="8" t="s">
        <v>1321</v>
      </c>
      <c r="B1124" s="8" t="s">
        <v>1355</v>
      </c>
      <c r="C1124" s="8" t="s">
        <v>1322</v>
      </c>
      <c r="D1124" s="8" t="s">
        <v>1335</v>
      </c>
      <c r="E1124" s="8" t="s">
        <v>263</v>
      </c>
      <c r="F1124" s="8" t="s">
        <v>212</v>
      </c>
      <c r="G1124" s="8" t="s">
        <v>1349</v>
      </c>
      <c r="H1124" s="3" t="s">
        <v>1245</v>
      </c>
      <c r="I1124" s="4">
        <v>70</v>
      </c>
      <c r="J1124" s="4" t="s">
        <v>5767</v>
      </c>
      <c r="K1124" s="4" t="s">
        <v>4480</v>
      </c>
      <c r="L1124" s="14">
        <v>437</v>
      </c>
      <c r="M1124" s="14"/>
      <c r="N1124" s="14"/>
      <c r="O1124" s="110"/>
      <c r="P1124" s="4"/>
      <c r="Q1124" s="8">
        <v>80</v>
      </c>
      <c r="R1124" s="8" t="s">
        <v>1354</v>
      </c>
      <c r="T1124" s="9"/>
      <c r="X1124" s="13">
        <v>-22.313400000000001</v>
      </c>
      <c r="Y1124" s="13">
        <v>26.4283</v>
      </c>
      <c r="Z1124" s="14">
        <v>1221</v>
      </c>
    </row>
    <row r="1125" spans="1:28" s="8" customFormat="1" ht="21.75" customHeight="1" x14ac:dyDescent="0.2">
      <c r="A1125" s="8" t="s">
        <v>1321</v>
      </c>
      <c r="B1125" s="8" t="s">
        <v>1355</v>
      </c>
      <c r="C1125" s="8" t="s">
        <v>1322</v>
      </c>
      <c r="D1125" s="8" t="s">
        <v>1336</v>
      </c>
      <c r="E1125" s="8" t="s">
        <v>280</v>
      </c>
      <c r="F1125" s="8" t="s">
        <v>212</v>
      </c>
      <c r="G1125" s="8" t="s">
        <v>1350</v>
      </c>
      <c r="H1125" s="3" t="s">
        <v>1351</v>
      </c>
      <c r="I1125" s="4">
        <v>47</v>
      </c>
      <c r="J1125" s="4" t="s">
        <v>5767</v>
      </c>
      <c r="K1125" s="4" t="s">
        <v>4480</v>
      </c>
      <c r="L1125" s="14">
        <v>437</v>
      </c>
      <c r="M1125" s="14"/>
      <c r="N1125" s="14"/>
      <c r="O1125" s="110"/>
      <c r="P1125" s="4"/>
      <c r="Q1125" s="8">
        <v>80</v>
      </c>
      <c r="R1125" s="8" t="s">
        <v>1354</v>
      </c>
      <c r="T1125" s="9"/>
      <c r="X1125" s="13">
        <v>-22.313400000000001</v>
      </c>
      <c r="Y1125" s="13">
        <v>26.4283</v>
      </c>
      <c r="Z1125" s="14">
        <v>1221</v>
      </c>
    </row>
    <row r="1126" spans="1:28" s="8" customFormat="1" ht="21.75" customHeight="1" x14ac:dyDescent="0.2">
      <c r="A1126" s="8" t="s">
        <v>1321</v>
      </c>
      <c r="B1126" s="8" t="s">
        <v>1355</v>
      </c>
      <c r="C1126" s="8" t="s">
        <v>1322</v>
      </c>
      <c r="D1126" s="8" t="s">
        <v>1337</v>
      </c>
      <c r="E1126" s="8" t="s">
        <v>263</v>
      </c>
      <c r="F1126" s="8" t="s">
        <v>212</v>
      </c>
      <c r="G1126" s="8" t="s">
        <v>1352</v>
      </c>
      <c r="H1126" s="3" t="s">
        <v>1353</v>
      </c>
      <c r="I1126" s="4">
        <v>60</v>
      </c>
      <c r="J1126" s="4" t="s">
        <v>5767</v>
      </c>
      <c r="K1126" s="4" t="s">
        <v>4480</v>
      </c>
      <c r="L1126" s="14">
        <v>437</v>
      </c>
      <c r="M1126" s="14"/>
      <c r="N1126" s="14"/>
      <c r="O1126" s="110"/>
      <c r="P1126" s="4"/>
      <c r="Q1126" s="8">
        <v>76</v>
      </c>
      <c r="R1126" s="8" t="s">
        <v>1354</v>
      </c>
      <c r="T1126" s="9"/>
      <c r="X1126" s="13">
        <v>-22.277000000000001</v>
      </c>
      <c r="Y1126" s="13">
        <v>26.475899999999999</v>
      </c>
      <c r="Z1126" s="14">
        <v>1228</v>
      </c>
    </row>
    <row r="1127" spans="1:28" s="8" customFormat="1" ht="21.75" customHeight="1" x14ac:dyDescent="0.2">
      <c r="A1127" s="8" t="s">
        <v>1321</v>
      </c>
      <c r="B1127" s="8" t="s">
        <v>1355</v>
      </c>
      <c r="C1127" s="8" t="s">
        <v>1322</v>
      </c>
      <c r="D1127" s="8" t="s">
        <v>1338</v>
      </c>
      <c r="E1127" s="8" t="s">
        <v>263</v>
      </c>
      <c r="F1127" s="8" t="s">
        <v>212</v>
      </c>
      <c r="G1127" s="8" t="s">
        <v>1352</v>
      </c>
      <c r="H1127" s="3" t="s">
        <v>1353</v>
      </c>
      <c r="I1127" s="4">
        <v>40</v>
      </c>
      <c r="J1127" s="4" t="s">
        <v>5767</v>
      </c>
      <c r="K1127" s="4" t="s">
        <v>4480</v>
      </c>
      <c r="L1127" s="14">
        <v>437</v>
      </c>
      <c r="M1127" s="14"/>
      <c r="N1127" s="14"/>
      <c r="O1127" s="110"/>
      <c r="P1127" s="4"/>
      <c r="Q1127" s="8">
        <v>76</v>
      </c>
      <c r="R1127" s="8" t="s">
        <v>1354</v>
      </c>
      <c r="T1127" s="9"/>
      <c r="X1127" s="13">
        <v>-22.277000000000001</v>
      </c>
      <c r="Y1127" s="13">
        <v>26.475899999999999</v>
      </c>
      <c r="Z1127" s="14">
        <v>1228</v>
      </c>
    </row>
    <row r="1128" spans="1:28" s="8" customFormat="1" ht="21.75" customHeight="1" x14ac:dyDescent="0.2">
      <c r="A1128" s="8" t="s">
        <v>1321</v>
      </c>
      <c r="B1128" s="8" t="s">
        <v>1355</v>
      </c>
      <c r="C1128" s="8" t="s">
        <v>1322</v>
      </c>
      <c r="D1128" s="8" t="s">
        <v>1339</v>
      </c>
      <c r="E1128" s="8" t="s">
        <v>263</v>
      </c>
      <c r="F1128" s="8" t="s">
        <v>212</v>
      </c>
      <c r="G1128" s="8" t="s">
        <v>1352</v>
      </c>
      <c r="H1128" s="3" t="s">
        <v>1353</v>
      </c>
      <c r="I1128" s="4">
        <v>30</v>
      </c>
      <c r="J1128" s="4" t="s">
        <v>5767</v>
      </c>
      <c r="K1128" s="4" t="s">
        <v>4480</v>
      </c>
      <c r="L1128" s="14">
        <v>437</v>
      </c>
      <c r="M1128" s="14"/>
      <c r="N1128" s="14"/>
      <c r="O1128" s="110"/>
      <c r="P1128" s="4"/>
      <c r="Q1128" s="8">
        <v>77</v>
      </c>
      <c r="R1128" s="8" t="s">
        <v>1354</v>
      </c>
      <c r="T1128" s="9"/>
      <c r="X1128" s="13">
        <v>-22.277000000000001</v>
      </c>
      <c r="Y1128" s="13">
        <v>26.475899999999999</v>
      </c>
      <c r="Z1128" s="14">
        <v>1228</v>
      </c>
    </row>
    <row r="1129" spans="1:28" s="8" customFormat="1" ht="21.75" customHeight="1" x14ac:dyDescent="0.2">
      <c r="A1129" s="8" t="s">
        <v>1321</v>
      </c>
      <c r="B1129" s="8" t="s">
        <v>1355</v>
      </c>
      <c r="C1129" s="8" t="s">
        <v>1322</v>
      </c>
      <c r="D1129" s="8" t="s">
        <v>1340</v>
      </c>
      <c r="E1129" s="8" t="s">
        <v>280</v>
      </c>
      <c r="F1129" s="8" t="s">
        <v>212</v>
      </c>
      <c r="G1129" s="8" t="s">
        <v>1350</v>
      </c>
      <c r="H1129" s="3" t="s">
        <v>1351</v>
      </c>
      <c r="I1129" s="4">
        <v>20</v>
      </c>
      <c r="J1129" s="4" t="s">
        <v>5767</v>
      </c>
      <c r="K1129" s="4" t="s">
        <v>4480</v>
      </c>
      <c r="L1129" s="14">
        <v>437</v>
      </c>
      <c r="M1129" s="14"/>
      <c r="N1129" s="14"/>
      <c r="O1129" s="110"/>
      <c r="P1129" s="4"/>
      <c r="Q1129" s="8">
        <v>76</v>
      </c>
      <c r="R1129" s="8" t="s">
        <v>1354</v>
      </c>
      <c r="T1129" s="9"/>
      <c r="X1129" s="13">
        <v>-22.277000000000001</v>
      </c>
      <c r="Y1129" s="13">
        <v>26.475899999999999</v>
      </c>
      <c r="Z1129" s="14">
        <v>1228</v>
      </c>
    </row>
    <row r="1130" spans="1:28" ht="21.75" customHeight="1" x14ac:dyDescent="0.2">
      <c r="A1130" s="7" t="s">
        <v>4568</v>
      </c>
      <c r="B1130" s="7" t="s">
        <v>4570</v>
      </c>
      <c r="C1130" s="7" t="s">
        <v>4569</v>
      </c>
      <c r="D1130" s="7" t="s">
        <v>4571</v>
      </c>
      <c r="E1130" s="7" t="s">
        <v>263</v>
      </c>
      <c r="F1130" s="7" t="s">
        <v>212</v>
      </c>
      <c r="H1130" s="1" t="s">
        <v>4575</v>
      </c>
      <c r="I1130" s="2">
        <v>10</v>
      </c>
      <c r="J1130" s="2" t="s">
        <v>4404</v>
      </c>
      <c r="K1130" s="2" t="s">
        <v>4410</v>
      </c>
      <c r="O1130" s="45" t="s">
        <v>4572</v>
      </c>
      <c r="P1130" s="2" t="s">
        <v>4573</v>
      </c>
      <c r="R1130" s="7" t="s">
        <v>4574</v>
      </c>
      <c r="T1130" s="18"/>
      <c r="X1130" s="5">
        <v>12.799200000000001</v>
      </c>
      <c r="Y1130" s="5">
        <v>105.46120000000001</v>
      </c>
      <c r="Z1130" s="6">
        <v>89</v>
      </c>
    </row>
    <row r="1131" spans="1:28" s="8" customFormat="1" ht="21.75" customHeight="1" x14ac:dyDescent="0.2">
      <c r="A1131" s="8" t="s">
        <v>3926</v>
      </c>
      <c r="B1131" s="8" t="s">
        <v>3929</v>
      </c>
      <c r="C1131" s="8" t="s">
        <v>3932</v>
      </c>
      <c r="D1131" s="8" t="s">
        <v>3927</v>
      </c>
      <c r="E1131" s="8" t="s">
        <v>263</v>
      </c>
      <c r="F1131" s="8" t="s">
        <v>2659</v>
      </c>
      <c r="H1131" s="3" t="s">
        <v>3942</v>
      </c>
      <c r="I1131" s="4">
        <v>5.75</v>
      </c>
      <c r="J1131" s="4" t="s">
        <v>5797</v>
      </c>
      <c r="K1131" s="4" t="s">
        <v>4410</v>
      </c>
      <c r="L1131" s="14">
        <v>1500</v>
      </c>
      <c r="M1131" s="14" t="s">
        <v>3931</v>
      </c>
      <c r="N1131" s="14"/>
      <c r="O1131" s="110" t="s">
        <v>3939</v>
      </c>
      <c r="P1131" s="4"/>
      <c r="R1131" s="8" t="s">
        <v>3930</v>
      </c>
      <c r="T1131" s="9"/>
      <c r="X1131" s="13">
        <v>-15.955</v>
      </c>
      <c r="Y1131" s="13">
        <v>-47.888800000000003</v>
      </c>
      <c r="Z1131" s="14">
        <v>1100</v>
      </c>
      <c r="AA1131" s="8" t="s">
        <v>3935</v>
      </c>
      <c r="AB1131" s="8" t="s">
        <v>3938</v>
      </c>
    </row>
    <row r="1132" spans="1:28" s="8" customFormat="1" ht="21.75" customHeight="1" x14ac:dyDescent="0.2">
      <c r="A1132" s="8" t="s">
        <v>3926</v>
      </c>
      <c r="B1132" s="8" t="s">
        <v>3929</v>
      </c>
      <c r="C1132" s="8" t="s">
        <v>3932</v>
      </c>
      <c r="D1132" s="8" t="s">
        <v>3928</v>
      </c>
      <c r="E1132" s="8" t="s">
        <v>263</v>
      </c>
      <c r="F1132" s="8" t="s">
        <v>3937</v>
      </c>
      <c r="H1132" s="3" t="s">
        <v>3941</v>
      </c>
      <c r="I1132" s="4">
        <v>4</v>
      </c>
      <c r="J1132" s="4" t="s">
        <v>5797</v>
      </c>
      <c r="K1132" s="4" t="s">
        <v>4410</v>
      </c>
      <c r="L1132" s="14">
        <v>1500</v>
      </c>
      <c r="M1132" s="14" t="s">
        <v>3931</v>
      </c>
      <c r="N1132" s="14"/>
      <c r="O1132" s="110" t="s">
        <v>3940</v>
      </c>
      <c r="P1132" s="4"/>
      <c r="R1132" s="8" t="s">
        <v>3930</v>
      </c>
      <c r="S1132" s="8" t="s">
        <v>3934</v>
      </c>
      <c r="T1132" s="4">
        <v>4</v>
      </c>
      <c r="X1132" s="13">
        <v>-15.9457</v>
      </c>
      <c r="Y1132" s="13">
        <v>-47.886800000000001</v>
      </c>
      <c r="Z1132" s="14">
        <v>1100</v>
      </c>
      <c r="AA1132" s="8" t="s">
        <v>3933</v>
      </c>
      <c r="AB1132" s="8" t="s">
        <v>3936</v>
      </c>
    </row>
    <row r="1133" spans="1:28" ht="21.75" customHeight="1" x14ac:dyDescent="0.2">
      <c r="A1133" s="7" t="s">
        <v>1727</v>
      </c>
      <c r="B1133" s="7" t="s">
        <v>1721</v>
      </c>
      <c r="C1133" s="7" t="s">
        <v>1720</v>
      </c>
      <c r="D1133" s="7" t="s">
        <v>1722</v>
      </c>
      <c r="E1133" s="7" t="s">
        <v>280</v>
      </c>
      <c r="F1133" s="7" t="s">
        <v>212</v>
      </c>
      <c r="G1133" s="7" t="s">
        <v>5799</v>
      </c>
      <c r="H1133" s="1" t="s">
        <v>1729</v>
      </c>
      <c r="I1133" s="2">
        <v>0.9</v>
      </c>
      <c r="J1133" s="2" t="s">
        <v>4404</v>
      </c>
      <c r="K1133" s="2" t="s">
        <v>4480</v>
      </c>
      <c r="P1133" s="7" t="s">
        <v>1731</v>
      </c>
      <c r="R1133" s="7" t="s">
        <v>1736</v>
      </c>
      <c r="T1133" s="18"/>
      <c r="W1133" s="7" t="s">
        <v>1730</v>
      </c>
      <c r="X1133" s="5">
        <v>52.557200000000002</v>
      </c>
      <c r="Y1133" s="5">
        <v>6.5692000000000004</v>
      </c>
      <c r="Z1133" s="6">
        <v>22</v>
      </c>
      <c r="AA1133" s="139" t="s">
        <v>1739</v>
      </c>
      <c r="AB1133" s="139" t="s">
        <v>1740</v>
      </c>
    </row>
    <row r="1134" spans="1:28" ht="21.75" customHeight="1" x14ac:dyDescent="0.2">
      <c r="A1134" s="7" t="s">
        <v>1727</v>
      </c>
      <c r="B1134" s="7" t="s">
        <v>1721</v>
      </c>
      <c r="C1134" s="7" t="s">
        <v>1720</v>
      </c>
      <c r="D1134" s="7" t="s">
        <v>1723</v>
      </c>
      <c r="E1134" s="7" t="s">
        <v>280</v>
      </c>
      <c r="F1134" s="7" t="s">
        <v>212</v>
      </c>
      <c r="G1134" s="7" t="s">
        <v>5799</v>
      </c>
      <c r="H1134" s="1" t="s">
        <v>1729</v>
      </c>
      <c r="I1134" s="2">
        <v>0.8</v>
      </c>
      <c r="J1134" s="2" t="s">
        <v>4404</v>
      </c>
      <c r="K1134" s="2" t="s">
        <v>4480</v>
      </c>
      <c r="P1134" s="7" t="s">
        <v>1732</v>
      </c>
      <c r="R1134" s="7" t="s">
        <v>1736</v>
      </c>
      <c r="T1134" s="18"/>
      <c r="W1134" s="7" t="s">
        <v>1730</v>
      </c>
      <c r="X1134" s="5">
        <v>51.583300000000001</v>
      </c>
      <c r="Y1134" s="5">
        <v>4.6950000000000003</v>
      </c>
      <c r="Z1134" s="6">
        <v>17</v>
      </c>
      <c r="AA1134" s="139"/>
      <c r="AB1134" s="139"/>
    </row>
    <row r="1135" spans="1:28" ht="21.75" customHeight="1" x14ac:dyDescent="0.2">
      <c r="A1135" s="7" t="s">
        <v>1727</v>
      </c>
      <c r="B1135" s="7" t="s">
        <v>1721</v>
      </c>
      <c r="C1135" s="7" t="s">
        <v>1720</v>
      </c>
      <c r="D1135" s="7" t="s">
        <v>1724</v>
      </c>
      <c r="E1135" s="7" t="s">
        <v>280</v>
      </c>
      <c r="F1135" s="7" t="s">
        <v>212</v>
      </c>
      <c r="G1135" s="7" t="s">
        <v>5799</v>
      </c>
      <c r="H1135" s="1" t="s">
        <v>1729</v>
      </c>
      <c r="I1135" s="2">
        <v>0.6</v>
      </c>
      <c r="J1135" s="2" t="s">
        <v>4404</v>
      </c>
      <c r="K1135" s="2" t="s">
        <v>4480</v>
      </c>
      <c r="P1135" s="7" t="s">
        <v>1733</v>
      </c>
      <c r="R1135" s="7" t="s">
        <v>1737</v>
      </c>
      <c r="T1135" s="18"/>
      <c r="W1135" s="7" t="s">
        <v>1730</v>
      </c>
      <c r="X1135" s="5">
        <v>52.650500000000001</v>
      </c>
      <c r="Y1135" s="5">
        <v>6.2035999999999998</v>
      </c>
      <c r="Z1135" s="6">
        <v>4</v>
      </c>
      <c r="AA1135" s="139"/>
      <c r="AB1135" s="139"/>
    </row>
    <row r="1136" spans="1:28" ht="21.75" customHeight="1" x14ac:dyDescent="0.2">
      <c r="A1136" s="7" t="s">
        <v>1727</v>
      </c>
      <c r="B1136" s="7" t="s">
        <v>1721</v>
      </c>
      <c r="C1136" s="7" t="s">
        <v>1720</v>
      </c>
      <c r="D1136" s="7" t="s">
        <v>1725</v>
      </c>
      <c r="E1136" s="7" t="s">
        <v>280</v>
      </c>
      <c r="F1136" s="7" t="s">
        <v>212</v>
      </c>
      <c r="G1136" s="7" t="s">
        <v>5799</v>
      </c>
      <c r="H1136" s="1" t="s">
        <v>1729</v>
      </c>
      <c r="I1136" s="2">
        <v>0.5</v>
      </c>
      <c r="J1136" s="2" t="s">
        <v>4404</v>
      </c>
      <c r="K1136" s="2" t="s">
        <v>4480</v>
      </c>
      <c r="P1136" s="7" t="s">
        <v>1734</v>
      </c>
      <c r="R1136" s="7" t="s">
        <v>1737</v>
      </c>
      <c r="W1136" s="7" t="s">
        <v>1730</v>
      </c>
      <c r="X1136" s="5">
        <v>52.8964</v>
      </c>
      <c r="Y1136" s="5">
        <v>5.0208000000000004</v>
      </c>
      <c r="Z1136" s="6">
        <v>2</v>
      </c>
      <c r="AA1136" s="139"/>
      <c r="AB1136" s="139"/>
    </row>
    <row r="1137" spans="1:28" ht="21.75" customHeight="1" x14ac:dyDescent="0.2">
      <c r="A1137" s="7" t="s">
        <v>1727</v>
      </c>
      <c r="B1137" s="7" t="s">
        <v>1721</v>
      </c>
      <c r="C1137" s="7" t="s">
        <v>1720</v>
      </c>
      <c r="D1137" s="7" t="s">
        <v>1726</v>
      </c>
      <c r="E1137" s="7" t="s">
        <v>280</v>
      </c>
      <c r="F1137" s="7" t="s">
        <v>212</v>
      </c>
      <c r="G1137" s="7" t="s">
        <v>5799</v>
      </c>
      <c r="H1137" s="1" t="s">
        <v>1729</v>
      </c>
      <c r="I1137" s="2">
        <v>0.4</v>
      </c>
      <c r="J1137" s="2" t="s">
        <v>4404</v>
      </c>
      <c r="K1137" s="2" t="s">
        <v>4480</v>
      </c>
      <c r="P1137" s="7" t="s">
        <v>1735</v>
      </c>
      <c r="R1137" s="7" t="s">
        <v>1738</v>
      </c>
      <c r="W1137" s="7" t="s">
        <v>1730</v>
      </c>
      <c r="X1137" s="5">
        <v>52.097900000000003</v>
      </c>
      <c r="Y1137" s="5">
        <v>5.4090999999999996</v>
      </c>
      <c r="Z1137" s="6">
        <v>2</v>
      </c>
      <c r="AA1137" s="139"/>
      <c r="AB1137" s="139"/>
    </row>
    <row r="1138" spans="1:28" s="8" customFormat="1" ht="21.75" customHeight="1" x14ac:dyDescent="0.2">
      <c r="A1138" s="8" t="s">
        <v>5724</v>
      </c>
      <c r="B1138" s="8" t="s">
        <v>4241</v>
      </c>
      <c r="C1138" s="8" t="s">
        <v>4242</v>
      </c>
      <c r="D1138" s="8" t="s">
        <v>4248</v>
      </c>
      <c r="E1138" s="8" t="s">
        <v>263</v>
      </c>
      <c r="F1138" s="8" t="s">
        <v>212</v>
      </c>
      <c r="H1138" s="3" t="s">
        <v>4239</v>
      </c>
      <c r="I1138" s="4">
        <v>0.3</v>
      </c>
      <c r="J1138" s="4" t="s">
        <v>4244</v>
      </c>
      <c r="K1138" s="4" t="s">
        <v>5783</v>
      </c>
      <c r="L1138" s="14">
        <v>3059</v>
      </c>
      <c r="M1138" s="14" t="s">
        <v>4243</v>
      </c>
      <c r="N1138" s="14"/>
      <c r="O1138" s="110" t="s">
        <v>4278</v>
      </c>
      <c r="R1138" s="8" t="s">
        <v>5725</v>
      </c>
      <c r="W1138" s="8" t="s">
        <v>4247</v>
      </c>
      <c r="X1138" s="13">
        <v>-0.61319999999999997</v>
      </c>
      <c r="Y1138" s="13">
        <v>-72.377799999999993</v>
      </c>
      <c r="Z1138" s="14">
        <v>108</v>
      </c>
      <c r="AA1138" s="132" t="s">
        <v>4262</v>
      </c>
      <c r="AB1138" s="8" t="s">
        <v>4279</v>
      </c>
    </row>
    <row r="1139" spans="1:28" s="8" customFormat="1" ht="21.75" customHeight="1" x14ac:dyDescent="0.2">
      <c r="A1139" s="8" t="s">
        <v>5724</v>
      </c>
      <c r="B1139" s="8" t="s">
        <v>4241</v>
      </c>
      <c r="C1139" s="8" t="s">
        <v>4242</v>
      </c>
      <c r="D1139" s="8" t="s">
        <v>4249</v>
      </c>
      <c r="E1139" s="8" t="s">
        <v>263</v>
      </c>
      <c r="F1139" s="8" t="s">
        <v>212</v>
      </c>
      <c r="H1139" s="3" t="s">
        <v>4245</v>
      </c>
      <c r="I1139" s="4">
        <v>0.18</v>
      </c>
      <c r="J1139" s="4" t="s">
        <v>4244</v>
      </c>
      <c r="K1139" s="4" t="s">
        <v>5783</v>
      </c>
      <c r="L1139" s="14">
        <v>3059</v>
      </c>
      <c r="M1139" s="14" t="s">
        <v>4243</v>
      </c>
      <c r="N1139" s="14"/>
      <c r="O1139" s="110" t="s">
        <v>4278</v>
      </c>
      <c r="R1139" s="8" t="s">
        <v>5725</v>
      </c>
      <c r="W1139" s="8" t="s">
        <v>4247</v>
      </c>
      <c r="X1139" s="13">
        <v>-0.61319999999999997</v>
      </c>
      <c r="Y1139" s="13">
        <v>-72.377799999999993</v>
      </c>
      <c r="Z1139" s="14">
        <v>108</v>
      </c>
      <c r="AA1139" s="137"/>
      <c r="AB1139" s="8" t="s">
        <v>4265</v>
      </c>
    </row>
    <row r="1140" spans="1:28" s="8" customFormat="1" ht="21.75" customHeight="1" x14ac:dyDescent="0.2">
      <c r="A1140" s="8" t="s">
        <v>5724</v>
      </c>
      <c r="B1140" s="8" t="s">
        <v>4241</v>
      </c>
      <c r="C1140" s="8" t="s">
        <v>4242</v>
      </c>
      <c r="D1140" s="8" t="s">
        <v>4249</v>
      </c>
      <c r="E1140" s="8" t="s">
        <v>263</v>
      </c>
      <c r="F1140" s="8" t="s">
        <v>212</v>
      </c>
      <c r="H1140" s="3" t="s">
        <v>4246</v>
      </c>
      <c r="I1140" s="4">
        <v>0.17</v>
      </c>
      <c r="J1140" s="4" t="s">
        <v>4244</v>
      </c>
      <c r="K1140" s="4" t="s">
        <v>5783</v>
      </c>
      <c r="L1140" s="14">
        <v>3059</v>
      </c>
      <c r="M1140" s="14" t="s">
        <v>4243</v>
      </c>
      <c r="N1140" s="14"/>
      <c r="O1140" s="110" t="s">
        <v>4278</v>
      </c>
      <c r="R1140" s="8" t="s">
        <v>5725</v>
      </c>
      <c r="W1140" s="8" t="s">
        <v>4247</v>
      </c>
      <c r="X1140" s="13">
        <v>-0.61319999999999997</v>
      </c>
      <c r="Y1140" s="13">
        <v>-72.377799999999993</v>
      </c>
      <c r="Z1140" s="14">
        <v>108</v>
      </c>
      <c r="AA1140" s="137"/>
      <c r="AB1140" s="8" t="s">
        <v>4266</v>
      </c>
    </row>
    <row r="1141" spans="1:28" s="8" customFormat="1" ht="21.75" customHeight="1" x14ac:dyDescent="0.2">
      <c r="A1141" s="8" t="s">
        <v>5724</v>
      </c>
      <c r="B1141" s="8" t="s">
        <v>4241</v>
      </c>
      <c r="C1141" s="8" t="s">
        <v>4242</v>
      </c>
      <c r="D1141" s="8" t="s">
        <v>4250</v>
      </c>
      <c r="E1141" s="8" t="s">
        <v>263</v>
      </c>
      <c r="F1141" s="8" t="s">
        <v>212</v>
      </c>
      <c r="H1141" s="3" t="s">
        <v>4246</v>
      </c>
      <c r="I1141" s="4">
        <v>0.26</v>
      </c>
      <c r="J1141" s="4" t="s">
        <v>4244</v>
      </c>
      <c r="K1141" s="4" t="s">
        <v>5783</v>
      </c>
      <c r="L1141" s="14">
        <v>3059</v>
      </c>
      <c r="M1141" s="14" t="s">
        <v>4243</v>
      </c>
      <c r="N1141" s="14"/>
      <c r="O1141" s="110" t="s">
        <v>4278</v>
      </c>
      <c r="R1141" s="8" t="s">
        <v>5725</v>
      </c>
      <c r="W1141" s="8" t="s">
        <v>4247</v>
      </c>
      <c r="X1141" s="13">
        <v>-0.61319999999999997</v>
      </c>
      <c r="Y1141" s="13">
        <v>-72.377799999999993</v>
      </c>
      <c r="Z1141" s="14">
        <v>108</v>
      </c>
      <c r="AA1141" s="133"/>
      <c r="AB1141" s="8" t="s">
        <v>4267</v>
      </c>
    </row>
    <row r="1142" spans="1:28" s="8" customFormat="1" ht="21.75" customHeight="1" x14ac:dyDescent="0.2">
      <c r="A1142" s="8" t="s">
        <v>5724</v>
      </c>
      <c r="B1142" s="8" t="s">
        <v>4241</v>
      </c>
      <c r="C1142" s="8" t="s">
        <v>4242</v>
      </c>
      <c r="D1142" s="8" t="s">
        <v>4252</v>
      </c>
      <c r="E1142" s="8" t="s">
        <v>263</v>
      </c>
      <c r="F1142" s="8" t="s">
        <v>212</v>
      </c>
      <c r="H1142" s="3" t="s">
        <v>4251</v>
      </c>
      <c r="I1142" s="4">
        <v>0.28000000000000003</v>
      </c>
      <c r="J1142" s="4" t="s">
        <v>4244</v>
      </c>
      <c r="K1142" s="4" t="s">
        <v>5783</v>
      </c>
      <c r="L1142" s="14">
        <v>3059</v>
      </c>
      <c r="M1142" s="14" t="s">
        <v>4243</v>
      </c>
      <c r="N1142" s="14"/>
      <c r="O1142" s="110" t="s">
        <v>4278</v>
      </c>
      <c r="R1142" s="8" t="s">
        <v>5725</v>
      </c>
      <c r="W1142" s="8" t="s">
        <v>4247</v>
      </c>
      <c r="X1142" s="13">
        <v>-0.61319999999999997</v>
      </c>
      <c r="Y1142" s="13">
        <v>-72.377799999999993</v>
      </c>
      <c r="Z1142" s="14">
        <v>108</v>
      </c>
      <c r="AA1142" s="132" t="s">
        <v>4263</v>
      </c>
      <c r="AB1142" s="8" t="s">
        <v>4268</v>
      </c>
    </row>
    <row r="1143" spans="1:28" s="8" customFormat="1" ht="21.75" customHeight="1" x14ac:dyDescent="0.2">
      <c r="A1143" s="8" t="s">
        <v>5724</v>
      </c>
      <c r="B1143" s="8" t="s">
        <v>4241</v>
      </c>
      <c r="C1143" s="8" t="s">
        <v>4242</v>
      </c>
      <c r="D1143" s="8" t="s">
        <v>4249</v>
      </c>
      <c r="E1143" s="8" t="s">
        <v>263</v>
      </c>
      <c r="F1143" s="8" t="s">
        <v>212</v>
      </c>
      <c r="H1143" s="3" t="s">
        <v>4253</v>
      </c>
      <c r="I1143" s="4">
        <v>0.35</v>
      </c>
      <c r="J1143" s="4" t="s">
        <v>4244</v>
      </c>
      <c r="K1143" s="4" t="s">
        <v>5783</v>
      </c>
      <c r="L1143" s="14">
        <v>3059</v>
      </c>
      <c r="M1143" s="14" t="s">
        <v>4243</v>
      </c>
      <c r="N1143" s="14"/>
      <c r="O1143" s="110" t="s">
        <v>4278</v>
      </c>
      <c r="R1143" s="8" t="s">
        <v>5725</v>
      </c>
      <c r="W1143" s="8" t="s">
        <v>4247</v>
      </c>
      <c r="X1143" s="13">
        <v>-0.61319999999999997</v>
      </c>
      <c r="Y1143" s="13">
        <v>-72.377799999999993</v>
      </c>
      <c r="Z1143" s="14">
        <v>108</v>
      </c>
      <c r="AA1143" s="137"/>
      <c r="AB1143" s="8" t="s">
        <v>4269</v>
      </c>
    </row>
    <row r="1144" spans="1:28" s="8" customFormat="1" ht="21.75" customHeight="1" x14ac:dyDescent="0.2">
      <c r="A1144" s="8" t="s">
        <v>5724</v>
      </c>
      <c r="B1144" s="8" t="s">
        <v>4241</v>
      </c>
      <c r="C1144" s="8" t="s">
        <v>4242</v>
      </c>
      <c r="D1144" s="8" t="s">
        <v>4255</v>
      </c>
      <c r="E1144" s="8" t="s">
        <v>263</v>
      </c>
      <c r="F1144" s="8" t="s">
        <v>212</v>
      </c>
      <c r="H1144" s="3" t="s">
        <v>4254</v>
      </c>
      <c r="I1144" s="4">
        <v>0.55000000000000004</v>
      </c>
      <c r="J1144" s="4" t="s">
        <v>4244</v>
      </c>
      <c r="K1144" s="4" t="s">
        <v>5783</v>
      </c>
      <c r="L1144" s="14">
        <v>3059</v>
      </c>
      <c r="M1144" s="14" t="s">
        <v>4243</v>
      </c>
      <c r="N1144" s="14"/>
      <c r="O1144" s="110" t="s">
        <v>4278</v>
      </c>
      <c r="R1144" s="8" t="s">
        <v>5725</v>
      </c>
      <c r="W1144" s="8" t="s">
        <v>4247</v>
      </c>
      <c r="X1144" s="13">
        <v>-0.61319999999999997</v>
      </c>
      <c r="Y1144" s="13">
        <v>-72.377799999999993</v>
      </c>
      <c r="Z1144" s="14">
        <v>108</v>
      </c>
      <c r="AA1144" s="133"/>
      <c r="AB1144" s="8" t="s">
        <v>4270</v>
      </c>
    </row>
    <row r="1145" spans="1:28" s="8" customFormat="1" ht="21.75" customHeight="1" x14ac:dyDescent="0.2">
      <c r="A1145" s="8" t="s">
        <v>5724</v>
      </c>
      <c r="B1145" s="8" t="s">
        <v>4241</v>
      </c>
      <c r="C1145" s="8" t="s">
        <v>4242</v>
      </c>
      <c r="D1145" s="8" t="s">
        <v>4260</v>
      </c>
      <c r="E1145" s="8" t="s">
        <v>263</v>
      </c>
      <c r="F1145" s="8" t="s">
        <v>212</v>
      </c>
      <c r="H1145" s="3" t="s">
        <v>4256</v>
      </c>
      <c r="I1145" s="4">
        <v>0.46</v>
      </c>
      <c r="J1145" s="4" t="s">
        <v>4244</v>
      </c>
      <c r="K1145" s="4" t="s">
        <v>5783</v>
      </c>
      <c r="L1145" s="14">
        <v>3059</v>
      </c>
      <c r="M1145" s="14" t="s">
        <v>4243</v>
      </c>
      <c r="N1145" s="14"/>
      <c r="O1145" s="110" t="s">
        <v>4278</v>
      </c>
      <c r="R1145" s="8" t="s">
        <v>5725</v>
      </c>
      <c r="W1145" s="8" t="s">
        <v>4247</v>
      </c>
      <c r="X1145" s="13">
        <v>-0.61319999999999997</v>
      </c>
      <c r="Y1145" s="13">
        <v>-72.377799999999993</v>
      </c>
      <c r="Z1145" s="14">
        <v>108</v>
      </c>
      <c r="AA1145" s="8" t="s">
        <v>4264</v>
      </c>
      <c r="AB1145" s="8" t="s">
        <v>4271</v>
      </c>
    </row>
    <row r="1146" spans="1:28" s="8" customFormat="1" ht="21.75" customHeight="1" x14ac:dyDescent="0.2">
      <c r="A1146" s="8" t="s">
        <v>5724</v>
      </c>
      <c r="B1146" s="8" t="s">
        <v>4241</v>
      </c>
      <c r="C1146" s="8" t="s">
        <v>4242</v>
      </c>
      <c r="D1146" s="8" t="s">
        <v>4250</v>
      </c>
      <c r="E1146" s="8" t="s">
        <v>263</v>
      </c>
      <c r="F1146" s="8" t="s">
        <v>212</v>
      </c>
      <c r="H1146" s="3" t="s">
        <v>4257</v>
      </c>
      <c r="I1146" s="4">
        <v>0.7</v>
      </c>
      <c r="J1146" s="4" t="s">
        <v>4244</v>
      </c>
      <c r="K1146" s="4" t="s">
        <v>5783</v>
      </c>
      <c r="L1146" s="14">
        <v>3059</v>
      </c>
      <c r="M1146" s="14" t="s">
        <v>4243</v>
      </c>
      <c r="N1146" s="14"/>
      <c r="O1146" s="110" t="s">
        <v>4278</v>
      </c>
      <c r="R1146" s="8" t="s">
        <v>5725</v>
      </c>
      <c r="W1146" s="8" t="s">
        <v>4247</v>
      </c>
      <c r="X1146" s="13">
        <v>-0.61319999999999997</v>
      </c>
      <c r="Y1146" s="13">
        <v>-72.377799999999993</v>
      </c>
      <c r="Z1146" s="14">
        <v>108</v>
      </c>
      <c r="AA1146" s="8" t="s">
        <v>4273</v>
      </c>
      <c r="AB1146" s="8" t="s">
        <v>4272</v>
      </c>
    </row>
    <row r="1147" spans="1:28" s="8" customFormat="1" ht="21.75" customHeight="1" x14ac:dyDescent="0.2">
      <c r="A1147" s="8" t="s">
        <v>5724</v>
      </c>
      <c r="B1147" s="8" t="s">
        <v>4241</v>
      </c>
      <c r="C1147" s="8" t="s">
        <v>4242</v>
      </c>
      <c r="D1147" s="8" t="s">
        <v>4259</v>
      </c>
      <c r="E1147" s="8" t="s">
        <v>263</v>
      </c>
      <c r="F1147" s="8" t="s">
        <v>212</v>
      </c>
      <c r="H1147" s="3" t="s">
        <v>4258</v>
      </c>
      <c r="I1147" s="4">
        <v>1.08</v>
      </c>
      <c r="J1147" s="4" t="s">
        <v>4244</v>
      </c>
      <c r="K1147" s="4" t="s">
        <v>5783</v>
      </c>
      <c r="L1147" s="14">
        <v>3059</v>
      </c>
      <c r="M1147" s="14" t="s">
        <v>4243</v>
      </c>
      <c r="N1147" s="14"/>
      <c r="O1147" s="110" t="s">
        <v>4278</v>
      </c>
      <c r="R1147" s="8" t="s">
        <v>5725</v>
      </c>
      <c r="W1147" s="8" t="s">
        <v>4247</v>
      </c>
      <c r="X1147" s="13">
        <v>-0.61319999999999997</v>
      </c>
      <c r="Y1147" s="13">
        <v>-72.377799999999993</v>
      </c>
      <c r="Z1147" s="14">
        <v>108</v>
      </c>
      <c r="AA1147" s="8" t="s">
        <v>4275</v>
      </c>
      <c r="AB1147" s="8" t="s">
        <v>4274</v>
      </c>
    </row>
    <row r="1148" spans="1:28" s="8" customFormat="1" ht="21.75" customHeight="1" x14ac:dyDescent="0.2">
      <c r="A1148" s="8" t="s">
        <v>5724</v>
      </c>
      <c r="B1148" s="8" t="s">
        <v>4241</v>
      </c>
      <c r="C1148" s="8" t="s">
        <v>4242</v>
      </c>
      <c r="D1148" s="8" t="s">
        <v>4255</v>
      </c>
      <c r="E1148" s="8" t="s">
        <v>263</v>
      </c>
      <c r="F1148" s="8" t="s">
        <v>212</v>
      </c>
      <c r="H1148" s="3" t="s">
        <v>4261</v>
      </c>
      <c r="I1148" s="4">
        <v>1.5</v>
      </c>
      <c r="J1148" s="4" t="s">
        <v>4244</v>
      </c>
      <c r="K1148" s="4" t="s">
        <v>5783</v>
      </c>
      <c r="L1148" s="14">
        <v>3059</v>
      </c>
      <c r="M1148" s="14" t="s">
        <v>4243</v>
      </c>
      <c r="N1148" s="14"/>
      <c r="O1148" s="110" t="s">
        <v>4278</v>
      </c>
      <c r="R1148" s="8" t="s">
        <v>5725</v>
      </c>
      <c r="W1148" s="8" t="s">
        <v>4247</v>
      </c>
      <c r="X1148" s="13">
        <v>-0.61319999999999997</v>
      </c>
      <c r="Y1148" s="13">
        <v>-72.377799999999993</v>
      </c>
      <c r="Z1148" s="14">
        <v>108</v>
      </c>
      <c r="AA1148" s="8" t="s">
        <v>4277</v>
      </c>
      <c r="AB1148" s="8" t="s">
        <v>4276</v>
      </c>
    </row>
    <row r="1149" spans="1:28" s="77" customFormat="1" ht="21.75" customHeight="1" x14ac:dyDescent="0.2">
      <c r="A1149" s="77" t="s">
        <v>7922</v>
      </c>
      <c r="B1149" s="77" t="s">
        <v>7928</v>
      </c>
      <c r="C1149" s="77" t="s">
        <v>7786</v>
      </c>
      <c r="D1149" s="77" t="s">
        <v>7929</v>
      </c>
      <c r="E1149" s="77" t="s">
        <v>33</v>
      </c>
      <c r="F1149" s="77" t="s">
        <v>214</v>
      </c>
      <c r="G1149" s="77" t="s">
        <v>7782</v>
      </c>
      <c r="H1149" s="78" t="s">
        <v>7923</v>
      </c>
      <c r="I1149" s="77">
        <v>0.55000000000000004</v>
      </c>
      <c r="J1149" s="80" t="s">
        <v>4367</v>
      </c>
      <c r="K1149" s="77" t="s">
        <v>7927</v>
      </c>
      <c r="L1149" s="79">
        <v>270</v>
      </c>
      <c r="M1149" s="79" t="s">
        <v>7926</v>
      </c>
      <c r="N1149" s="79"/>
      <c r="O1149" s="111" t="s">
        <v>7931</v>
      </c>
      <c r="R1149" s="77" t="s">
        <v>7925</v>
      </c>
      <c r="U1149" s="77" t="s">
        <v>7924</v>
      </c>
      <c r="V1149" s="77">
        <v>0.6</v>
      </c>
      <c r="W1149" s="77" t="s">
        <v>7930</v>
      </c>
      <c r="X1149" s="81">
        <v>43.8127</v>
      </c>
      <c r="Y1149" s="81">
        <v>-111.7916</v>
      </c>
      <c r="Z1149" s="79">
        <v>1492</v>
      </c>
      <c r="AA1149" s="87" t="s">
        <v>7932</v>
      </c>
      <c r="AB1149" s="77" t="s">
        <v>7933</v>
      </c>
    </row>
    <row r="1150" spans="1:28" s="8" customFormat="1" ht="21.75" customHeight="1" x14ac:dyDescent="0.2">
      <c r="A1150" s="8" t="s">
        <v>6245</v>
      </c>
      <c r="B1150" s="8" t="s">
        <v>6246</v>
      </c>
      <c r="C1150" s="8" t="s">
        <v>188</v>
      </c>
      <c r="E1150" s="8" t="s">
        <v>398</v>
      </c>
      <c r="F1150" s="8" t="s">
        <v>3108</v>
      </c>
      <c r="H1150" s="3" t="s">
        <v>6254</v>
      </c>
      <c r="I1150" s="4">
        <v>0.6</v>
      </c>
      <c r="J1150" s="4" t="s">
        <v>6260</v>
      </c>
      <c r="K1150" s="4" t="s">
        <v>4410</v>
      </c>
      <c r="L1150" s="14">
        <v>344</v>
      </c>
      <c r="M1150" s="14" t="s">
        <v>6248</v>
      </c>
      <c r="N1150" s="14">
        <v>744</v>
      </c>
      <c r="O1150" s="110" t="s">
        <v>3863</v>
      </c>
      <c r="R1150" s="8" t="s">
        <v>6249</v>
      </c>
      <c r="S1150" s="8" t="s">
        <v>309</v>
      </c>
      <c r="T1150" s="8">
        <v>0.6</v>
      </c>
      <c r="W1150" s="8" t="s">
        <v>6247</v>
      </c>
      <c r="X1150" s="13">
        <f>-(38+45/60)</f>
        <v>-38.75</v>
      </c>
      <c r="Y1150" s="13">
        <v>-63.75</v>
      </c>
      <c r="Z1150" s="14">
        <v>93</v>
      </c>
      <c r="AA1150" s="132" t="s">
        <v>6257</v>
      </c>
    </row>
    <row r="1151" spans="1:28" s="8" customFormat="1" ht="21.75" customHeight="1" x14ac:dyDescent="0.2">
      <c r="A1151" s="8" t="s">
        <v>6245</v>
      </c>
      <c r="B1151" s="8" t="s">
        <v>6246</v>
      </c>
      <c r="C1151" s="8" t="s">
        <v>188</v>
      </c>
      <c r="E1151" s="8" t="s">
        <v>398</v>
      </c>
      <c r="F1151" s="8" t="s">
        <v>884</v>
      </c>
      <c r="G1151" s="8" t="s">
        <v>6256</v>
      </c>
      <c r="H1151" s="3" t="s">
        <v>6255</v>
      </c>
      <c r="I1151" s="4">
        <v>0.6</v>
      </c>
      <c r="J1151" s="4" t="s">
        <v>6260</v>
      </c>
      <c r="K1151" s="4" t="s">
        <v>4410</v>
      </c>
      <c r="L1151" s="14">
        <v>344</v>
      </c>
      <c r="M1151" s="14" t="s">
        <v>6248</v>
      </c>
      <c r="N1151" s="14">
        <v>744</v>
      </c>
      <c r="O1151" s="110" t="s">
        <v>3863</v>
      </c>
      <c r="R1151" s="8" t="s">
        <v>6249</v>
      </c>
      <c r="S1151" s="8" t="s">
        <v>309</v>
      </c>
      <c r="T1151" s="8">
        <v>0.6</v>
      </c>
      <c r="W1151" s="8" t="s">
        <v>6247</v>
      </c>
      <c r="X1151" s="13">
        <f>-(38+45/60)</f>
        <v>-38.75</v>
      </c>
      <c r="Y1151" s="13">
        <v>-63.75</v>
      </c>
      <c r="Z1151" s="14">
        <v>93</v>
      </c>
      <c r="AA1151" s="137"/>
    </row>
    <row r="1152" spans="1:28" s="8" customFormat="1" ht="21.75" customHeight="1" x14ac:dyDescent="0.2">
      <c r="A1152" s="8" t="s">
        <v>6245</v>
      </c>
      <c r="B1152" s="8" t="s">
        <v>6246</v>
      </c>
      <c r="C1152" s="8" t="s">
        <v>188</v>
      </c>
      <c r="E1152" s="8" t="s">
        <v>263</v>
      </c>
      <c r="F1152" s="8" t="s">
        <v>214</v>
      </c>
      <c r="H1152" s="3" t="s">
        <v>6251</v>
      </c>
      <c r="I1152" s="4">
        <v>0.55000000000000004</v>
      </c>
      <c r="J1152" s="4" t="s">
        <v>4404</v>
      </c>
      <c r="K1152" s="4" t="s">
        <v>5713</v>
      </c>
      <c r="L1152" s="14">
        <v>344</v>
      </c>
      <c r="M1152" s="14" t="s">
        <v>6248</v>
      </c>
      <c r="N1152" s="14">
        <v>744</v>
      </c>
      <c r="O1152" s="110" t="s">
        <v>3863</v>
      </c>
      <c r="R1152" s="8" t="s">
        <v>6249</v>
      </c>
      <c r="S1152" s="8" t="s">
        <v>309</v>
      </c>
      <c r="T1152" s="8">
        <v>0.6</v>
      </c>
      <c r="W1152" s="8" t="s">
        <v>6247</v>
      </c>
      <c r="X1152" s="13">
        <f>-(38+45/60)</f>
        <v>-38.75</v>
      </c>
      <c r="Y1152" s="13">
        <v>-63.75</v>
      </c>
      <c r="Z1152" s="14">
        <v>93</v>
      </c>
      <c r="AA1152" s="137"/>
      <c r="AB1152" s="8" t="s">
        <v>6259</v>
      </c>
    </row>
    <row r="1153" spans="1:28" s="8" customFormat="1" ht="21.75" customHeight="1" x14ac:dyDescent="0.2">
      <c r="A1153" s="8" t="s">
        <v>6245</v>
      </c>
      <c r="B1153" s="8" t="s">
        <v>6246</v>
      </c>
      <c r="C1153" s="8" t="s">
        <v>188</v>
      </c>
      <c r="E1153" s="8" t="s">
        <v>280</v>
      </c>
      <c r="F1153" s="8" t="s">
        <v>6253</v>
      </c>
      <c r="G1153" s="8" t="s">
        <v>6252</v>
      </c>
      <c r="H1153" s="3" t="s">
        <v>6250</v>
      </c>
      <c r="I1153" s="4">
        <v>0.8</v>
      </c>
      <c r="J1153" s="4" t="s">
        <v>4404</v>
      </c>
      <c r="K1153" s="4" t="s">
        <v>5713</v>
      </c>
      <c r="L1153" s="14">
        <v>344</v>
      </c>
      <c r="M1153" s="14" t="s">
        <v>6248</v>
      </c>
      <c r="N1153" s="14">
        <v>744</v>
      </c>
      <c r="O1153" s="110" t="s">
        <v>3863</v>
      </c>
      <c r="R1153" s="8" t="s">
        <v>6249</v>
      </c>
      <c r="S1153" s="8" t="s">
        <v>309</v>
      </c>
      <c r="T1153" s="8">
        <v>0.6</v>
      </c>
      <c r="W1153" s="8" t="s">
        <v>6247</v>
      </c>
      <c r="X1153" s="13">
        <f>-(38+45/60)</f>
        <v>-38.75</v>
      </c>
      <c r="Y1153" s="13">
        <v>-63.75</v>
      </c>
      <c r="Z1153" s="14">
        <v>93</v>
      </c>
      <c r="AA1153" s="133"/>
      <c r="AB1153" s="8" t="s">
        <v>6258</v>
      </c>
    </row>
    <row r="1154" spans="1:28" ht="21.75" customHeight="1" x14ac:dyDescent="0.2">
      <c r="A1154" s="7" t="s">
        <v>1741</v>
      </c>
      <c r="B1154" s="7" t="s">
        <v>1743</v>
      </c>
      <c r="C1154" s="7" t="s">
        <v>1742</v>
      </c>
      <c r="D1154" s="7" t="s">
        <v>94</v>
      </c>
      <c r="E1154" s="7" t="s">
        <v>33</v>
      </c>
      <c r="F1154" s="7" t="s">
        <v>212</v>
      </c>
      <c r="G1154" s="7" t="s">
        <v>1744</v>
      </c>
      <c r="H1154" s="1" t="s">
        <v>1745</v>
      </c>
      <c r="I1154" s="2">
        <f>15*0.3048</f>
        <v>4.5720000000000001</v>
      </c>
      <c r="J1154" s="2" t="s">
        <v>4367</v>
      </c>
      <c r="K1154" s="2" t="s">
        <v>5713</v>
      </c>
      <c r="L1154" s="6">
        <v>1113</v>
      </c>
      <c r="O1154" s="45" t="s">
        <v>1751</v>
      </c>
      <c r="R1154" s="7" t="s">
        <v>1752</v>
      </c>
      <c r="U1154" s="7" t="s">
        <v>5726</v>
      </c>
      <c r="W1154" s="7" t="s">
        <v>94</v>
      </c>
      <c r="X1154" s="5">
        <v>-0.9173</v>
      </c>
      <c r="Y1154" s="5">
        <v>36.600900000000003</v>
      </c>
      <c r="Z1154" s="6">
        <f>8600*0.3048</f>
        <v>2621.2800000000002</v>
      </c>
      <c r="AB1154" s="139" t="s">
        <v>1753</v>
      </c>
    </row>
    <row r="1155" spans="1:28" ht="21.75" customHeight="1" x14ac:dyDescent="0.2">
      <c r="A1155" s="7" t="s">
        <v>1741</v>
      </c>
      <c r="B1155" s="7" t="s">
        <v>1743</v>
      </c>
      <c r="C1155" s="7" t="s">
        <v>1742</v>
      </c>
      <c r="D1155" s="7" t="s">
        <v>94</v>
      </c>
      <c r="E1155" s="7" t="s">
        <v>33</v>
      </c>
      <c r="F1155" s="7" t="s">
        <v>212</v>
      </c>
      <c r="G1155" s="7" t="s">
        <v>1746</v>
      </c>
      <c r="H1155" s="1" t="s">
        <v>1747</v>
      </c>
      <c r="I1155" s="2">
        <f>15*0.3048</f>
        <v>4.5720000000000001</v>
      </c>
      <c r="J1155" s="2" t="s">
        <v>4367</v>
      </c>
      <c r="K1155" s="2" t="s">
        <v>5713</v>
      </c>
      <c r="L1155" s="6">
        <v>1113</v>
      </c>
      <c r="O1155" s="45" t="s">
        <v>1751</v>
      </c>
      <c r="R1155" s="7" t="s">
        <v>1752</v>
      </c>
      <c r="U1155" s="7" t="s">
        <v>5726</v>
      </c>
      <c r="W1155" s="7" t="s">
        <v>94</v>
      </c>
      <c r="X1155" s="5">
        <v>-0.92500000000000004</v>
      </c>
      <c r="Y1155" s="5">
        <v>36.095300000000002</v>
      </c>
      <c r="Z1155" s="6">
        <v>2617</v>
      </c>
      <c r="AB1155" s="139"/>
    </row>
    <row r="1156" spans="1:28" ht="21.75" customHeight="1" x14ac:dyDescent="0.2">
      <c r="A1156" s="7" t="s">
        <v>1741</v>
      </c>
      <c r="B1156" s="7" t="s">
        <v>1743</v>
      </c>
      <c r="C1156" s="7" t="s">
        <v>1742</v>
      </c>
      <c r="D1156" s="7" t="s">
        <v>1750</v>
      </c>
      <c r="E1156" s="7" t="s">
        <v>398</v>
      </c>
      <c r="F1156" s="7" t="s">
        <v>62</v>
      </c>
      <c r="G1156" s="7" t="s">
        <v>1748</v>
      </c>
      <c r="H1156" s="1" t="s">
        <v>1749</v>
      </c>
      <c r="I1156" s="2">
        <f>13*0.3048</f>
        <v>3.9624000000000001</v>
      </c>
      <c r="J1156" s="2" t="s">
        <v>4367</v>
      </c>
      <c r="K1156" s="2" t="s">
        <v>5713</v>
      </c>
      <c r="L1156" s="6">
        <v>1113</v>
      </c>
      <c r="O1156" s="45" t="s">
        <v>1751</v>
      </c>
      <c r="R1156" s="7" t="s">
        <v>1752</v>
      </c>
      <c r="U1156" s="7" t="s">
        <v>5726</v>
      </c>
      <c r="X1156" s="5">
        <v>-0.93269999999999997</v>
      </c>
      <c r="Y1156" s="5">
        <v>36.604500000000002</v>
      </c>
      <c r="Z1156" s="6">
        <v>2577</v>
      </c>
      <c r="AB1156" s="139"/>
    </row>
    <row r="1157" spans="1:28" s="8" customFormat="1" ht="21.75" customHeight="1" x14ac:dyDescent="0.2">
      <c r="A1157" s="8" t="s">
        <v>1754</v>
      </c>
      <c r="B1157" s="8" t="s">
        <v>1757</v>
      </c>
      <c r="C1157" s="8" t="s">
        <v>1756</v>
      </c>
      <c r="D1157" s="8" t="s">
        <v>1755</v>
      </c>
      <c r="E1157" s="8" t="s">
        <v>280</v>
      </c>
      <c r="F1157" s="8" t="s">
        <v>212</v>
      </c>
      <c r="G1157" s="8" t="s">
        <v>1758</v>
      </c>
      <c r="H1157" s="3" t="s">
        <v>1759</v>
      </c>
      <c r="I1157" s="4">
        <v>53</v>
      </c>
      <c r="J1157" s="4" t="s">
        <v>5800</v>
      </c>
      <c r="K1157" s="4" t="s">
        <v>4480</v>
      </c>
      <c r="L1157" s="14"/>
      <c r="M1157" s="14"/>
      <c r="N1157" s="14"/>
      <c r="O1157" s="110" t="s">
        <v>1760</v>
      </c>
      <c r="P1157" s="4"/>
      <c r="Q1157" s="8">
        <v>73</v>
      </c>
      <c r="R1157" s="8" t="s">
        <v>1764</v>
      </c>
      <c r="X1157" s="13">
        <v>31.842400000000001</v>
      </c>
      <c r="Y1157" s="13">
        <v>-111.0429</v>
      </c>
      <c r="Z1157" s="14">
        <v>988</v>
      </c>
      <c r="AA1157" s="8" t="s">
        <v>1761</v>
      </c>
      <c r="AB1157" s="8" t="s">
        <v>1762</v>
      </c>
    </row>
    <row r="1158" spans="1:28" ht="21.75" customHeight="1" x14ac:dyDescent="0.2">
      <c r="A1158" s="7" t="s">
        <v>1763</v>
      </c>
      <c r="B1158" s="7" t="s">
        <v>1765</v>
      </c>
      <c r="C1158" s="7" t="s">
        <v>1766</v>
      </c>
      <c r="D1158" s="7" t="s">
        <v>1767</v>
      </c>
      <c r="E1158" s="7" t="s">
        <v>280</v>
      </c>
      <c r="F1158" s="7" t="s">
        <v>212</v>
      </c>
      <c r="G1158" s="7" t="s">
        <v>1770</v>
      </c>
      <c r="H1158" s="1" t="s">
        <v>1771</v>
      </c>
      <c r="I1158" s="2" t="s">
        <v>1775</v>
      </c>
      <c r="J1158" s="46" t="s">
        <v>4404</v>
      </c>
      <c r="K1158" s="46" t="s">
        <v>4480</v>
      </c>
      <c r="L1158" s="44">
        <v>560</v>
      </c>
      <c r="M1158" s="6" t="s">
        <v>1777</v>
      </c>
      <c r="N1158" s="6">
        <v>2500</v>
      </c>
      <c r="R1158" s="7" t="s">
        <v>1780</v>
      </c>
      <c r="U1158" s="7" t="s">
        <v>1783</v>
      </c>
      <c r="V1158" s="7" t="s">
        <v>1778</v>
      </c>
      <c r="X1158" s="71">
        <v>-6.7</v>
      </c>
      <c r="Y1158" s="71">
        <v>-40.28</v>
      </c>
      <c r="Z1158" s="72">
        <v>535</v>
      </c>
      <c r="AA1158" s="134" t="s">
        <v>1785</v>
      </c>
      <c r="AB1158" s="7" t="s">
        <v>1784</v>
      </c>
    </row>
    <row r="1159" spans="1:28" ht="21.75" customHeight="1" x14ac:dyDescent="0.2">
      <c r="A1159" s="7" t="s">
        <v>1763</v>
      </c>
      <c r="B1159" s="7" t="s">
        <v>1765</v>
      </c>
      <c r="C1159" s="7" t="s">
        <v>1766</v>
      </c>
      <c r="D1159" s="7" t="s">
        <v>1768</v>
      </c>
      <c r="E1159" s="7" t="s">
        <v>280</v>
      </c>
      <c r="F1159" s="7" t="s">
        <v>212</v>
      </c>
      <c r="H1159" s="1" t="s">
        <v>1772</v>
      </c>
      <c r="I1159" s="2" t="s">
        <v>1776</v>
      </c>
      <c r="J1159" s="46" t="s">
        <v>4404</v>
      </c>
      <c r="K1159" s="46" t="s">
        <v>4480</v>
      </c>
      <c r="L1159" s="44">
        <v>560</v>
      </c>
      <c r="M1159" s="6" t="s">
        <v>1777</v>
      </c>
      <c r="N1159" s="6">
        <v>2500</v>
      </c>
      <c r="R1159" s="7" t="s">
        <v>1781</v>
      </c>
      <c r="U1159" s="7" t="s">
        <v>1783</v>
      </c>
      <c r="V1159" s="7" t="s">
        <v>1779</v>
      </c>
      <c r="X1159" s="71">
        <v>-6.7</v>
      </c>
      <c r="Y1159" s="71">
        <v>-40.28</v>
      </c>
      <c r="Z1159" s="72">
        <v>535</v>
      </c>
      <c r="AA1159" s="136"/>
    </row>
    <row r="1160" spans="1:28" ht="21.75" customHeight="1" x14ac:dyDescent="0.2">
      <c r="A1160" s="7" t="s">
        <v>1763</v>
      </c>
      <c r="B1160" s="7" t="s">
        <v>1765</v>
      </c>
      <c r="C1160" s="7" t="s">
        <v>1766</v>
      </c>
      <c r="D1160" s="7" t="s">
        <v>1769</v>
      </c>
      <c r="E1160" s="7" t="s">
        <v>263</v>
      </c>
      <c r="F1160" s="7" t="s">
        <v>212</v>
      </c>
      <c r="G1160" s="7" t="s">
        <v>1773</v>
      </c>
      <c r="H1160" s="1" t="s">
        <v>1774</v>
      </c>
      <c r="I1160" s="2">
        <v>0.36</v>
      </c>
      <c r="J1160" s="46" t="s">
        <v>4404</v>
      </c>
      <c r="K1160" s="46" t="s">
        <v>4480</v>
      </c>
      <c r="L1160" s="44">
        <v>560</v>
      </c>
      <c r="M1160" s="6" t="s">
        <v>1777</v>
      </c>
      <c r="N1160" s="6">
        <v>2500</v>
      </c>
      <c r="R1160" s="7" t="s">
        <v>1782</v>
      </c>
      <c r="U1160" s="7" t="s">
        <v>1783</v>
      </c>
      <c r="V1160" s="7">
        <v>0.4</v>
      </c>
      <c r="X1160" s="71">
        <v>-6.7</v>
      </c>
      <c r="Y1160" s="71">
        <v>-40.28</v>
      </c>
      <c r="Z1160" s="72">
        <v>535</v>
      </c>
      <c r="AA1160" s="135"/>
    </row>
    <row r="1161" spans="1:28" s="8" customFormat="1" ht="21.75" customHeight="1" x14ac:dyDescent="0.2">
      <c r="A1161" s="8" t="s">
        <v>1159</v>
      </c>
      <c r="B1161" s="8" t="s">
        <v>1161</v>
      </c>
      <c r="C1161" s="8" t="s">
        <v>861</v>
      </c>
      <c r="D1161" s="8" t="s">
        <v>1162</v>
      </c>
      <c r="E1161" s="8" t="s">
        <v>33</v>
      </c>
      <c r="F1161" s="8" t="s">
        <v>212</v>
      </c>
      <c r="G1161" s="8" t="s">
        <v>122</v>
      </c>
      <c r="H1161" s="3" t="s">
        <v>142</v>
      </c>
      <c r="I1161" s="8">
        <v>1.83</v>
      </c>
      <c r="J1161" s="8" t="s">
        <v>4367</v>
      </c>
      <c r="K1161" s="8" t="s">
        <v>5801</v>
      </c>
      <c r="L1161" s="14"/>
      <c r="M1161" s="14"/>
      <c r="N1161" s="14"/>
      <c r="O1161" s="110" t="s">
        <v>1170</v>
      </c>
      <c r="P1161" s="4"/>
      <c r="R1161" s="8" t="s">
        <v>1163</v>
      </c>
      <c r="X1161" s="13">
        <v>40.569099999999999</v>
      </c>
      <c r="Y1161" s="13">
        <v>-105.59269999999999</v>
      </c>
      <c r="Z1161" s="14">
        <v>2751</v>
      </c>
      <c r="AA1161" s="8" t="s">
        <v>1168</v>
      </c>
      <c r="AB1161" s="138" t="s">
        <v>1171</v>
      </c>
    </row>
    <row r="1162" spans="1:28" s="8" customFormat="1" ht="21.75" customHeight="1" x14ac:dyDescent="0.2">
      <c r="A1162" s="8" t="s">
        <v>1159</v>
      </c>
      <c r="B1162" s="8" t="s">
        <v>1161</v>
      </c>
      <c r="C1162" s="8" t="s">
        <v>861</v>
      </c>
      <c r="D1162" s="8" t="s">
        <v>1160</v>
      </c>
      <c r="E1162" s="8" t="s">
        <v>33</v>
      </c>
      <c r="F1162" s="8" t="s">
        <v>212</v>
      </c>
      <c r="G1162" s="8" t="s">
        <v>122</v>
      </c>
      <c r="H1162" s="3" t="s">
        <v>142</v>
      </c>
      <c r="I1162" s="8">
        <v>0.91</v>
      </c>
      <c r="J1162" s="8" t="s">
        <v>4367</v>
      </c>
      <c r="K1162" s="8" t="s">
        <v>5801</v>
      </c>
      <c r="L1162" s="14"/>
      <c r="M1162" s="14"/>
      <c r="N1162" s="14"/>
      <c r="O1162" s="110" t="s">
        <v>1169</v>
      </c>
      <c r="P1162" s="4"/>
      <c r="R1162" s="8" t="s">
        <v>1164</v>
      </c>
      <c r="X1162" s="13">
        <v>40.576599999999999</v>
      </c>
      <c r="Y1162" s="13">
        <v>-105.6302</v>
      </c>
      <c r="Z1162" s="14">
        <v>2864</v>
      </c>
      <c r="AA1162" s="8" t="s">
        <v>1167</v>
      </c>
      <c r="AB1162" s="138"/>
    </row>
    <row r="1163" spans="1:28" ht="21.75" customHeight="1" x14ac:dyDescent="0.2">
      <c r="A1163" s="7" t="s">
        <v>6810</v>
      </c>
      <c r="B1163" s="7" t="s">
        <v>6811</v>
      </c>
      <c r="C1163" s="7" t="s">
        <v>6812</v>
      </c>
      <c r="D1163" s="7" t="s">
        <v>6813</v>
      </c>
      <c r="E1163" s="7" t="s">
        <v>398</v>
      </c>
      <c r="F1163" s="7" t="s">
        <v>62</v>
      </c>
      <c r="G1163" s="7" t="s">
        <v>6816</v>
      </c>
      <c r="H1163" s="1" t="s">
        <v>6815</v>
      </c>
      <c r="I1163" s="7">
        <v>0.08</v>
      </c>
      <c r="J1163" s="44" t="s">
        <v>4367</v>
      </c>
      <c r="K1163" s="44" t="s">
        <v>4480</v>
      </c>
      <c r="L1163" s="72"/>
      <c r="O1163" s="45" t="s">
        <v>6813</v>
      </c>
      <c r="R1163" s="44" t="s">
        <v>1605</v>
      </c>
      <c r="X1163" s="5">
        <v>32.7378</v>
      </c>
      <c r="Y1163" s="5">
        <v>-0.5998</v>
      </c>
      <c r="Z1163" s="6">
        <v>1100</v>
      </c>
      <c r="AA1163" s="7" t="s">
        <v>6819</v>
      </c>
      <c r="AB1163" s="7" t="s">
        <v>6820</v>
      </c>
    </row>
    <row r="1164" spans="1:28" ht="21.75" customHeight="1" x14ac:dyDescent="0.2">
      <c r="A1164" s="7" t="s">
        <v>6810</v>
      </c>
      <c r="B1164" s="7" t="s">
        <v>6811</v>
      </c>
      <c r="C1164" s="7" t="s">
        <v>6812</v>
      </c>
      <c r="D1164" s="7" t="s">
        <v>6813</v>
      </c>
      <c r="E1164" s="7" t="s">
        <v>275</v>
      </c>
      <c r="F1164" s="7" t="s">
        <v>62</v>
      </c>
      <c r="G1164" s="7" t="s">
        <v>6817</v>
      </c>
      <c r="H1164" s="1" t="s">
        <v>6814</v>
      </c>
      <c r="I1164" s="7">
        <v>0.1</v>
      </c>
      <c r="J1164" s="44" t="s">
        <v>4367</v>
      </c>
      <c r="K1164" s="44" t="s">
        <v>4480</v>
      </c>
      <c r="L1164" s="72"/>
      <c r="O1164" s="45" t="s">
        <v>6813</v>
      </c>
      <c r="R1164" s="44" t="s">
        <v>1605</v>
      </c>
      <c r="X1164" s="5">
        <v>32.7378</v>
      </c>
      <c r="Y1164" s="5">
        <v>-0.5998</v>
      </c>
      <c r="Z1164" s="6">
        <v>1100</v>
      </c>
      <c r="AA1164" s="7" t="s">
        <v>6818</v>
      </c>
    </row>
    <row r="1165" spans="1:28" s="8" customFormat="1" ht="21.75" customHeight="1" x14ac:dyDescent="0.2">
      <c r="A1165" s="8" t="s">
        <v>1786</v>
      </c>
      <c r="B1165" s="8" t="s">
        <v>1787</v>
      </c>
      <c r="C1165" s="8" t="s">
        <v>90</v>
      </c>
      <c r="D1165" s="8" t="s">
        <v>1791</v>
      </c>
      <c r="E1165" s="8" t="s">
        <v>33</v>
      </c>
      <c r="F1165" s="8" t="s">
        <v>212</v>
      </c>
      <c r="G1165" s="8" t="s">
        <v>84</v>
      </c>
      <c r="H1165" s="3" t="s">
        <v>85</v>
      </c>
      <c r="I1165" s="4">
        <v>7.0000000000000007E-2</v>
      </c>
      <c r="J1165" s="33" t="s">
        <v>4367</v>
      </c>
      <c r="K1165" s="33" t="s">
        <v>5713</v>
      </c>
      <c r="L1165" s="22"/>
      <c r="M1165" s="14"/>
      <c r="N1165" s="14"/>
      <c r="O1165" s="110" t="s">
        <v>1822</v>
      </c>
      <c r="P1165" s="4"/>
      <c r="R1165" s="43" t="s">
        <v>1809</v>
      </c>
      <c r="U1165" s="8" t="s">
        <v>5727</v>
      </c>
      <c r="V1165" s="8">
        <v>1.7</v>
      </c>
      <c r="X1165" s="25">
        <v>56.085900000000002</v>
      </c>
      <c r="Y1165" s="25">
        <v>-96.488600000000005</v>
      </c>
      <c r="Z1165" s="14">
        <v>176</v>
      </c>
      <c r="AA1165" s="138" t="s">
        <v>1817</v>
      </c>
      <c r="AB1165" s="138" t="s">
        <v>1823</v>
      </c>
    </row>
    <row r="1166" spans="1:28" s="8" customFormat="1" ht="21.75" customHeight="1" x14ac:dyDescent="0.2">
      <c r="A1166" s="8" t="s">
        <v>1786</v>
      </c>
      <c r="B1166" s="8" t="s">
        <v>1787</v>
      </c>
      <c r="C1166" s="8" t="s">
        <v>90</v>
      </c>
      <c r="D1166" s="8" t="s">
        <v>1791</v>
      </c>
      <c r="E1166" s="8" t="s">
        <v>33</v>
      </c>
      <c r="F1166" s="8" t="s">
        <v>212</v>
      </c>
      <c r="G1166" s="8" t="s">
        <v>86</v>
      </c>
      <c r="H1166" s="3" t="s">
        <v>1793</v>
      </c>
      <c r="I1166" s="4">
        <v>0.8</v>
      </c>
      <c r="J1166" s="33" t="s">
        <v>4367</v>
      </c>
      <c r="K1166" s="33" t="s">
        <v>5713</v>
      </c>
      <c r="L1166" s="22"/>
      <c r="M1166" s="14"/>
      <c r="N1166" s="14"/>
      <c r="O1166" s="110" t="s">
        <v>1822</v>
      </c>
      <c r="P1166" s="4"/>
      <c r="R1166" s="43" t="s">
        <v>1809</v>
      </c>
      <c r="U1166" s="8" t="s">
        <v>5727</v>
      </c>
      <c r="V1166" s="8">
        <v>1.7</v>
      </c>
      <c r="X1166" s="25">
        <v>56.085900000000002</v>
      </c>
      <c r="Y1166" s="25">
        <v>-96.488600000000005</v>
      </c>
      <c r="Z1166" s="14">
        <v>176</v>
      </c>
      <c r="AA1166" s="138"/>
      <c r="AB1166" s="138"/>
    </row>
    <row r="1167" spans="1:28" s="8" customFormat="1" ht="21.75" customHeight="1" x14ac:dyDescent="0.2">
      <c r="A1167" s="8" t="s">
        <v>1786</v>
      </c>
      <c r="B1167" s="8" t="s">
        <v>1787</v>
      </c>
      <c r="C1167" s="8" t="s">
        <v>90</v>
      </c>
      <c r="D1167" s="8" t="s">
        <v>1791</v>
      </c>
      <c r="E1167" s="8" t="s">
        <v>280</v>
      </c>
      <c r="F1167" s="8" t="s">
        <v>212</v>
      </c>
      <c r="G1167" s="8" t="s">
        <v>1794</v>
      </c>
      <c r="H1167" s="3" t="s">
        <v>1803</v>
      </c>
      <c r="I1167" s="4">
        <v>0.8</v>
      </c>
      <c r="J1167" s="33" t="s">
        <v>4367</v>
      </c>
      <c r="K1167" s="33" t="s">
        <v>5713</v>
      </c>
      <c r="L1167" s="22"/>
      <c r="M1167" s="14"/>
      <c r="N1167" s="14"/>
      <c r="O1167" s="110" t="s">
        <v>1822</v>
      </c>
      <c r="P1167" s="4"/>
      <c r="R1167" s="43" t="s">
        <v>1809</v>
      </c>
      <c r="U1167" s="8" t="s">
        <v>5727</v>
      </c>
      <c r="V1167" s="8">
        <v>1.7</v>
      </c>
      <c r="X1167" s="25">
        <v>56.085900000000002</v>
      </c>
      <c r="Y1167" s="25">
        <v>-96.488600000000005</v>
      </c>
      <c r="Z1167" s="14">
        <v>176</v>
      </c>
      <c r="AA1167" s="138"/>
      <c r="AB1167" s="138"/>
    </row>
    <row r="1168" spans="1:28" s="8" customFormat="1" ht="21.75" customHeight="1" x14ac:dyDescent="0.2">
      <c r="A1168" s="8" t="s">
        <v>1786</v>
      </c>
      <c r="B1168" s="8" t="s">
        <v>1787</v>
      </c>
      <c r="C1168" s="8" t="s">
        <v>90</v>
      </c>
      <c r="D1168" s="8" t="s">
        <v>1788</v>
      </c>
      <c r="E1168" s="8" t="s">
        <v>33</v>
      </c>
      <c r="F1168" s="8" t="s">
        <v>212</v>
      </c>
      <c r="G1168" s="8" t="s">
        <v>84</v>
      </c>
      <c r="H1168" s="3" t="s">
        <v>85</v>
      </c>
      <c r="I1168" s="4">
        <v>0.12</v>
      </c>
      <c r="J1168" s="33" t="s">
        <v>4367</v>
      </c>
      <c r="K1168" s="33" t="s">
        <v>5713</v>
      </c>
      <c r="L1168" s="22"/>
      <c r="M1168" s="14"/>
      <c r="N1168" s="14"/>
      <c r="O1168" s="110"/>
      <c r="P1168" s="4"/>
      <c r="R1168" s="8" t="s">
        <v>1804</v>
      </c>
      <c r="X1168" s="25">
        <v>46.698599999999999</v>
      </c>
      <c r="Y1168" s="25">
        <v>-91.605500000000006</v>
      </c>
      <c r="Z1168" s="14">
        <v>218</v>
      </c>
      <c r="AA1168" s="8" t="s">
        <v>1810</v>
      </c>
      <c r="AB1168" s="8" t="s">
        <v>1819</v>
      </c>
    </row>
    <row r="1169" spans="1:28" s="8" customFormat="1" ht="21.75" customHeight="1" x14ac:dyDescent="0.2">
      <c r="A1169" s="8" t="s">
        <v>1786</v>
      </c>
      <c r="B1169" s="8" t="s">
        <v>1787</v>
      </c>
      <c r="C1169" s="8" t="s">
        <v>90</v>
      </c>
      <c r="D1169" s="8" t="s">
        <v>1792</v>
      </c>
      <c r="E1169" s="8" t="s">
        <v>33</v>
      </c>
      <c r="F1169" s="8" t="s">
        <v>212</v>
      </c>
      <c r="G1169" s="8" t="s">
        <v>88</v>
      </c>
      <c r="H1169" s="3" t="s">
        <v>89</v>
      </c>
      <c r="I1169" s="4">
        <v>0.8</v>
      </c>
      <c r="J1169" s="33" t="s">
        <v>4367</v>
      </c>
      <c r="K1169" s="33" t="s">
        <v>5713</v>
      </c>
      <c r="L1169" s="22"/>
      <c r="M1169" s="14"/>
      <c r="N1169" s="14"/>
      <c r="O1169" s="110"/>
      <c r="P1169" s="4"/>
      <c r="R1169" s="8" t="s">
        <v>1805</v>
      </c>
      <c r="X1169" s="25">
        <v>56.048000000000002</v>
      </c>
      <c r="Y1169" s="25">
        <v>-96.908600000000007</v>
      </c>
      <c r="Z1169" s="14">
        <v>184</v>
      </c>
      <c r="AA1169" s="8" t="s">
        <v>1818</v>
      </c>
      <c r="AB1169" s="8" t="s">
        <v>1820</v>
      </c>
    </row>
    <row r="1170" spans="1:28" s="8" customFormat="1" ht="21.75" customHeight="1" x14ac:dyDescent="0.2">
      <c r="A1170" s="8" t="s">
        <v>1786</v>
      </c>
      <c r="B1170" s="8" t="s">
        <v>1787</v>
      </c>
      <c r="C1170" s="8" t="s">
        <v>90</v>
      </c>
      <c r="D1170" s="8" t="s">
        <v>1788</v>
      </c>
      <c r="E1170" s="8" t="s">
        <v>33</v>
      </c>
      <c r="F1170" s="8" t="s">
        <v>212</v>
      </c>
      <c r="G1170" s="8" t="s">
        <v>88</v>
      </c>
      <c r="H1170" s="3" t="s">
        <v>89</v>
      </c>
      <c r="I1170" s="4">
        <v>0.5</v>
      </c>
      <c r="J1170" s="33" t="s">
        <v>4367</v>
      </c>
      <c r="K1170" s="33" t="s">
        <v>5713</v>
      </c>
      <c r="L1170" s="22"/>
      <c r="M1170" s="14"/>
      <c r="N1170" s="14"/>
      <c r="O1170" s="110"/>
      <c r="P1170" s="4"/>
      <c r="R1170" s="8" t="s">
        <v>1804</v>
      </c>
      <c r="X1170" s="25">
        <v>46.698599999999999</v>
      </c>
      <c r="Y1170" s="25">
        <v>-91.605500000000006</v>
      </c>
      <c r="Z1170" s="14">
        <v>218</v>
      </c>
      <c r="AA1170" s="8" t="s">
        <v>1811</v>
      </c>
      <c r="AB1170" s="8" t="s">
        <v>1821</v>
      </c>
    </row>
    <row r="1171" spans="1:28" s="8" customFormat="1" ht="21.75" customHeight="1" x14ac:dyDescent="0.2">
      <c r="A1171" s="8" t="s">
        <v>1786</v>
      </c>
      <c r="B1171" s="8" t="s">
        <v>1787</v>
      </c>
      <c r="C1171" s="8" t="s">
        <v>90</v>
      </c>
      <c r="D1171" s="8" t="s">
        <v>1792</v>
      </c>
      <c r="E1171" s="8" t="s">
        <v>280</v>
      </c>
      <c r="F1171" s="8" t="s">
        <v>212</v>
      </c>
      <c r="G1171" s="8" t="s">
        <v>1795</v>
      </c>
      <c r="H1171" s="3" t="s">
        <v>1796</v>
      </c>
      <c r="I1171" s="4">
        <v>0.1</v>
      </c>
      <c r="J1171" s="33" t="s">
        <v>4367</v>
      </c>
      <c r="K1171" s="33" t="s">
        <v>5713</v>
      </c>
      <c r="L1171" s="22"/>
      <c r="M1171" s="14"/>
      <c r="N1171" s="14"/>
      <c r="O1171" s="110"/>
      <c r="P1171" s="4"/>
      <c r="R1171" s="8" t="s">
        <v>1805</v>
      </c>
      <c r="X1171" s="25">
        <v>56.048000000000002</v>
      </c>
      <c r="Y1171" s="25">
        <v>-96.908600000000007</v>
      </c>
      <c r="Z1171" s="14">
        <v>184</v>
      </c>
      <c r="AA1171" s="8" t="s">
        <v>1812</v>
      </c>
    </row>
    <row r="1172" spans="1:28" s="8" customFormat="1" ht="21.75" customHeight="1" x14ac:dyDescent="0.2">
      <c r="A1172" s="8" t="s">
        <v>1786</v>
      </c>
      <c r="B1172" s="8" t="s">
        <v>1787</v>
      </c>
      <c r="C1172" s="8" t="s">
        <v>90</v>
      </c>
      <c r="D1172" s="8" t="s">
        <v>1789</v>
      </c>
      <c r="E1172" s="8" t="s">
        <v>280</v>
      </c>
      <c r="F1172" s="8" t="s">
        <v>212</v>
      </c>
      <c r="G1172" s="8" t="s">
        <v>1797</v>
      </c>
      <c r="H1172" s="3" t="s">
        <v>1798</v>
      </c>
      <c r="I1172" s="4">
        <v>0.3</v>
      </c>
      <c r="J1172" s="33" t="s">
        <v>4367</v>
      </c>
      <c r="K1172" s="33" t="s">
        <v>5713</v>
      </c>
      <c r="L1172" s="22"/>
      <c r="M1172" s="14"/>
      <c r="N1172" s="14"/>
      <c r="O1172" s="110"/>
      <c r="P1172" s="4"/>
      <c r="R1172" s="8" t="s">
        <v>1806</v>
      </c>
      <c r="X1172" s="25">
        <v>55.9148</v>
      </c>
      <c r="Y1172" s="25">
        <v>-96.837900000000005</v>
      </c>
      <c r="Z1172" s="14">
        <v>183</v>
      </c>
      <c r="AA1172" s="8" t="s">
        <v>1813</v>
      </c>
      <c r="AB1172" s="8" t="s">
        <v>1826</v>
      </c>
    </row>
    <row r="1173" spans="1:28" s="8" customFormat="1" ht="21.75" customHeight="1" x14ac:dyDescent="0.2">
      <c r="A1173" s="8" t="s">
        <v>1786</v>
      </c>
      <c r="B1173" s="8" t="s">
        <v>1787</v>
      </c>
      <c r="C1173" s="8" t="s">
        <v>90</v>
      </c>
      <c r="D1173" s="8" t="s">
        <v>1790</v>
      </c>
      <c r="E1173" s="8" t="s">
        <v>33</v>
      </c>
      <c r="F1173" s="8" t="s">
        <v>212</v>
      </c>
      <c r="G1173" s="8" t="s">
        <v>86</v>
      </c>
      <c r="H1173" s="3" t="s">
        <v>1793</v>
      </c>
      <c r="I1173" s="4">
        <v>0.45</v>
      </c>
      <c r="J1173" s="33" t="s">
        <v>4367</v>
      </c>
      <c r="K1173" s="33" t="s">
        <v>5713</v>
      </c>
      <c r="L1173" s="22"/>
      <c r="M1173" s="14"/>
      <c r="N1173" s="14"/>
      <c r="O1173" s="110"/>
      <c r="P1173" s="4"/>
      <c r="R1173" s="8" t="s">
        <v>1807</v>
      </c>
      <c r="X1173" s="25">
        <v>56.107500000000002</v>
      </c>
      <c r="Y1173" s="25">
        <v>-96.495099999999994</v>
      </c>
      <c r="Z1173" s="14">
        <v>168</v>
      </c>
      <c r="AA1173" s="8" t="s">
        <v>1814</v>
      </c>
      <c r="AB1173" s="8" t="s">
        <v>1825</v>
      </c>
    </row>
    <row r="1174" spans="1:28" s="8" customFormat="1" ht="21.75" customHeight="1" x14ac:dyDescent="0.2">
      <c r="A1174" s="8" t="s">
        <v>1786</v>
      </c>
      <c r="B1174" s="8" t="s">
        <v>1787</v>
      </c>
      <c r="C1174" s="8" t="s">
        <v>90</v>
      </c>
      <c r="D1174" s="8" t="s">
        <v>1791</v>
      </c>
      <c r="E1174" s="8" t="s">
        <v>33</v>
      </c>
      <c r="F1174" s="8" t="s">
        <v>212</v>
      </c>
      <c r="G1174" s="8" t="s">
        <v>1799</v>
      </c>
      <c r="H1174" s="3" t="s">
        <v>1800</v>
      </c>
      <c r="I1174" s="4">
        <v>0.42</v>
      </c>
      <c r="J1174" s="33" t="s">
        <v>4367</v>
      </c>
      <c r="K1174" s="33" t="s">
        <v>5713</v>
      </c>
      <c r="L1174" s="22"/>
      <c r="M1174" s="14"/>
      <c r="N1174" s="14"/>
      <c r="O1174" s="110" t="s">
        <v>1822</v>
      </c>
      <c r="P1174" s="4"/>
      <c r="R1174" s="8" t="s">
        <v>1808</v>
      </c>
      <c r="X1174" s="25">
        <v>56.085900000000002</v>
      </c>
      <c r="Y1174" s="25">
        <v>-96.488600000000005</v>
      </c>
      <c r="Z1174" s="14">
        <v>176</v>
      </c>
      <c r="AA1174" s="8" t="s">
        <v>1815</v>
      </c>
      <c r="AB1174" s="8" t="s">
        <v>1824</v>
      </c>
    </row>
    <row r="1175" spans="1:28" s="8" customFormat="1" ht="21.75" customHeight="1" x14ac:dyDescent="0.2">
      <c r="A1175" s="8" t="s">
        <v>1786</v>
      </c>
      <c r="B1175" s="8" t="s">
        <v>1787</v>
      </c>
      <c r="C1175" s="8" t="s">
        <v>90</v>
      </c>
      <c r="D1175" s="8" t="s">
        <v>1788</v>
      </c>
      <c r="E1175" s="8" t="s">
        <v>33</v>
      </c>
      <c r="F1175" s="8" t="s">
        <v>212</v>
      </c>
      <c r="G1175" s="8" t="s">
        <v>1801</v>
      </c>
      <c r="H1175" s="3" t="s">
        <v>1802</v>
      </c>
      <c r="I1175" s="4">
        <v>0.4</v>
      </c>
      <c r="J1175" s="33" t="s">
        <v>4367</v>
      </c>
      <c r="K1175" s="33" t="s">
        <v>5713</v>
      </c>
      <c r="L1175" s="14"/>
      <c r="M1175" s="14"/>
      <c r="N1175" s="14"/>
      <c r="O1175" s="110"/>
      <c r="P1175" s="4"/>
      <c r="R1175" s="8" t="s">
        <v>1804</v>
      </c>
      <c r="X1175" s="25">
        <v>46.698599999999999</v>
      </c>
      <c r="Y1175" s="25">
        <v>-91.605500000000006</v>
      </c>
      <c r="Z1175" s="14">
        <v>218</v>
      </c>
      <c r="AA1175" s="8" t="s">
        <v>1816</v>
      </c>
    </row>
    <row r="1176" spans="1:28" ht="21.75" customHeight="1" x14ac:dyDescent="0.2">
      <c r="A1176" s="7" t="s">
        <v>5942</v>
      </c>
      <c r="B1176" s="7" t="s">
        <v>5943</v>
      </c>
      <c r="C1176" s="7" t="s">
        <v>5944</v>
      </c>
      <c r="E1176" s="7" t="s">
        <v>263</v>
      </c>
      <c r="F1176" s="7" t="s">
        <v>2678</v>
      </c>
      <c r="G1176" s="7" t="s">
        <v>5945</v>
      </c>
      <c r="H1176" s="1" t="s">
        <v>5946</v>
      </c>
      <c r="I1176" s="2" t="s">
        <v>5948</v>
      </c>
      <c r="J1176" s="46" t="s">
        <v>4367</v>
      </c>
      <c r="K1176" s="46" t="s">
        <v>4480</v>
      </c>
      <c r="L1176" s="6">
        <v>1450</v>
      </c>
      <c r="M1176" s="6" t="s">
        <v>5952</v>
      </c>
      <c r="O1176" s="45" t="s">
        <v>5949</v>
      </c>
      <c r="P1176" s="2" t="s">
        <v>5951</v>
      </c>
      <c r="R1176" s="7" t="s">
        <v>5950</v>
      </c>
      <c r="X1176" s="24">
        <v>8.5687999999999995</v>
      </c>
      <c r="Y1176" s="24">
        <v>-67.584699999999998</v>
      </c>
      <c r="Z1176" s="6">
        <v>73</v>
      </c>
      <c r="AA1176" s="7" t="s">
        <v>5947</v>
      </c>
    </row>
    <row r="1177" spans="1:28" s="8" customFormat="1" ht="21.75" customHeight="1" x14ac:dyDescent="0.2">
      <c r="A1177" s="8" t="s">
        <v>3837</v>
      </c>
      <c r="B1177" s="8" t="s">
        <v>3838</v>
      </c>
      <c r="C1177" s="8" t="s">
        <v>116</v>
      </c>
      <c r="D1177" s="8" t="s">
        <v>3839</v>
      </c>
      <c r="E1177" s="8" t="s">
        <v>5049</v>
      </c>
      <c r="F1177" s="8" t="s">
        <v>212</v>
      </c>
      <c r="H1177" s="3" t="s">
        <v>3847</v>
      </c>
      <c r="I1177" s="4" t="s">
        <v>68</v>
      </c>
      <c r="J1177" s="4" t="s">
        <v>5802</v>
      </c>
      <c r="K1177" s="4" t="s">
        <v>5803</v>
      </c>
      <c r="L1177" s="14">
        <v>1000</v>
      </c>
      <c r="M1177" s="14" t="s">
        <v>3842</v>
      </c>
      <c r="N1177" s="14"/>
      <c r="O1177" s="110"/>
      <c r="P1177" s="4"/>
      <c r="Q1177" s="8">
        <v>9</v>
      </c>
      <c r="R1177" s="8" t="s">
        <v>5728</v>
      </c>
      <c r="S1177" s="8" t="s">
        <v>7007</v>
      </c>
      <c r="U1177" s="8" t="s">
        <v>3843</v>
      </c>
      <c r="W1177" s="8" t="s">
        <v>3844</v>
      </c>
      <c r="X1177" s="25">
        <f>20+50/60</f>
        <v>20.833333333333332</v>
      </c>
      <c r="Y1177" s="25">
        <f>-(89+39/60+10/3600)</f>
        <v>-89.652777777777786</v>
      </c>
      <c r="Z1177" s="14">
        <v>11</v>
      </c>
      <c r="AA1177" s="8" t="s">
        <v>3845</v>
      </c>
    </row>
    <row r="1178" spans="1:28" s="8" customFormat="1" ht="21.75" customHeight="1" x14ac:dyDescent="0.2">
      <c r="A1178" s="8" t="s">
        <v>3837</v>
      </c>
      <c r="B1178" s="8" t="s">
        <v>3838</v>
      </c>
      <c r="C1178" s="8" t="s">
        <v>116</v>
      </c>
      <c r="D1178" s="8" t="s">
        <v>3839</v>
      </c>
      <c r="E1178" s="8" t="s">
        <v>280</v>
      </c>
      <c r="F1178" s="8" t="s">
        <v>212</v>
      </c>
      <c r="H1178" s="3" t="s">
        <v>3848</v>
      </c>
      <c r="I1178" s="4" t="s">
        <v>68</v>
      </c>
      <c r="J1178" s="4" t="s">
        <v>5802</v>
      </c>
      <c r="K1178" s="4" t="s">
        <v>5803</v>
      </c>
      <c r="L1178" s="14">
        <v>1000</v>
      </c>
      <c r="M1178" s="14" t="s">
        <v>3842</v>
      </c>
      <c r="N1178" s="14"/>
      <c r="O1178" s="110"/>
      <c r="P1178" s="4"/>
      <c r="Q1178" s="8">
        <v>9</v>
      </c>
      <c r="R1178" s="8" t="s">
        <v>5728</v>
      </c>
      <c r="S1178" s="8" t="s">
        <v>7007</v>
      </c>
      <c r="X1178" s="25">
        <f>20+50/60</f>
        <v>20.833333333333332</v>
      </c>
      <c r="Y1178" s="25">
        <f>-(89+39/60+10/3600)</f>
        <v>-89.652777777777786</v>
      </c>
      <c r="Z1178" s="14">
        <v>11</v>
      </c>
      <c r="AA1178" s="8" t="s">
        <v>3852</v>
      </c>
    </row>
    <row r="1179" spans="1:28" s="8" customFormat="1" ht="21.75" customHeight="1" x14ac:dyDescent="0.2">
      <c r="A1179" s="8" t="s">
        <v>3837</v>
      </c>
      <c r="B1179" s="8" t="s">
        <v>3838</v>
      </c>
      <c r="C1179" s="8" t="s">
        <v>116</v>
      </c>
      <c r="D1179" s="8" t="s">
        <v>3839</v>
      </c>
      <c r="E1179" s="8" t="s">
        <v>263</v>
      </c>
      <c r="F1179" s="8" t="s">
        <v>212</v>
      </c>
      <c r="H1179" s="3" t="s">
        <v>3849</v>
      </c>
      <c r="I1179" s="4" t="s">
        <v>68</v>
      </c>
      <c r="J1179" s="4" t="s">
        <v>5802</v>
      </c>
      <c r="K1179" s="4" t="s">
        <v>5803</v>
      </c>
      <c r="L1179" s="14">
        <v>1000</v>
      </c>
      <c r="M1179" s="14" t="s">
        <v>3842</v>
      </c>
      <c r="N1179" s="14"/>
      <c r="O1179" s="110"/>
      <c r="P1179" s="4"/>
      <c r="Q1179" s="8">
        <v>9</v>
      </c>
      <c r="R1179" s="8" t="s">
        <v>5728</v>
      </c>
      <c r="S1179" s="8" t="s">
        <v>7007</v>
      </c>
      <c r="X1179" s="25">
        <f>20+50/60</f>
        <v>20.833333333333332</v>
      </c>
      <c r="Y1179" s="25">
        <f>-(89+39/60+10/3600)</f>
        <v>-89.652777777777786</v>
      </c>
      <c r="Z1179" s="14">
        <v>11</v>
      </c>
      <c r="AA1179" s="8" t="s">
        <v>3853</v>
      </c>
    </row>
    <row r="1180" spans="1:28" s="8" customFormat="1" ht="21.75" customHeight="1" x14ac:dyDescent="0.2">
      <c r="A1180" s="8" t="s">
        <v>3837</v>
      </c>
      <c r="B1180" s="8" t="s">
        <v>3838</v>
      </c>
      <c r="C1180" s="8" t="s">
        <v>116</v>
      </c>
      <c r="D1180" s="8" t="s">
        <v>3839</v>
      </c>
      <c r="E1180" s="8" t="s">
        <v>263</v>
      </c>
      <c r="F1180" s="8" t="s">
        <v>212</v>
      </c>
      <c r="H1180" s="3" t="s">
        <v>3850</v>
      </c>
      <c r="I1180" s="4" t="s">
        <v>68</v>
      </c>
      <c r="J1180" s="4" t="s">
        <v>5802</v>
      </c>
      <c r="K1180" s="4" t="s">
        <v>5803</v>
      </c>
      <c r="L1180" s="14">
        <v>1000</v>
      </c>
      <c r="M1180" s="14" t="s">
        <v>3842</v>
      </c>
      <c r="N1180" s="14"/>
      <c r="O1180" s="110"/>
      <c r="P1180" s="4"/>
      <c r="Q1180" s="8">
        <v>9</v>
      </c>
      <c r="R1180" s="8" t="s">
        <v>5728</v>
      </c>
      <c r="S1180" s="8" t="s">
        <v>7007</v>
      </c>
      <c r="X1180" s="25">
        <f>20+50/60</f>
        <v>20.833333333333332</v>
      </c>
      <c r="Y1180" s="25">
        <f>-(89+39/60+10/3600)</f>
        <v>-89.652777777777786</v>
      </c>
      <c r="Z1180" s="14">
        <v>11</v>
      </c>
      <c r="AA1180" s="8" t="s">
        <v>3854</v>
      </c>
    </row>
    <row r="1181" spans="1:28" s="8" customFormat="1" ht="21.75" customHeight="1" x14ac:dyDescent="0.2">
      <c r="A1181" s="8" t="s">
        <v>3837</v>
      </c>
      <c r="B1181" s="8" t="s">
        <v>3838</v>
      </c>
      <c r="C1181" s="8" t="s">
        <v>116</v>
      </c>
      <c r="D1181" s="8" t="s">
        <v>3839</v>
      </c>
      <c r="E1181" s="8" t="s">
        <v>263</v>
      </c>
      <c r="F1181" s="8" t="s">
        <v>212</v>
      </c>
      <c r="H1181" s="3" t="s">
        <v>3851</v>
      </c>
      <c r="I1181" s="4" t="s">
        <v>68</v>
      </c>
      <c r="J1181" s="4" t="s">
        <v>5802</v>
      </c>
      <c r="K1181" s="4" t="s">
        <v>5803</v>
      </c>
      <c r="L1181" s="14">
        <v>1000</v>
      </c>
      <c r="M1181" s="14" t="s">
        <v>3842</v>
      </c>
      <c r="N1181" s="14"/>
      <c r="O1181" s="110"/>
      <c r="P1181" s="4"/>
      <c r="Q1181" s="8">
        <v>9</v>
      </c>
      <c r="R1181" s="8" t="s">
        <v>5728</v>
      </c>
      <c r="S1181" s="8" t="s">
        <v>7007</v>
      </c>
      <c r="X1181" s="25">
        <f>20+50/60</f>
        <v>20.833333333333332</v>
      </c>
      <c r="Y1181" s="25">
        <f>-(89+39/60+10/3600)</f>
        <v>-89.652777777777786</v>
      </c>
      <c r="Z1181" s="14">
        <v>11</v>
      </c>
      <c r="AA1181" s="8" t="s">
        <v>3855</v>
      </c>
    </row>
    <row r="1182" spans="1:28" s="8" customFormat="1" ht="21.75" customHeight="1" x14ac:dyDescent="0.2">
      <c r="A1182" s="8" t="s">
        <v>3837</v>
      </c>
      <c r="B1182" s="8" t="s">
        <v>3838</v>
      </c>
      <c r="C1182" s="8" t="s">
        <v>116</v>
      </c>
      <c r="D1182" s="8" t="s">
        <v>3840</v>
      </c>
      <c r="E1182" s="8" t="s">
        <v>280</v>
      </c>
      <c r="F1182" s="8" t="s">
        <v>212</v>
      </c>
      <c r="H1182" s="3" t="s">
        <v>3848</v>
      </c>
      <c r="I1182" s="4" t="s">
        <v>68</v>
      </c>
      <c r="J1182" s="4" t="s">
        <v>5802</v>
      </c>
      <c r="K1182" s="4" t="s">
        <v>5803</v>
      </c>
      <c r="L1182" s="14">
        <v>1000</v>
      </c>
      <c r="M1182" s="14" t="s">
        <v>3842</v>
      </c>
      <c r="N1182" s="14"/>
      <c r="O1182" s="110"/>
      <c r="P1182" s="4"/>
      <c r="Q1182" s="8">
        <v>9</v>
      </c>
      <c r="R1182" s="8" t="s">
        <v>5728</v>
      </c>
      <c r="S1182" s="8" t="s">
        <v>7007</v>
      </c>
      <c r="U1182" s="8" t="s">
        <v>3843</v>
      </c>
      <c r="W1182" s="8" t="s">
        <v>3844</v>
      </c>
      <c r="X1182" s="25">
        <f>20+52/60+45/3600</f>
        <v>20.879166666666666</v>
      </c>
      <c r="Y1182" s="25">
        <f>-(89+39/60+12/3600)</f>
        <v>-89.653333333333336</v>
      </c>
      <c r="Z1182" s="14">
        <v>14</v>
      </c>
      <c r="AA1182" s="8" t="s">
        <v>3856</v>
      </c>
    </row>
    <row r="1183" spans="1:28" s="8" customFormat="1" ht="21.75" customHeight="1" x14ac:dyDescent="0.2">
      <c r="A1183" s="8" t="s">
        <v>3837</v>
      </c>
      <c r="B1183" s="8" t="s">
        <v>3838</v>
      </c>
      <c r="C1183" s="8" t="s">
        <v>116</v>
      </c>
      <c r="D1183" s="8" t="s">
        <v>3840</v>
      </c>
      <c r="E1183" s="8" t="s">
        <v>263</v>
      </c>
      <c r="F1183" s="8" t="s">
        <v>212</v>
      </c>
      <c r="H1183" s="3" t="s">
        <v>3849</v>
      </c>
      <c r="I1183" s="4" t="s">
        <v>68</v>
      </c>
      <c r="J1183" s="4" t="s">
        <v>5802</v>
      </c>
      <c r="K1183" s="4" t="s">
        <v>5803</v>
      </c>
      <c r="L1183" s="14">
        <v>1000</v>
      </c>
      <c r="M1183" s="14" t="s">
        <v>3842</v>
      </c>
      <c r="N1183" s="14"/>
      <c r="O1183" s="110"/>
      <c r="P1183" s="4"/>
      <c r="Q1183" s="8">
        <v>9</v>
      </c>
      <c r="R1183" s="8" t="s">
        <v>5728</v>
      </c>
      <c r="S1183" s="8" t="s">
        <v>7007</v>
      </c>
      <c r="X1183" s="25">
        <f>20+52/60+45/3600</f>
        <v>20.879166666666666</v>
      </c>
      <c r="Y1183" s="25">
        <f>-(89+39/60+12/3600)</f>
        <v>-89.653333333333336</v>
      </c>
      <c r="Z1183" s="14">
        <v>14</v>
      </c>
    </row>
    <row r="1184" spans="1:28" s="8" customFormat="1" ht="21.75" customHeight="1" x14ac:dyDescent="0.2">
      <c r="A1184" s="8" t="s">
        <v>3837</v>
      </c>
      <c r="B1184" s="8" t="s">
        <v>3838</v>
      </c>
      <c r="C1184" s="8" t="s">
        <v>116</v>
      </c>
      <c r="D1184" s="8" t="s">
        <v>3840</v>
      </c>
      <c r="E1184" s="8" t="s">
        <v>263</v>
      </c>
      <c r="F1184" s="8" t="s">
        <v>212</v>
      </c>
      <c r="H1184" s="3" t="s">
        <v>3851</v>
      </c>
      <c r="I1184" s="4" t="s">
        <v>68</v>
      </c>
      <c r="J1184" s="4" t="s">
        <v>5802</v>
      </c>
      <c r="K1184" s="4" t="s">
        <v>5803</v>
      </c>
      <c r="L1184" s="14">
        <v>1000</v>
      </c>
      <c r="M1184" s="14" t="s">
        <v>3842</v>
      </c>
      <c r="N1184" s="14"/>
      <c r="O1184" s="110"/>
      <c r="P1184" s="4"/>
      <c r="Q1184" s="8">
        <v>9</v>
      </c>
      <c r="R1184" s="8" t="s">
        <v>5728</v>
      </c>
      <c r="S1184" s="8" t="s">
        <v>7007</v>
      </c>
      <c r="X1184" s="25">
        <f>20+52/60+45/3600</f>
        <v>20.879166666666666</v>
      </c>
      <c r="Y1184" s="25">
        <f>-(89+39/60+12/3600)</f>
        <v>-89.653333333333336</v>
      </c>
      <c r="Z1184" s="14">
        <v>14</v>
      </c>
    </row>
    <row r="1185" spans="1:28" s="8" customFormat="1" ht="21.75" customHeight="1" x14ac:dyDescent="0.2">
      <c r="A1185" s="8" t="s">
        <v>3837</v>
      </c>
      <c r="B1185" s="8" t="s">
        <v>3838</v>
      </c>
      <c r="C1185" s="8" t="s">
        <v>116</v>
      </c>
      <c r="D1185" s="8" t="s">
        <v>3841</v>
      </c>
      <c r="E1185" s="8" t="s">
        <v>280</v>
      </c>
      <c r="F1185" s="8" t="s">
        <v>212</v>
      </c>
      <c r="H1185" s="3" t="s">
        <v>3848</v>
      </c>
      <c r="I1185" s="4" t="s">
        <v>68</v>
      </c>
      <c r="J1185" s="4" t="s">
        <v>5802</v>
      </c>
      <c r="K1185" s="4" t="s">
        <v>5803</v>
      </c>
      <c r="L1185" s="14">
        <v>1000</v>
      </c>
      <c r="M1185" s="14" t="s">
        <v>3842</v>
      </c>
      <c r="N1185" s="14"/>
      <c r="O1185" s="110"/>
      <c r="P1185" s="4"/>
      <c r="Q1185" s="8">
        <v>20</v>
      </c>
      <c r="R1185" s="8" t="s">
        <v>5728</v>
      </c>
      <c r="S1185" s="8" t="s">
        <v>7007</v>
      </c>
      <c r="U1185" s="8" t="s">
        <v>3843</v>
      </c>
      <c r="W1185" s="8" t="s">
        <v>3844</v>
      </c>
      <c r="X1185" s="25">
        <f t="shared" ref="X1185:X1190" si="11">20+48/60+56/3600</f>
        <v>20.815555555555555</v>
      </c>
      <c r="Y1185" s="25">
        <f t="shared" ref="Y1185:Y1190" si="12">-(89+14/60+42/3600)</f>
        <v>-89.245000000000005</v>
      </c>
      <c r="Z1185" s="14">
        <v>14</v>
      </c>
    </row>
    <row r="1186" spans="1:28" s="8" customFormat="1" ht="21.75" customHeight="1" x14ac:dyDescent="0.2">
      <c r="A1186" s="8" t="s">
        <v>3837</v>
      </c>
      <c r="B1186" s="8" t="s">
        <v>3838</v>
      </c>
      <c r="C1186" s="8" t="s">
        <v>116</v>
      </c>
      <c r="D1186" s="8" t="s">
        <v>3841</v>
      </c>
      <c r="E1186" s="8" t="s">
        <v>280</v>
      </c>
      <c r="F1186" s="8" t="s">
        <v>212</v>
      </c>
      <c r="H1186" s="3" t="s">
        <v>3846</v>
      </c>
      <c r="I1186" s="4" t="s">
        <v>68</v>
      </c>
      <c r="J1186" s="4" t="s">
        <v>5802</v>
      </c>
      <c r="K1186" s="4" t="s">
        <v>5803</v>
      </c>
      <c r="L1186" s="14">
        <v>1000</v>
      </c>
      <c r="M1186" s="14" t="s">
        <v>3842</v>
      </c>
      <c r="N1186" s="14"/>
      <c r="O1186" s="110"/>
      <c r="P1186" s="4"/>
      <c r="Q1186" s="8">
        <v>20</v>
      </c>
      <c r="R1186" s="8" t="s">
        <v>5728</v>
      </c>
      <c r="S1186" s="8" t="s">
        <v>7007</v>
      </c>
      <c r="X1186" s="25">
        <f t="shared" si="11"/>
        <v>20.815555555555555</v>
      </c>
      <c r="Y1186" s="25">
        <f t="shared" si="12"/>
        <v>-89.245000000000005</v>
      </c>
      <c r="Z1186" s="14">
        <v>14</v>
      </c>
    </row>
    <row r="1187" spans="1:28" s="8" customFormat="1" ht="21.75" customHeight="1" x14ac:dyDescent="0.2">
      <c r="A1187" s="8" t="s">
        <v>3837</v>
      </c>
      <c r="B1187" s="8" t="s">
        <v>3838</v>
      </c>
      <c r="C1187" s="8" t="s">
        <v>116</v>
      </c>
      <c r="D1187" s="8" t="s">
        <v>3841</v>
      </c>
      <c r="E1187" s="8" t="s">
        <v>5049</v>
      </c>
      <c r="F1187" s="8" t="s">
        <v>212</v>
      </c>
      <c r="H1187" s="3" t="s">
        <v>3847</v>
      </c>
      <c r="I1187" s="4" t="s">
        <v>68</v>
      </c>
      <c r="J1187" s="4" t="s">
        <v>5802</v>
      </c>
      <c r="K1187" s="4" t="s">
        <v>5803</v>
      </c>
      <c r="L1187" s="14">
        <v>1000</v>
      </c>
      <c r="M1187" s="14" t="s">
        <v>3842</v>
      </c>
      <c r="N1187" s="14"/>
      <c r="O1187" s="110"/>
      <c r="P1187" s="4"/>
      <c r="Q1187" s="8">
        <v>20</v>
      </c>
      <c r="R1187" s="8" t="s">
        <v>5728</v>
      </c>
      <c r="S1187" s="8" t="s">
        <v>7007</v>
      </c>
      <c r="X1187" s="25">
        <f t="shared" si="11"/>
        <v>20.815555555555555</v>
      </c>
      <c r="Y1187" s="25">
        <f t="shared" si="12"/>
        <v>-89.245000000000005</v>
      </c>
      <c r="Z1187" s="14">
        <v>14</v>
      </c>
    </row>
    <row r="1188" spans="1:28" s="8" customFormat="1" ht="21.75" customHeight="1" x14ac:dyDescent="0.2">
      <c r="A1188" s="8" t="s">
        <v>3837</v>
      </c>
      <c r="B1188" s="8" t="s">
        <v>3838</v>
      </c>
      <c r="C1188" s="8" t="s">
        <v>116</v>
      </c>
      <c r="D1188" s="8" t="s">
        <v>3841</v>
      </c>
      <c r="E1188" s="8" t="s">
        <v>263</v>
      </c>
      <c r="F1188" s="8" t="s">
        <v>212</v>
      </c>
      <c r="H1188" s="3" t="s">
        <v>3849</v>
      </c>
      <c r="I1188" s="4" t="s">
        <v>68</v>
      </c>
      <c r="J1188" s="4" t="s">
        <v>5802</v>
      </c>
      <c r="K1188" s="4" t="s">
        <v>5803</v>
      </c>
      <c r="L1188" s="14">
        <v>1000</v>
      </c>
      <c r="M1188" s="14" t="s">
        <v>3842</v>
      </c>
      <c r="N1188" s="14"/>
      <c r="O1188" s="110"/>
      <c r="P1188" s="4"/>
      <c r="Q1188" s="8">
        <v>20</v>
      </c>
      <c r="R1188" s="8" t="s">
        <v>5728</v>
      </c>
      <c r="S1188" s="8" t="s">
        <v>7007</v>
      </c>
      <c r="X1188" s="25">
        <f t="shared" si="11"/>
        <v>20.815555555555555</v>
      </c>
      <c r="Y1188" s="25">
        <f t="shared" si="12"/>
        <v>-89.245000000000005</v>
      </c>
      <c r="Z1188" s="14">
        <v>14</v>
      </c>
    </row>
    <row r="1189" spans="1:28" s="8" customFormat="1" ht="21.75" customHeight="1" x14ac:dyDescent="0.2">
      <c r="A1189" s="8" t="s">
        <v>3837</v>
      </c>
      <c r="B1189" s="8" t="s">
        <v>3838</v>
      </c>
      <c r="C1189" s="8" t="s">
        <v>116</v>
      </c>
      <c r="D1189" s="8" t="s">
        <v>3841</v>
      </c>
      <c r="E1189" s="8" t="s">
        <v>263</v>
      </c>
      <c r="F1189" s="8" t="s">
        <v>212</v>
      </c>
      <c r="H1189" s="3" t="s">
        <v>3850</v>
      </c>
      <c r="I1189" s="4" t="s">
        <v>68</v>
      </c>
      <c r="J1189" s="4" t="s">
        <v>5802</v>
      </c>
      <c r="K1189" s="4" t="s">
        <v>5803</v>
      </c>
      <c r="L1189" s="14">
        <v>1000</v>
      </c>
      <c r="M1189" s="14" t="s">
        <v>3842</v>
      </c>
      <c r="N1189" s="14"/>
      <c r="O1189" s="110"/>
      <c r="P1189" s="4"/>
      <c r="Q1189" s="8">
        <v>20</v>
      </c>
      <c r="R1189" s="8" t="s">
        <v>5728</v>
      </c>
      <c r="S1189" s="8" t="s">
        <v>7007</v>
      </c>
      <c r="X1189" s="25">
        <f t="shared" si="11"/>
        <v>20.815555555555555</v>
      </c>
      <c r="Y1189" s="25">
        <f t="shared" si="12"/>
        <v>-89.245000000000005</v>
      </c>
      <c r="Z1189" s="14">
        <v>14</v>
      </c>
    </row>
    <row r="1190" spans="1:28" s="8" customFormat="1" ht="21.75" customHeight="1" x14ac:dyDescent="0.2">
      <c r="A1190" s="8" t="s">
        <v>3837</v>
      </c>
      <c r="B1190" s="8" t="s">
        <v>3838</v>
      </c>
      <c r="C1190" s="8" t="s">
        <v>116</v>
      </c>
      <c r="D1190" s="8" t="s">
        <v>3841</v>
      </c>
      <c r="E1190" s="8" t="s">
        <v>263</v>
      </c>
      <c r="F1190" s="8" t="s">
        <v>212</v>
      </c>
      <c r="H1190" s="3" t="s">
        <v>3851</v>
      </c>
      <c r="I1190" s="4" t="s">
        <v>68</v>
      </c>
      <c r="J1190" s="4" t="s">
        <v>5802</v>
      </c>
      <c r="K1190" s="4" t="s">
        <v>5803</v>
      </c>
      <c r="L1190" s="14">
        <v>1000</v>
      </c>
      <c r="M1190" s="14" t="s">
        <v>3842</v>
      </c>
      <c r="N1190" s="14"/>
      <c r="O1190" s="110"/>
      <c r="P1190" s="4"/>
      <c r="Q1190" s="8">
        <v>20</v>
      </c>
      <c r="R1190" s="8" t="s">
        <v>5728</v>
      </c>
      <c r="S1190" s="8" t="s">
        <v>7007</v>
      </c>
      <c r="X1190" s="25">
        <f t="shared" si="11"/>
        <v>20.815555555555555</v>
      </c>
      <c r="Y1190" s="25">
        <f t="shared" si="12"/>
        <v>-89.245000000000005</v>
      </c>
      <c r="Z1190" s="14">
        <v>14</v>
      </c>
    </row>
    <row r="1191" spans="1:28" ht="21.75" customHeight="1" x14ac:dyDescent="0.2">
      <c r="A1191" s="7" t="s">
        <v>1827</v>
      </c>
      <c r="B1191" s="7" t="s">
        <v>1828</v>
      </c>
      <c r="C1191" s="7" t="s">
        <v>94</v>
      </c>
      <c r="D1191" s="7" t="s">
        <v>1829</v>
      </c>
      <c r="E1191" s="7" t="s">
        <v>1832</v>
      </c>
      <c r="F1191" s="7" t="s">
        <v>212</v>
      </c>
      <c r="G1191" s="7" t="s">
        <v>1830</v>
      </c>
      <c r="H1191" s="1" t="s">
        <v>1831</v>
      </c>
      <c r="I1191" s="2">
        <v>4.4000000000000004</v>
      </c>
      <c r="J1191" s="2" t="s">
        <v>5804</v>
      </c>
      <c r="K1191" s="2" t="s">
        <v>5805</v>
      </c>
      <c r="L1191" s="6">
        <v>500</v>
      </c>
      <c r="M1191" s="6" t="s">
        <v>1837</v>
      </c>
      <c r="O1191" s="45" t="s">
        <v>1834</v>
      </c>
      <c r="Q1191" s="7">
        <v>4.95</v>
      </c>
      <c r="R1191" s="7" t="s">
        <v>1833</v>
      </c>
      <c r="W1191" s="7" t="s">
        <v>94</v>
      </c>
      <c r="X1191" s="24">
        <v>28.880700000000001</v>
      </c>
      <c r="Y1191" s="24">
        <v>76.524900000000002</v>
      </c>
      <c r="Z1191" s="6">
        <v>231</v>
      </c>
      <c r="AA1191" s="7" t="s">
        <v>1835</v>
      </c>
      <c r="AB1191" s="7" t="s">
        <v>1836</v>
      </c>
    </row>
    <row r="1192" spans="1:28" s="8" customFormat="1" ht="21.75" customHeight="1" x14ac:dyDescent="0.2">
      <c r="A1192" s="8" t="s">
        <v>6729</v>
      </c>
      <c r="B1192" s="8" t="s">
        <v>6730</v>
      </c>
      <c r="C1192" s="8" t="s">
        <v>4451</v>
      </c>
      <c r="D1192" s="8" t="s">
        <v>6732</v>
      </c>
      <c r="E1192" s="8" t="s">
        <v>33</v>
      </c>
      <c r="F1192" s="8" t="s">
        <v>212</v>
      </c>
      <c r="G1192" s="8" t="s">
        <v>4295</v>
      </c>
      <c r="H1192" s="3" t="s">
        <v>3994</v>
      </c>
      <c r="I1192" s="8">
        <v>1.5</v>
      </c>
      <c r="J1192" s="4" t="s">
        <v>4404</v>
      </c>
      <c r="K1192" s="4" t="s">
        <v>6731</v>
      </c>
      <c r="L1192" s="14"/>
      <c r="M1192" s="14"/>
      <c r="N1192" s="14"/>
      <c r="O1192" s="110" t="s">
        <v>6733</v>
      </c>
      <c r="P1192" s="4" t="s">
        <v>6740</v>
      </c>
      <c r="Q1192" s="8">
        <v>1</v>
      </c>
      <c r="R1192" s="8" t="s">
        <v>1271</v>
      </c>
      <c r="X1192" s="25">
        <v>50.553699999999999</v>
      </c>
      <c r="Y1192" s="25">
        <v>7.2671999999999999</v>
      </c>
      <c r="Z1192" s="14">
        <v>56</v>
      </c>
      <c r="AA1192" s="132" t="s">
        <v>6741</v>
      </c>
      <c r="AB1192" s="8" t="s">
        <v>6742</v>
      </c>
    </row>
    <row r="1193" spans="1:28" s="8" customFormat="1" ht="21.75" customHeight="1" x14ac:dyDescent="0.2">
      <c r="A1193" s="8" t="s">
        <v>6729</v>
      </c>
      <c r="B1193" s="8" t="s">
        <v>6730</v>
      </c>
      <c r="C1193" s="8" t="s">
        <v>4451</v>
      </c>
      <c r="D1193" s="8" t="s">
        <v>6735</v>
      </c>
      <c r="E1193" s="8" t="s">
        <v>33</v>
      </c>
      <c r="F1193" s="8" t="s">
        <v>212</v>
      </c>
      <c r="G1193" s="8" t="s">
        <v>4295</v>
      </c>
      <c r="H1193" s="3" t="s">
        <v>3994</v>
      </c>
      <c r="I1193" s="4">
        <v>1.2</v>
      </c>
      <c r="J1193" s="4" t="s">
        <v>4404</v>
      </c>
      <c r="K1193" s="4" t="s">
        <v>6731</v>
      </c>
      <c r="L1193" s="14"/>
      <c r="M1193" s="14"/>
      <c r="N1193" s="14"/>
      <c r="O1193" s="110" t="s">
        <v>6733</v>
      </c>
      <c r="P1193" s="4" t="s">
        <v>6739</v>
      </c>
      <c r="Q1193" s="8">
        <v>0.9</v>
      </c>
      <c r="R1193" s="8" t="s">
        <v>1271</v>
      </c>
      <c r="X1193" s="25">
        <v>50.553100000000001</v>
      </c>
      <c r="Y1193" s="25">
        <v>7.2652000000000001</v>
      </c>
      <c r="Z1193" s="14">
        <v>59</v>
      </c>
      <c r="AA1193" s="137"/>
      <c r="AB1193" s="8" t="s">
        <v>6738</v>
      </c>
    </row>
    <row r="1194" spans="1:28" s="8" customFormat="1" ht="21.75" customHeight="1" x14ac:dyDescent="0.2">
      <c r="A1194" s="8" t="s">
        <v>6729</v>
      </c>
      <c r="B1194" s="8" t="s">
        <v>6730</v>
      </c>
      <c r="C1194" s="8" t="s">
        <v>4451</v>
      </c>
      <c r="D1194" s="8" t="s">
        <v>6736</v>
      </c>
      <c r="E1194" s="8" t="s">
        <v>33</v>
      </c>
      <c r="F1194" s="8" t="s">
        <v>212</v>
      </c>
      <c r="G1194" s="8" t="s">
        <v>4295</v>
      </c>
      <c r="H1194" s="3" t="s">
        <v>3994</v>
      </c>
      <c r="I1194" s="4">
        <v>1.38</v>
      </c>
      <c r="J1194" s="4" t="s">
        <v>4404</v>
      </c>
      <c r="K1194" s="4" t="s">
        <v>6731</v>
      </c>
      <c r="L1194" s="14"/>
      <c r="M1194" s="14"/>
      <c r="N1194" s="14"/>
      <c r="O1194" s="110" t="s">
        <v>6734</v>
      </c>
      <c r="P1194" s="4" t="s">
        <v>2949</v>
      </c>
      <c r="Q1194" s="4" t="s">
        <v>2949</v>
      </c>
      <c r="R1194" s="8" t="s">
        <v>1271</v>
      </c>
      <c r="X1194" s="25">
        <v>50.554299999999998</v>
      </c>
      <c r="Y1194" s="25">
        <v>7.2622999999999998</v>
      </c>
      <c r="Z1194" s="14">
        <v>62</v>
      </c>
      <c r="AA1194" s="133"/>
      <c r="AB1194" s="8" t="s">
        <v>6737</v>
      </c>
    </row>
    <row r="1195" spans="1:28" ht="21.75" customHeight="1" x14ac:dyDescent="0.2">
      <c r="A1195" s="7" t="s">
        <v>1838</v>
      </c>
      <c r="B1195" s="7" t="s">
        <v>1840</v>
      </c>
      <c r="C1195" s="7" t="s">
        <v>1839</v>
      </c>
      <c r="D1195" s="7" t="s">
        <v>1841</v>
      </c>
      <c r="E1195" s="7" t="s">
        <v>33</v>
      </c>
      <c r="F1195" s="7" t="s">
        <v>212</v>
      </c>
      <c r="G1195" s="7" t="s">
        <v>1305</v>
      </c>
      <c r="H1195" s="1" t="s">
        <v>1306</v>
      </c>
      <c r="I1195" s="2">
        <v>0.25</v>
      </c>
      <c r="J1195" s="2" t="s">
        <v>5806</v>
      </c>
      <c r="K1195" s="2" t="s">
        <v>4410</v>
      </c>
      <c r="L1195" s="6">
        <v>900</v>
      </c>
      <c r="O1195" s="45" t="s">
        <v>1844</v>
      </c>
      <c r="Q1195" s="7">
        <v>0.45</v>
      </c>
      <c r="R1195" s="7" t="s">
        <v>1843</v>
      </c>
      <c r="W1195" s="7" t="s">
        <v>94</v>
      </c>
      <c r="X1195" s="5">
        <v>58.430399999999999</v>
      </c>
      <c r="Y1195" s="5">
        <v>-3.4262000000000001</v>
      </c>
      <c r="Z1195" s="6">
        <v>94.1</v>
      </c>
      <c r="AA1195" s="139" t="s">
        <v>1845</v>
      </c>
      <c r="AB1195" s="139" t="s">
        <v>1846</v>
      </c>
    </row>
    <row r="1196" spans="1:28" ht="21.75" customHeight="1" x14ac:dyDescent="0.2">
      <c r="A1196" s="7" t="s">
        <v>1838</v>
      </c>
      <c r="B1196" s="7" t="s">
        <v>1840</v>
      </c>
      <c r="C1196" s="7" t="s">
        <v>1839</v>
      </c>
      <c r="D1196" s="7" t="s">
        <v>1842</v>
      </c>
      <c r="E1196" s="7" t="s">
        <v>33</v>
      </c>
      <c r="F1196" s="7" t="s">
        <v>212</v>
      </c>
      <c r="G1196" s="7" t="s">
        <v>122</v>
      </c>
      <c r="H1196" s="1" t="s">
        <v>142</v>
      </c>
      <c r="I1196" s="2">
        <v>0.45</v>
      </c>
      <c r="J1196" s="2" t="s">
        <v>5806</v>
      </c>
      <c r="K1196" s="2" t="s">
        <v>4410</v>
      </c>
      <c r="L1196" s="6">
        <v>900</v>
      </c>
      <c r="O1196" s="45" t="s">
        <v>1844</v>
      </c>
      <c r="Q1196" s="7">
        <v>0.5</v>
      </c>
      <c r="R1196" s="7" t="s">
        <v>1843</v>
      </c>
      <c r="W1196" s="7" t="s">
        <v>94</v>
      </c>
      <c r="X1196" s="5">
        <v>58.429600000000001</v>
      </c>
      <c r="Y1196" s="5">
        <v>-3.4266999999999999</v>
      </c>
      <c r="Z1196" s="6">
        <v>93.9</v>
      </c>
      <c r="AA1196" s="139"/>
      <c r="AB1196" s="139"/>
    </row>
    <row r="1197" spans="1:28" s="8" customFormat="1" ht="21.75" customHeight="1" x14ac:dyDescent="0.2">
      <c r="A1197" s="8" t="s">
        <v>1847</v>
      </c>
      <c r="B1197" s="8" t="s">
        <v>1848</v>
      </c>
      <c r="C1197" s="8" t="s">
        <v>1839</v>
      </c>
      <c r="D1197" s="8" t="s">
        <v>1849</v>
      </c>
      <c r="E1197" s="8" t="s">
        <v>33</v>
      </c>
      <c r="F1197" s="8" t="s">
        <v>212</v>
      </c>
      <c r="G1197" s="8" t="s">
        <v>1305</v>
      </c>
      <c r="H1197" s="3" t="s">
        <v>1306</v>
      </c>
      <c r="I1197" s="4">
        <v>0.48</v>
      </c>
      <c r="J1197" s="4" t="s">
        <v>5807</v>
      </c>
      <c r="K1197" s="4" t="s">
        <v>4480</v>
      </c>
      <c r="L1197" s="14"/>
      <c r="M1197" s="14"/>
      <c r="N1197" s="14"/>
      <c r="O1197" s="158" t="s">
        <v>1853</v>
      </c>
      <c r="P1197" s="4"/>
      <c r="Q1197" s="8">
        <v>0.4</v>
      </c>
      <c r="R1197" s="8" t="s">
        <v>1852</v>
      </c>
      <c r="X1197" s="32">
        <v>55.1</v>
      </c>
      <c r="Y1197" s="32">
        <v>-2.7833000000000001</v>
      </c>
      <c r="Z1197" s="26">
        <v>212</v>
      </c>
      <c r="AA1197" s="132" t="s">
        <v>1855</v>
      </c>
      <c r="AB1197" s="138" t="s">
        <v>1854</v>
      </c>
    </row>
    <row r="1198" spans="1:28" s="8" customFormat="1" ht="21.75" customHeight="1" x14ac:dyDescent="0.2">
      <c r="A1198" s="8" t="s">
        <v>1847</v>
      </c>
      <c r="B1198" s="8" t="s">
        <v>1848</v>
      </c>
      <c r="C1198" s="8" t="s">
        <v>1839</v>
      </c>
      <c r="D1198" s="8" t="s">
        <v>1850</v>
      </c>
      <c r="E1198" s="8" t="s">
        <v>33</v>
      </c>
      <c r="F1198" s="8" t="s">
        <v>212</v>
      </c>
      <c r="G1198" s="8" t="s">
        <v>1305</v>
      </c>
      <c r="H1198" s="3" t="s">
        <v>1306</v>
      </c>
      <c r="I1198" s="4">
        <v>0.57999999999999996</v>
      </c>
      <c r="J1198" s="4" t="s">
        <v>5807</v>
      </c>
      <c r="K1198" s="4" t="s">
        <v>4480</v>
      </c>
      <c r="L1198" s="14"/>
      <c r="M1198" s="14"/>
      <c r="N1198" s="14"/>
      <c r="O1198" s="158"/>
      <c r="P1198" s="4"/>
      <c r="Q1198" s="8">
        <v>0.43</v>
      </c>
      <c r="R1198" s="8" t="s">
        <v>1852</v>
      </c>
      <c r="X1198" s="32">
        <v>55.1</v>
      </c>
      <c r="Y1198" s="32">
        <v>-2.7833000000000001</v>
      </c>
      <c r="Z1198" s="26">
        <v>212</v>
      </c>
      <c r="AA1198" s="137"/>
      <c r="AB1198" s="138"/>
    </row>
    <row r="1199" spans="1:28" s="8" customFormat="1" ht="21.75" customHeight="1" x14ac:dyDescent="0.2">
      <c r="A1199" s="8" t="s">
        <v>1847</v>
      </c>
      <c r="B1199" s="8" t="s">
        <v>1848</v>
      </c>
      <c r="C1199" s="8" t="s">
        <v>1839</v>
      </c>
      <c r="D1199" s="8" t="s">
        <v>1851</v>
      </c>
      <c r="E1199" s="8" t="s">
        <v>33</v>
      </c>
      <c r="F1199" s="8" t="s">
        <v>212</v>
      </c>
      <c r="G1199" s="8" t="s">
        <v>1305</v>
      </c>
      <c r="H1199" s="3" t="s">
        <v>1306</v>
      </c>
      <c r="I1199" s="4">
        <v>0.63</v>
      </c>
      <c r="J1199" s="4" t="s">
        <v>5807</v>
      </c>
      <c r="K1199" s="4" t="s">
        <v>4480</v>
      </c>
      <c r="L1199" s="14"/>
      <c r="M1199" s="14"/>
      <c r="N1199" s="14"/>
      <c r="O1199" s="158"/>
      <c r="P1199" s="4"/>
      <c r="Q1199" s="8">
        <v>0.47</v>
      </c>
      <c r="R1199" s="8" t="s">
        <v>1852</v>
      </c>
      <c r="X1199" s="32">
        <v>55.1</v>
      </c>
      <c r="Y1199" s="32">
        <v>-2.7833000000000001</v>
      </c>
      <c r="Z1199" s="26">
        <v>212</v>
      </c>
      <c r="AA1199" s="133"/>
      <c r="AB1199" s="138"/>
    </row>
    <row r="1200" spans="1:28" ht="21.75" customHeight="1" x14ac:dyDescent="0.2">
      <c r="A1200" s="7" t="s">
        <v>3943</v>
      </c>
      <c r="B1200" s="7" t="s">
        <v>3945</v>
      </c>
      <c r="C1200" s="7" t="s">
        <v>7146</v>
      </c>
      <c r="E1200" s="7" t="s">
        <v>263</v>
      </c>
      <c r="F1200" s="7" t="s">
        <v>1302</v>
      </c>
      <c r="H1200" s="1" t="s">
        <v>3944</v>
      </c>
      <c r="I1200" s="2">
        <v>18</v>
      </c>
      <c r="J1200" s="2" t="s">
        <v>5808</v>
      </c>
      <c r="K1200" s="2" t="s">
        <v>5713</v>
      </c>
      <c r="L1200" s="6">
        <v>1440</v>
      </c>
      <c r="M1200" s="6" t="s">
        <v>3931</v>
      </c>
      <c r="O1200" s="45" t="s">
        <v>3956</v>
      </c>
      <c r="P1200" s="2" t="s">
        <v>3946</v>
      </c>
      <c r="Q1200" s="7">
        <v>18</v>
      </c>
      <c r="R1200" s="7" t="s">
        <v>5729</v>
      </c>
      <c r="X1200" s="76">
        <v>-21.947900000000001</v>
      </c>
      <c r="Y1200" s="76">
        <v>-47.433799999999998</v>
      </c>
      <c r="Z1200" s="72">
        <v>599</v>
      </c>
      <c r="AA1200" s="134" t="s">
        <v>3955</v>
      </c>
      <c r="AB1200" s="7" t="s">
        <v>3947</v>
      </c>
    </row>
    <row r="1201" spans="1:28" ht="21.75" customHeight="1" x14ac:dyDescent="0.2">
      <c r="A1201" s="7" t="s">
        <v>3943</v>
      </c>
      <c r="B1201" s="7" t="s">
        <v>3945</v>
      </c>
      <c r="C1201" s="7" t="s">
        <v>7146</v>
      </c>
      <c r="E1201" s="7" t="s">
        <v>263</v>
      </c>
      <c r="F1201" s="7" t="s">
        <v>214</v>
      </c>
      <c r="H1201" s="1" t="s">
        <v>3957</v>
      </c>
      <c r="I1201" s="2">
        <v>1.8</v>
      </c>
      <c r="J1201" s="2" t="s">
        <v>5808</v>
      </c>
      <c r="K1201" s="2" t="s">
        <v>5713</v>
      </c>
      <c r="L1201" s="6">
        <v>1440</v>
      </c>
      <c r="M1201" s="6" t="s">
        <v>3931</v>
      </c>
      <c r="O1201" s="45" t="s">
        <v>3956</v>
      </c>
      <c r="P1201" s="2" t="s">
        <v>3946</v>
      </c>
      <c r="Q1201" s="7">
        <v>18</v>
      </c>
      <c r="R1201" s="7" t="s">
        <v>5729</v>
      </c>
      <c r="X1201" s="76">
        <v>-21.947900000000001</v>
      </c>
      <c r="Y1201" s="76">
        <v>-47.433799999999998</v>
      </c>
      <c r="Z1201" s="72">
        <v>599</v>
      </c>
      <c r="AA1201" s="136"/>
      <c r="AB1201" s="7" t="s">
        <v>3948</v>
      </c>
    </row>
    <row r="1202" spans="1:28" ht="21.75" customHeight="1" x14ac:dyDescent="0.2">
      <c r="A1202" s="7" t="s">
        <v>3943</v>
      </c>
      <c r="B1202" s="7" t="s">
        <v>3945</v>
      </c>
      <c r="C1202" s="7" t="s">
        <v>7146</v>
      </c>
      <c r="E1202" s="7" t="s">
        <v>5049</v>
      </c>
      <c r="F1202" s="7" t="s">
        <v>212</v>
      </c>
      <c r="H1202" s="1" t="s">
        <v>3949</v>
      </c>
      <c r="I1202" s="2">
        <v>4</v>
      </c>
      <c r="J1202" s="2" t="s">
        <v>5808</v>
      </c>
      <c r="K1202" s="2" t="s">
        <v>5713</v>
      </c>
      <c r="L1202" s="6">
        <v>1440</v>
      </c>
      <c r="M1202" s="6" t="s">
        <v>3931</v>
      </c>
      <c r="O1202" s="45" t="s">
        <v>3956</v>
      </c>
      <c r="P1202" s="2" t="s">
        <v>3946</v>
      </c>
      <c r="Q1202" s="7">
        <v>18</v>
      </c>
      <c r="R1202" s="7" t="s">
        <v>5729</v>
      </c>
      <c r="X1202" s="76">
        <v>-21.947900000000001</v>
      </c>
      <c r="Y1202" s="76">
        <v>-47.433799999999998</v>
      </c>
      <c r="Z1202" s="72">
        <v>599</v>
      </c>
      <c r="AA1202" s="136"/>
      <c r="AB1202" s="7" t="s">
        <v>3958</v>
      </c>
    </row>
    <row r="1203" spans="1:28" ht="21.75" customHeight="1" x14ac:dyDescent="0.2">
      <c r="A1203" s="7" t="s">
        <v>3943</v>
      </c>
      <c r="B1203" s="7" t="s">
        <v>3945</v>
      </c>
      <c r="C1203" s="7" t="s">
        <v>7146</v>
      </c>
      <c r="E1203" s="7" t="s">
        <v>398</v>
      </c>
      <c r="F1203" s="7" t="s">
        <v>62</v>
      </c>
      <c r="H1203" s="1" t="s">
        <v>3959</v>
      </c>
      <c r="I1203" s="2">
        <v>1.5</v>
      </c>
      <c r="J1203" s="2" t="s">
        <v>5808</v>
      </c>
      <c r="K1203" s="2" t="s">
        <v>5713</v>
      </c>
      <c r="L1203" s="6">
        <v>1440</v>
      </c>
      <c r="M1203" s="6" t="s">
        <v>3931</v>
      </c>
      <c r="O1203" s="45" t="s">
        <v>3956</v>
      </c>
      <c r="P1203" s="2" t="s">
        <v>3946</v>
      </c>
      <c r="Q1203" s="7">
        <v>18</v>
      </c>
      <c r="R1203" s="7" t="s">
        <v>5729</v>
      </c>
      <c r="X1203" s="76">
        <v>-21.947900000000001</v>
      </c>
      <c r="Y1203" s="76">
        <v>-47.433799999999998</v>
      </c>
      <c r="Z1203" s="72">
        <v>599</v>
      </c>
      <c r="AA1203" s="136"/>
      <c r="AB1203" s="7" t="s">
        <v>641</v>
      </c>
    </row>
    <row r="1204" spans="1:28" ht="21.75" customHeight="1" x14ac:dyDescent="0.2">
      <c r="A1204" s="7" t="s">
        <v>3943</v>
      </c>
      <c r="B1204" s="7" t="s">
        <v>3945</v>
      </c>
      <c r="C1204" s="7" t="s">
        <v>7146</v>
      </c>
      <c r="E1204" s="7" t="s">
        <v>398</v>
      </c>
      <c r="F1204" s="7" t="s">
        <v>217</v>
      </c>
      <c r="H1204" s="1" t="s">
        <v>3960</v>
      </c>
      <c r="I1204" s="2">
        <v>0.35</v>
      </c>
      <c r="J1204" s="2" t="s">
        <v>5808</v>
      </c>
      <c r="K1204" s="2" t="s">
        <v>5713</v>
      </c>
      <c r="L1204" s="6">
        <v>1440</v>
      </c>
      <c r="M1204" s="6" t="s">
        <v>3931</v>
      </c>
      <c r="O1204" s="45" t="s">
        <v>3956</v>
      </c>
      <c r="P1204" s="2" t="s">
        <v>3946</v>
      </c>
      <c r="Q1204" s="7">
        <v>18</v>
      </c>
      <c r="R1204" s="7" t="s">
        <v>5729</v>
      </c>
      <c r="X1204" s="76">
        <v>-21.947900000000001</v>
      </c>
      <c r="Y1204" s="76">
        <v>-47.433799999999998</v>
      </c>
      <c r="Z1204" s="72">
        <v>599</v>
      </c>
      <c r="AA1204" s="136"/>
      <c r="AB1204" s="7" t="s">
        <v>644</v>
      </c>
    </row>
    <row r="1205" spans="1:28" ht="21.75" customHeight="1" x14ac:dyDescent="0.2">
      <c r="A1205" s="7" t="s">
        <v>3943</v>
      </c>
      <c r="B1205" s="7" t="s">
        <v>3945</v>
      </c>
      <c r="C1205" s="7" t="s">
        <v>7146</v>
      </c>
      <c r="E1205" s="7" t="s">
        <v>398</v>
      </c>
      <c r="F1205" s="7" t="s">
        <v>217</v>
      </c>
      <c r="H1205" s="1" t="s">
        <v>3961</v>
      </c>
      <c r="I1205" s="2">
        <v>0.45</v>
      </c>
      <c r="J1205" s="2" t="s">
        <v>5808</v>
      </c>
      <c r="K1205" s="2" t="s">
        <v>5713</v>
      </c>
      <c r="L1205" s="6">
        <v>1440</v>
      </c>
      <c r="M1205" s="6" t="s">
        <v>3931</v>
      </c>
      <c r="O1205" s="45" t="s">
        <v>3956</v>
      </c>
      <c r="P1205" s="2" t="s">
        <v>3946</v>
      </c>
      <c r="Q1205" s="7">
        <v>18</v>
      </c>
      <c r="R1205" s="7" t="s">
        <v>5729</v>
      </c>
      <c r="X1205" s="76">
        <v>-21.947900000000001</v>
      </c>
      <c r="Y1205" s="76">
        <v>-47.433799999999998</v>
      </c>
      <c r="Z1205" s="72">
        <v>599</v>
      </c>
      <c r="AA1205" s="136"/>
      <c r="AB1205" s="7" t="s">
        <v>3950</v>
      </c>
    </row>
    <row r="1206" spans="1:28" ht="21.75" customHeight="1" x14ac:dyDescent="0.2">
      <c r="A1206" s="7" t="s">
        <v>3943</v>
      </c>
      <c r="B1206" s="7" t="s">
        <v>3945</v>
      </c>
      <c r="C1206" s="7" t="s">
        <v>7146</v>
      </c>
      <c r="E1206" s="7" t="s">
        <v>263</v>
      </c>
      <c r="F1206" s="7" t="s">
        <v>1302</v>
      </c>
      <c r="H1206" s="1" t="s">
        <v>3951</v>
      </c>
      <c r="I1206" s="2">
        <v>1.4</v>
      </c>
      <c r="J1206" s="2" t="s">
        <v>5808</v>
      </c>
      <c r="K1206" s="2" t="s">
        <v>5713</v>
      </c>
      <c r="L1206" s="6">
        <v>1440</v>
      </c>
      <c r="M1206" s="6" t="s">
        <v>3931</v>
      </c>
      <c r="O1206" s="45" t="s">
        <v>3956</v>
      </c>
      <c r="P1206" s="2" t="s">
        <v>3946</v>
      </c>
      <c r="Q1206" s="7">
        <v>18</v>
      </c>
      <c r="R1206" s="7" t="s">
        <v>5729</v>
      </c>
      <c r="X1206" s="76">
        <v>-21.947900000000001</v>
      </c>
      <c r="Y1206" s="76">
        <v>-47.433799999999998</v>
      </c>
      <c r="Z1206" s="72">
        <v>599</v>
      </c>
      <c r="AA1206" s="136"/>
      <c r="AB1206" s="7" t="s">
        <v>645</v>
      </c>
    </row>
    <row r="1207" spans="1:28" ht="21.75" customHeight="1" x14ac:dyDescent="0.2">
      <c r="A1207" s="7" t="s">
        <v>3943</v>
      </c>
      <c r="B1207" s="7" t="s">
        <v>3945</v>
      </c>
      <c r="C1207" s="7" t="s">
        <v>7146</v>
      </c>
      <c r="E1207" s="7" t="s">
        <v>3963</v>
      </c>
      <c r="F1207" s="7" t="s">
        <v>212</v>
      </c>
      <c r="H1207" s="1" t="s">
        <v>3962</v>
      </c>
      <c r="I1207" s="2">
        <v>0.6</v>
      </c>
      <c r="J1207" s="2" t="s">
        <v>5808</v>
      </c>
      <c r="K1207" s="2" t="s">
        <v>5713</v>
      </c>
      <c r="L1207" s="6">
        <v>1440</v>
      </c>
      <c r="M1207" s="6" t="s">
        <v>3931</v>
      </c>
      <c r="O1207" s="45" t="s">
        <v>3956</v>
      </c>
      <c r="P1207" s="2" t="s">
        <v>3946</v>
      </c>
      <c r="Q1207" s="7">
        <v>18</v>
      </c>
      <c r="R1207" s="7" t="s">
        <v>5729</v>
      </c>
      <c r="X1207" s="76">
        <v>-21.947900000000001</v>
      </c>
      <c r="Y1207" s="76">
        <v>-47.433799999999998</v>
      </c>
      <c r="Z1207" s="72">
        <v>599</v>
      </c>
      <c r="AA1207" s="136"/>
      <c r="AB1207" s="7" t="s">
        <v>3952</v>
      </c>
    </row>
    <row r="1208" spans="1:28" ht="21.75" customHeight="1" x14ac:dyDescent="0.2">
      <c r="A1208" s="7" t="s">
        <v>3943</v>
      </c>
      <c r="B1208" s="7" t="s">
        <v>3945</v>
      </c>
      <c r="C1208" s="7" t="s">
        <v>7146</v>
      </c>
      <c r="E1208" s="7" t="s">
        <v>3963</v>
      </c>
      <c r="F1208" s="7" t="s">
        <v>212</v>
      </c>
      <c r="H1208" s="1" t="s">
        <v>3953</v>
      </c>
      <c r="I1208" s="2">
        <v>0.55000000000000004</v>
      </c>
      <c r="J1208" s="2" t="s">
        <v>5808</v>
      </c>
      <c r="K1208" s="2" t="s">
        <v>5713</v>
      </c>
      <c r="L1208" s="6">
        <v>1440</v>
      </c>
      <c r="M1208" s="6" t="s">
        <v>3931</v>
      </c>
      <c r="O1208" s="45" t="s">
        <v>3956</v>
      </c>
      <c r="P1208" s="2" t="s">
        <v>3946</v>
      </c>
      <c r="Q1208" s="7">
        <v>18</v>
      </c>
      <c r="R1208" s="7" t="s">
        <v>5729</v>
      </c>
      <c r="X1208" s="76">
        <v>-21.947900000000001</v>
      </c>
      <c r="Y1208" s="76">
        <v>-47.433799999999998</v>
      </c>
      <c r="Z1208" s="72">
        <v>599</v>
      </c>
      <c r="AA1208" s="135"/>
      <c r="AB1208" s="7" t="s">
        <v>3954</v>
      </c>
    </row>
    <row r="1209" spans="1:28" s="8" customFormat="1" ht="21.75" customHeight="1" x14ac:dyDescent="0.2">
      <c r="A1209" s="8" t="s">
        <v>7144</v>
      </c>
      <c r="B1209" s="8" t="s">
        <v>7148</v>
      </c>
      <c r="C1209" s="8" t="s">
        <v>7145</v>
      </c>
      <c r="E1209" s="8" t="s">
        <v>7154</v>
      </c>
      <c r="F1209" s="8" t="s">
        <v>1302</v>
      </c>
      <c r="G1209" s="8" t="s">
        <v>7151</v>
      </c>
      <c r="H1209" s="3" t="s">
        <v>7147</v>
      </c>
      <c r="I1209" s="4">
        <v>5</v>
      </c>
      <c r="J1209" s="4" t="s">
        <v>5768</v>
      </c>
      <c r="K1209" s="4" t="s">
        <v>4480</v>
      </c>
      <c r="L1209" s="14">
        <v>475</v>
      </c>
      <c r="M1209" s="14" t="s">
        <v>7152</v>
      </c>
      <c r="N1209" s="14"/>
      <c r="O1209" s="110" t="s">
        <v>7153</v>
      </c>
      <c r="P1209" s="4"/>
      <c r="X1209" s="32">
        <v>-10.973599999999999</v>
      </c>
      <c r="Y1209" s="32">
        <v>-39.635399999999997</v>
      </c>
      <c r="Z1209" s="26">
        <v>271</v>
      </c>
      <c r="AA1209" s="8" t="s">
        <v>7149</v>
      </c>
      <c r="AB1209" s="8" t="s">
        <v>7150</v>
      </c>
    </row>
    <row r="1210" spans="1:28" ht="21.75" customHeight="1" x14ac:dyDescent="0.2">
      <c r="A1210" s="7" t="s">
        <v>1856</v>
      </c>
      <c r="B1210" s="7" t="s">
        <v>1857</v>
      </c>
      <c r="C1210" s="7" t="s">
        <v>784</v>
      </c>
      <c r="E1210" s="7" t="s">
        <v>280</v>
      </c>
      <c r="F1210" s="7" t="s">
        <v>212</v>
      </c>
      <c r="G1210" s="7" t="s">
        <v>1858</v>
      </c>
      <c r="H1210" s="1" t="s">
        <v>1859</v>
      </c>
      <c r="I1210" s="2">
        <v>0.53</v>
      </c>
      <c r="J1210" s="2" t="s">
        <v>5809</v>
      </c>
      <c r="K1210" s="2" t="s">
        <v>4410</v>
      </c>
      <c r="L1210" s="6">
        <v>562</v>
      </c>
      <c r="M1210" s="6" t="s">
        <v>1866</v>
      </c>
      <c r="O1210" s="45" t="s">
        <v>1861</v>
      </c>
      <c r="P1210" s="2" t="s">
        <v>1860</v>
      </c>
      <c r="R1210" s="7" t="s">
        <v>1271</v>
      </c>
      <c r="U1210" s="7" t="s">
        <v>1865</v>
      </c>
      <c r="V1210" s="7">
        <v>0.45</v>
      </c>
      <c r="X1210" s="24">
        <v>38.431399999999996</v>
      </c>
      <c r="Y1210" s="24">
        <v>-120.9669</v>
      </c>
      <c r="Z1210" s="6">
        <v>171</v>
      </c>
      <c r="AA1210" s="7" t="s">
        <v>1864</v>
      </c>
      <c r="AB1210" s="7" t="s">
        <v>1862</v>
      </c>
    </row>
    <row r="1211" spans="1:28" s="82" customFormat="1" ht="21.75" customHeight="1" x14ac:dyDescent="0.2">
      <c r="A1211" s="82" t="s">
        <v>7690</v>
      </c>
      <c r="B1211" s="82" t="s">
        <v>7693</v>
      </c>
      <c r="C1211" s="82" t="s">
        <v>7699</v>
      </c>
      <c r="E1211" s="82" t="s">
        <v>33</v>
      </c>
      <c r="F1211" s="82" t="s">
        <v>212</v>
      </c>
      <c r="G1211" s="82" t="s">
        <v>1014</v>
      </c>
      <c r="H1211" s="83" t="s">
        <v>7694</v>
      </c>
      <c r="I1211" s="84">
        <v>3.3</v>
      </c>
      <c r="J1211" s="84" t="s">
        <v>7700</v>
      </c>
      <c r="K1211" s="84" t="s">
        <v>4410</v>
      </c>
      <c r="L1211" s="85">
        <v>1330</v>
      </c>
      <c r="M1211" s="85"/>
      <c r="N1211" s="85"/>
      <c r="O1211" s="116" t="s">
        <v>7701</v>
      </c>
      <c r="P1211" s="84"/>
      <c r="R1211" s="82" t="s">
        <v>7691</v>
      </c>
      <c r="S1211" s="82" t="s">
        <v>656</v>
      </c>
      <c r="T1211" s="82" t="s">
        <v>7692</v>
      </c>
      <c r="W1211" s="82" t="s">
        <v>7695</v>
      </c>
      <c r="X1211" s="82">
        <v>29.704599999999999</v>
      </c>
      <c r="Y1211" s="86">
        <v>-82.254599999999996</v>
      </c>
      <c r="Z1211" s="85">
        <v>53</v>
      </c>
      <c r="AA1211" s="82" t="s">
        <v>7704</v>
      </c>
      <c r="AB1211" s="143" t="s">
        <v>7703</v>
      </c>
    </row>
    <row r="1212" spans="1:28" s="82" customFormat="1" ht="21.75" customHeight="1" x14ac:dyDescent="0.2">
      <c r="A1212" s="82" t="s">
        <v>7690</v>
      </c>
      <c r="B1212" s="82" t="s">
        <v>7693</v>
      </c>
      <c r="C1212" s="82" t="s">
        <v>7699</v>
      </c>
      <c r="E1212" s="82" t="s">
        <v>263</v>
      </c>
      <c r="F1212" s="82" t="s">
        <v>7698</v>
      </c>
      <c r="G1212" s="82" t="s">
        <v>7696</v>
      </c>
      <c r="H1212" s="83" t="s">
        <v>7697</v>
      </c>
      <c r="I1212" s="84">
        <v>2.0499999999999998</v>
      </c>
      <c r="J1212" s="84" t="s">
        <v>7700</v>
      </c>
      <c r="K1212" s="84" t="s">
        <v>4410</v>
      </c>
      <c r="L1212" s="85">
        <v>1330</v>
      </c>
      <c r="M1212" s="85"/>
      <c r="N1212" s="85"/>
      <c r="O1212" s="116" t="s">
        <v>7701</v>
      </c>
      <c r="P1212" s="84"/>
      <c r="R1212" s="82" t="s">
        <v>7691</v>
      </c>
      <c r="S1212" s="82" t="s">
        <v>656</v>
      </c>
      <c r="T1212" s="82" t="s">
        <v>7692</v>
      </c>
      <c r="W1212" s="82" t="s">
        <v>7695</v>
      </c>
      <c r="X1212" s="82">
        <v>29.704599999999999</v>
      </c>
      <c r="Y1212" s="86">
        <v>-82.254599999999996</v>
      </c>
      <c r="Z1212" s="85">
        <v>53</v>
      </c>
      <c r="AA1212" s="82" t="s">
        <v>7702</v>
      </c>
      <c r="AB1212" s="144"/>
    </row>
    <row r="1213" spans="1:28" s="77" customFormat="1" ht="21.75" customHeight="1" x14ac:dyDescent="0.2">
      <c r="A1213" s="77" t="s">
        <v>7705</v>
      </c>
      <c r="B1213" s="77" t="s">
        <v>7706</v>
      </c>
      <c r="C1213" s="77" t="s">
        <v>1839</v>
      </c>
      <c r="E1213" s="77" t="s">
        <v>33</v>
      </c>
      <c r="F1213" s="77" t="s">
        <v>212</v>
      </c>
      <c r="G1213" s="77" t="s">
        <v>863</v>
      </c>
      <c r="H1213" s="78" t="s">
        <v>7711</v>
      </c>
      <c r="I1213" s="80">
        <v>1.4</v>
      </c>
      <c r="J1213" s="80" t="s">
        <v>5714</v>
      </c>
      <c r="K1213" s="80" t="s">
        <v>7710</v>
      </c>
      <c r="L1213" s="79"/>
      <c r="M1213" s="79"/>
      <c r="N1213" s="79"/>
      <c r="O1213" s="111" t="s">
        <v>7707</v>
      </c>
      <c r="P1213" s="80"/>
      <c r="R1213" s="77" t="s">
        <v>7709</v>
      </c>
      <c r="X1213" s="77">
        <v>51.710999999999999</v>
      </c>
      <c r="Y1213" s="81">
        <v>-1.2534000000000001</v>
      </c>
      <c r="Z1213" s="79">
        <v>99</v>
      </c>
      <c r="AA1213" s="77" t="s">
        <v>7708</v>
      </c>
      <c r="AB1213" s="88"/>
    </row>
    <row r="1214" spans="1:28" s="82" customFormat="1" ht="21.75" customHeight="1" x14ac:dyDescent="0.2">
      <c r="A1214" s="82" t="s">
        <v>7954</v>
      </c>
      <c r="B1214" s="82" t="s">
        <v>7956</v>
      </c>
      <c r="C1214" s="82" t="s">
        <v>7786</v>
      </c>
      <c r="D1214" s="82" t="s">
        <v>7966</v>
      </c>
      <c r="E1214" s="82" t="s">
        <v>33</v>
      </c>
      <c r="F1214" s="82" t="s">
        <v>214</v>
      </c>
      <c r="G1214" s="82" t="s">
        <v>7782</v>
      </c>
      <c r="H1214" s="83" t="s">
        <v>7923</v>
      </c>
      <c r="I1214" s="84">
        <v>2.5</v>
      </c>
      <c r="J1214" s="84" t="s">
        <v>7965</v>
      </c>
      <c r="K1214" s="84" t="s">
        <v>4410</v>
      </c>
      <c r="L1214" s="85">
        <v>224</v>
      </c>
      <c r="M1214" s="85" t="s">
        <v>7957</v>
      </c>
      <c r="N1214" s="85"/>
      <c r="O1214" s="116"/>
      <c r="P1214" s="84"/>
      <c r="R1214" s="82" t="s">
        <v>7971</v>
      </c>
      <c r="X1214" s="82">
        <v>43.819400000000002</v>
      </c>
      <c r="Y1214" s="86">
        <v>-112.8235</v>
      </c>
      <c r="Z1214" s="85">
        <v>1465</v>
      </c>
      <c r="AA1214" s="143" t="s">
        <v>7972</v>
      </c>
      <c r="AB1214" s="143" t="s">
        <v>7973</v>
      </c>
    </row>
    <row r="1215" spans="1:28" s="82" customFormat="1" ht="21.75" customHeight="1" x14ac:dyDescent="0.2">
      <c r="A1215" s="82" t="s">
        <v>7954</v>
      </c>
      <c r="B1215" s="82" t="s">
        <v>7956</v>
      </c>
      <c r="C1215" s="82" t="s">
        <v>7786</v>
      </c>
      <c r="D1215" s="82" t="s">
        <v>7964</v>
      </c>
      <c r="E1215" s="82" t="s">
        <v>33</v>
      </c>
      <c r="F1215" s="82" t="s">
        <v>214</v>
      </c>
      <c r="G1215" s="82" t="s">
        <v>7782</v>
      </c>
      <c r="H1215" s="83" t="s">
        <v>7923</v>
      </c>
      <c r="I1215" s="84">
        <v>2.25</v>
      </c>
      <c r="J1215" s="84" t="s">
        <v>7965</v>
      </c>
      <c r="K1215" s="84" t="s">
        <v>4410</v>
      </c>
      <c r="L1215" s="85">
        <v>224</v>
      </c>
      <c r="M1215" s="85" t="s">
        <v>7957</v>
      </c>
      <c r="N1215" s="85"/>
      <c r="O1215" s="116"/>
      <c r="P1215" s="84"/>
      <c r="R1215" s="82" t="s">
        <v>7955</v>
      </c>
      <c r="X1215" s="82">
        <v>43.854199999999999</v>
      </c>
      <c r="Y1215" s="86">
        <v>-112.73090000000001</v>
      </c>
      <c r="Z1215" s="85">
        <v>1459</v>
      </c>
      <c r="AA1215" s="159"/>
      <c r="AB1215" s="159"/>
    </row>
    <row r="1216" spans="1:28" s="82" customFormat="1" ht="21.75" customHeight="1" x14ac:dyDescent="0.2">
      <c r="A1216" s="82" t="s">
        <v>7954</v>
      </c>
      <c r="B1216" s="82" t="s">
        <v>7956</v>
      </c>
      <c r="C1216" s="82" t="s">
        <v>7786</v>
      </c>
      <c r="D1216" s="82" t="s">
        <v>7966</v>
      </c>
      <c r="E1216" s="82" t="s">
        <v>398</v>
      </c>
      <c r="F1216" s="82" t="s">
        <v>214</v>
      </c>
      <c r="G1216" s="82" t="s">
        <v>7968</v>
      </c>
      <c r="H1216" s="83" t="s">
        <v>7967</v>
      </c>
      <c r="I1216" s="84">
        <v>1.9</v>
      </c>
      <c r="J1216" s="84" t="s">
        <v>7965</v>
      </c>
      <c r="K1216" s="84" t="s">
        <v>4410</v>
      </c>
      <c r="L1216" s="85">
        <v>224</v>
      </c>
      <c r="M1216" s="85" t="s">
        <v>7957</v>
      </c>
      <c r="N1216" s="85"/>
      <c r="O1216" s="116"/>
      <c r="P1216" s="84"/>
      <c r="R1216" s="82" t="s">
        <v>7971</v>
      </c>
      <c r="X1216" s="82">
        <v>43.819400000000002</v>
      </c>
      <c r="Y1216" s="86">
        <v>-112.8235</v>
      </c>
      <c r="Z1216" s="85">
        <v>1465</v>
      </c>
      <c r="AA1216" s="159"/>
      <c r="AB1216" s="159"/>
    </row>
    <row r="1217" spans="1:28" s="82" customFormat="1" ht="21.75" customHeight="1" x14ac:dyDescent="0.2">
      <c r="A1217" s="82" t="s">
        <v>7954</v>
      </c>
      <c r="B1217" s="82" t="s">
        <v>7956</v>
      </c>
      <c r="C1217" s="82" t="s">
        <v>7786</v>
      </c>
      <c r="D1217" s="82" t="s">
        <v>7964</v>
      </c>
      <c r="E1217" s="82" t="s">
        <v>398</v>
      </c>
      <c r="F1217" s="82" t="s">
        <v>214</v>
      </c>
      <c r="G1217" s="82" t="s">
        <v>7968</v>
      </c>
      <c r="H1217" s="83" t="s">
        <v>7967</v>
      </c>
      <c r="I1217" s="84">
        <v>2</v>
      </c>
      <c r="J1217" s="84" t="s">
        <v>7965</v>
      </c>
      <c r="K1217" s="84" t="s">
        <v>4410</v>
      </c>
      <c r="L1217" s="85">
        <v>224</v>
      </c>
      <c r="M1217" s="85" t="s">
        <v>7957</v>
      </c>
      <c r="N1217" s="85"/>
      <c r="O1217" s="116"/>
      <c r="P1217" s="84"/>
      <c r="R1217" s="82" t="s">
        <v>7955</v>
      </c>
      <c r="X1217" s="82">
        <v>43.854199999999999</v>
      </c>
      <c r="Y1217" s="86">
        <v>-112.73090000000001</v>
      </c>
      <c r="Z1217" s="85">
        <v>1459</v>
      </c>
      <c r="AA1217" s="159"/>
      <c r="AB1217" s="159"/>
    </row>
    <row r="1218" spans="1:28" s="82" customFormat="1" ht="21.75" customHeight="1" x14ac:dyDescent="0.2">
      <c r="A1218" s="82" t="s">
        <v>7954</v>
      </c>
      <c r="B1218" s="82" t="s">
        <v>7956</v>
      </c>
      <c r="C1218" s="82" t="s">
        <v>7786</v>
      </c>
      <c r="D1218" s="82" t="s">
        <v>7966</v>
      </c>
      <c r="E1218" s="82" t="s">
        <v>398</v>
      </c>
      <c r="F1218" s="82" t="s">
        <v>62</v>
      </c>
      <c r="G1218" s="82" t="s">
        <v>7781</v>
      </c>
      <c r="H1218" s="83" t="s">
        <v>7961</v>
      </c>
      <c r="I1218" s="84" t="s">
        <v>7276</v>
      </c>
      <c r="J1218" s="84" t="s">
        <v>7965</v>
      </c>
      <c r="K1218" s="84" t="s">
        <v>4410</v>
      </c>
      <c r="L1218" s="85">
        <v>224</v>
      </c>
      <c r="M1218" s="85" t="s">
        <v>7957</v>
      </c>
      <c r="N1218" s="85"/>
      <c r="O1218" s="116"/>
      <c r="P1218" s="84"/>
      <c r="R1218" s="82" t="s">
        <v>7971</v>
      </c>
      <c r="X1218" s="82">
        <v>43.819400000000002</v>
      </c>
      <c r="Y1218" s="86">
        <v>-112.8235</v>
      </c>
      <c r="Z1218" s="85">
        <v>1465</v>
      </c>
      <c r="AA1218" s="159"/>
      <c r="AB1218" s="159"/>
    </row>
    <row r="1219" spans="1:28" s="82" customFormat="1" ht="21.75" customHeight="1" x14ac:dyDescent="0.2">
      <c r="A1219" s="82" t="s">
        <v>7954</v>
      </c>
      <c r="B1219" s="82" t="s">
        <v>7956</v>
      </c>
      <c r="C1219" s="82" t="s">
        <v>7786</v>
      </c>
      <c r="D1219" s="82" t="s">
        <v>7964</v>
      </c>
      <c r="E1219" s="82" t="s">
        <v>398</v>
      </c>
      <c r="F1219" s="82" t="s">
        <v>62</v>
      </c>
      <c r="G1219" s="82" t="s">
        <v>7781</v>
      </c>
      <c r="H1219" s="83" t="s">
        <v>7961</v>
      </c>
      <c r="I1219" s="84" t="s">
        <v>5826</v>
      </c>
      <c r="J1219" s="84" t="s">
        <v>7965</v>
      </c>
      <c r="K1219" s="84" t="s">
        <v>4410</v>
      </c>
      <c r="L1219" s="85">
        <v>224</v>
      </c>
      <c r="M1219" s="85" t="s">
        <v>7957</v>
      </c>
      <c r="N1219" s="85"/>
      <c r="O1219" s="116"/>
      <c r="P1219" s="84"/>
      <c r="R1219" s="82" t="s">
        <v>7955</v>
      </c>
      <c r="X1219" s="82">
        <v>43.854199999999999</v>
      </c>
      <c r="Y1219" s="86">
        <v>-112.73090000000001</v>
      </c>
      <c r="Z1219" s="85">
        <v>1459</v>
      </c>
      <c r="AA1219" s="159"/>
      <c r="AB1219" s="159"/>
    </row>
    <row r="1220" spans="1:28" s="82" customFormat="1" ht="21.75" customHeight="1" x14ac:dyDescent="0.2">
      <c r="A1220" s="82" t="s">
        <v>7954</v>
      </c>
      <c r="B1220" s="82" t="s">
        <v>7956</v>
      </c>
      <c r="C1220" s="82" t="s">
        <v>7786</v>
      </c>
      <c r="D1220" s="82" t="s">
        <v>7966</v>
      </c>
      <c r="E1220" s="82" t="s">
        <v>398</v>
      </c>
      <c r="F1220" s="82" t="s">
        <v>62</v>
      </c>
      <c r="G1220" s="82" t="s">
        <v>7960</v>
      </c>
      <c r="H1220" s="83" t="s">
        <v>7959</v>
      </c>
      <c r="I1220" s="84" t="s">
        <v>4891</v>
      </c>
      <c r="J1220" s="84" t="s">
        <v>7965</v>
      </c>
      <c r="K1220" s="84" t="s">
        <v>4410</v>
      </c>
      <c r="L1220" s="85">
        <v>224</v>
      </c>
      <c r="M1220" s="85" t="s">
        <v>7957</v>
      </c>
      <c r="N1220" s="85"/>
      <c r="O1220" s="116"/>
      <c r="P1220" s="84"/>
      <c r="R1220" s="82" t="s">
        <v>7971</v>
      </c>
      <c r="X1220" s="82">
        <v>43.819400000000002</v>
      </c>
      <c r="Y1220" s="86">
        <v>-112.8235</v>
      </c>
      <c r="Z1220" s="85">
        <v>1465</v>
      </c>
      <c r="AA1220" s="159"/>
      <c r="AB1220" s="159"/>
    </row>
    <row r="1221" spans="1:28" s="82" customFormat="1" ht="21.75" customHeight="1" x14ac:dyDescent="0.2">
      <c r="A1221" s="82" t="s">
        <v>7954</v>
      </c>
      <c r="B1221" s="82" t="s">
        <v>7956</v>
      </c>
      <c r="C1221" s="82" t="s">
        <v>7786</v>
      </c>
      <c r="D1221" s="82" t="s">
        <v>7966</v>
      </c>
      <c r="E1221" s="82" t="s">
        <v>275</v>
      </c>
      <c r="F1221" s="82" t="s">
        <v>6049</v>
      </c>
      <c r="G1221" s="82" t="s">
        <v>7970</v>
      </c>
      <c r="H1221" s="83" t="s">
        <v>7969</v>
      </c>
      <c r="I1221" s="84">
        <v>1.6</v>
      </c>
      <c r="J1221" s="84" t="s">
        <v>7965</v>
      </c>
      <c r="K1221" s="84" t="s">
        <v>4410</v>
      </c>
      <c r="L1221" s="85">
        <v>224</v>
      </c>
      <c r="M1221" s="85" t="s">
        <v>7957</v>
      </c>
      <c r="N1221" s="85"/>
      <c r="O1221" s="116"/>
      <c r="P1221" s="84"/>
      <c r="R1221" s="82" t="s">
        <v>7971</v>
      </c>
      <c r="X1221" s="82">
        <v>43.819400000000002</v>
      </c>
      <c r="Y1221" s="86">
        <v>-112.8235</v>
      </c>
      <c r="Z1221" s="85">
        <v>1465</v>
      </c>
      <c r="AA1221" s="159"/>
      <c r="AB1221" s="159"/>
    </row>
    <row r="1222" spans="1:28" s="82" customFormat="1" ht="21.75" customHeight="1" x14ac:dyDescent="0.2">
      <c r="A1222" s="82" t="s">
        <v>7954</v>
      </c>
      <c r="B1222" s="82" t="s">
        <v>7956</v>
      </c>
      <c r="C1222" s="82" t="s">
        <v>7786</v>
      </c>
      <c r="D1222" s="82" t="s">
        <v>7964</v>
      </c>
      <c r="E1222" s="82" t="s">
        <v>398</v>
      </c>
      <c r="F1222" s="82" t="s">
        <v>62</v>
      </c>
      <c r="G1222" s="82" t="s">
        <v>7963</v>
      </c>
      <c r="H1222" s="83" t="s">
        <v>7962</v>
      </c>
      <c r="I1222" s="84" t="s">
        <v>2949</v>
      </c>
      <c r="J1222" s="84" t="s">
        <v>7965</v>
      </c>
      <c r="K1222" s="84" t="s">
        <v>4410</v>
      </c>
      <c r="L1222" s="85">
        <v>224</v>
      </c>
      <c r="M1222" s="85" t="s">
        <v>7957</v>
      </c>
      <c r="N1222" s="85"/>
      <c r="O1222" s="116"/>
      <c r="P1222" s="84"/>
      <c r="R1222" s="82" t="s">
        <v>7955</v>
      </c>
      <c r="X1222" s="82">
        <v>43.854199999999999</v>
      </c>
      <c r="Y1222" s="86">
        <v>-112.73090000000001</v>
      </c>
      <c r="Z1222" s="85">
        <v>1459</v>
      </c>
      <c r="AA1222" s="159"/>
      <c r="AB1222" s="159"/>
    </row>
    <row r="1223" spans="1:28" s="82" customFormat="1" ht="21.75" customHeight="1" x14ac:dyDescent="0.2">
      <c r="A1223" s="82" t="s">
        <v>7954</v>
      </c>
      <c r="B1223" s="82" t="s">
        <v>7956</v>
      </c>
      <c r="C1223" s="82" t="s">
        <v>7786</v>
      </c>
      <c r="D1223" s="82" t="s">
        <v>7964</v>
      </c>
      <c r="E1223" s="82" t="s">
        <v>398</v>
      </c>
      <c r="F1223" s="82" t="s">
        <v>62</v>
      </c>
      <c r="G1223" s="82" t="s">
        <v>7779</v>
      </c>
      <c r="H1223" s="83" t="s">
        <v>7958</v>
      </c>
      <c r="I1223" s="84" t="s">
        <v>2949</v>
      </c>
      <c r="J1223" s="84" t="s">
        <v>7965</v>
      </c>
      <c r="K1223" s="84" t="s">
        <v>4410</v>
      </c>
      <c r="L1223" s="85">
        <v>224</v>
      </c>
      <c r="M1223" s="85" t="s">
        <v>7957</v>
      </c>
      <c r="N1223" s="85"/>
      <c r="O1223" s="116"/>
      <c r="P1223" s="84"/>
      <c r="R1223" s="82" t="s">
        <v>7955</v>
      </c>
      <c r="X1223" s="82">
        <v>43.854199999999999</v>
      </c>
      <c r="Y1223" s="86">
        <v>-112.73090000000001</v>
      </c>
      <c r="Z1223" s="85">
        <v>1459</v>
      </c>
      <c r="AA1223" s="144"/>
      <c r="AB1223" s="144"/>
    </row>
    <row r="1224" spans="1:28" ht="21.75" customHeight="1" x14ac:dyDescent="0.2">
      <c r="A1224" s="7" t="s">
        <v>4010</v>
      </c>
      <c r="B1224" s="7" t="s">
        <v>4011</v>
      </c>
      <c r="C1224" s="7" t="s">
        <v>4013</v>
      </c>
      <c r="E1224" s="7" t="s">
        <v>263</v>
      </c>
      <c r="F1224" s="7" t="s">
        <v>2678</v>
      </c>
      <c r="H1224" s="1" t="s">
        <v>4012</v>
      </c>
      <c r="I1224" s="2">
        <v>10</v>
      </c>
      <c r="J1224" s="2" t="s">
        <v>4367</v>
      </c>
      <c r="K1224" s="2" t="s">
        <v>4480</v>
      </c>
      <c r="L1224" s="6">
        <v>1800</v>
      </c>
      <c r="M1224" s="6" t="s">
        <v>4014</v>
      </c>
      <c r="O1224" s="45" t="s">
        <v>1272</v>
      </c>
      <c r="Q1224" s="7" t="s">
        <v>4018</v>
      </c>
      <c r="R1224" s="7" t="s">
        <v>4017</v>
      </c>
      <c r="W1224" s="7" t="s">
        <v>4016</v>
      </c>
      <c r="X1224" s="24">
        <v>-2.9836999999999998</v>
      </c>
      <c r="Y1224" s="24">
        <v>-47.415300000000002</v>
      </c>
      <c r="Z1224" s="6">
        <v>132</v>
      </c>
      <c r="AA1224" s="7" t="s">
        <v>4019</v>
      </c>
      <c r="AB1224" s="7" t="s">
        <v>4015</v>
      </c>
    </row>
    <row r="1225" spans="1:28" s="82" customFormat="1" ht="21.75" customHeight="1" x14ac:dyDescent="0.2">
      <c r="A1225" s="82" t="s">
        <v>7948</v>
      </c>
      <c r="B1225" s="82" t="s">
        <v>7949</v>
      </c>
      <c r="C1225" s="82" t="s">
        <v>7786</v>
      </c>
      <c r="E1225" s="82" t="s">
        <v>33</v>
      </c>
      <c r="F1225" s="82" t="s">
        <v>214</v>
      </c>
      <c r="G1225" s="82" t="s">
        <v>7782</v>
      </c>
      <c r="H1225" s="83" t="s">
        <v>8025</v>
      </c>
      <c r="I1225" s="84">
        <v>2.5</v>
      </c>
      <c r="J1225" s="84" t="s">
        <v>4367</v>
      </c>
      <c r="K1225" s="84" t="s">
        <v>4410</v>
      </c>
      <c r="L1225" s="85">
        <v>468</v>
      </c>
      <c r="M1225" s="85"/>
      <c r="N1225" s="85"/>
      <c r="O1225" s="116" t="s">
        <v>7953</v>
      </c>
      <c r="P1225" s="84"/>
      <c r="R1225" s="82" t="s">
        <v>7950</v>
      </c>
      <c r="X1225" s="86">
        <v>41.753599999999999</v>
      </c>
      <c r="Y1225" s="86">
        <f>-111.8-12</f>
        <v>-123.8</v>
      </c>
      <c r="Z1225" s="85">
        <v>1460</v>
      </c>
      <c r="AA1225" s="82" t="s">
        <v>7952</v>
      </c>
      <c r="AB1225" s="82" t="s">
        <v>7951</v>
      </c>
    </row>
    <row r="1226" spans="1:28" ht="21.75" customHeight="1" x14ac:dyDescent="0.2">
      <c r="A1226" s="7" t="s">
        <v>1863</v>
      </c>
      <c r="B1226" s="7" t="s">
        <v>1867</v>
      </c>
      <c r="C1226" s="7" t="s">
        <v>1869</v>
      </c>
      <c r="D1226" s="7" t="s">
        <v>1868</v>
      </c>
      <c r="E1226" s="7" t="s">
        <v>33</v>
      </c>
      <c r="F1226" s="7" t="s">
        <v>212</v>
      </c>
      <c r="G1226" s="7" t="s">
        <v>1870</v>
      </c>
      <c r="H1226" s="1" t="s">
        <v>1871</v>
      </c>
      <c r="I1226" s="2">
        <v>4</v>
      </c>
      <c r="J1226" s="2" t="s">
        <v>5781</v>
      </c>
      <c r="K1226" s="2" t="s">
        <v>4480</v>
      </c>
      <c r="L1226" s="6">
        <v>1250</v>
      </c>
      <c r="M1226" s="7"/>
      <c r="O1226" s="117" t="s">
        <v>1874</v>
      </c>
      <c r="R1226" s="7" t="s">
        <v>1875</v>
      </c>
      <c r="X1226" s="24">
        <v>34.6374</v>
      </c>
      <c r="Y1226" s="24">
        <v>-81.662999999999997</v>
      </c>
      <c r="Z1226" s="6">
        <v>150</v>
      </c>
      <c r="AA1226" s="7" t="s">
        <v>1872</v>
      </c>
      <c r="AB1226" s="7" t="s">
        <v>1873</v>
      </c>
    </row>
    <row r="1227" spans="1:28" s="8" customFormat="1" ht="21.75" customHeight="1" x14ac:dyDescent="0.2">
      <c r="A1227" s="8" t="s">
        <v>5821</v>
      </c>
      <c r="B1227" s="8" t="s">
        <v>5822</v>
      </c>
      <c r="C1227" s="8" t="s">
        <v>1720</v>
      </c>
      <c r="D1227" s="8" t="s">
        <v>5834</v>
      </c>
      <c r="E1227" s="8" t="s">
        <v>280</v>
      </c>
      <c r="F1227" s="8" t="s">
        <v>212</v>
      </c>
      <c r="G1227" s="8" t="s">
        <v>409</v>
      </c>
      <c r="H1227" s="3" t="s">
        <v>5837</v>
      </c>
      <c r="I1227" s="4">
        <v>1</v>
      </c>
      <c r="J1227" s="4" t="s">
        <v>5832</v>
      </c>
      <c r="K1227" s="4" t="s">
        <v>5713</v>
      </c>
      <c r="L1227" s="14"/>
      <c r="N1227" s="14"/>
      <c r="O1227" s="118" t="s">
        <v>5831</v>
      </c>
      <c r="P1227" s="4"/>
      <c r="R1227" s="8" t="s">
        <v>5840</v>
      </c>
      <c r="U1227" s="8" t="s">
        <v>5829</v>
      </c>
      <c r="V1227" s="8">
        <v>0.5</v>
      </c>
      <c r="X1227" s="25">
        <v>39.101199999999999</v>
      </c>
      <c r="Y1227" s="25">
        <v>-84.665000000000006</v>
      </c>
      <c r="Z1227" s="14">
        <v>227</v>
      </c>
      <c r="AB1227" s="8" t="s">
        <v>5833</v>
      </c>
    </row>
    <row r="1228" spans="1:28" s="8" customFormat="1" ht="21.75" customHeight="1" x14ac:dyDescent="0.2">
      <c r="A1228" s="8" t="s">
        <v>5821</v>
      </c>
      <c r="B1228" s="8" t="s">
        <v>5822</v>
      </c>
      <c r="C1228" s="8" t="s">
        <v>1720</v>
      </c>
      <c r="D1228" s="8" t="s">
        <v>5823</v>
      </c>
      <c r="E1228" s="8" t="s">
        <v>280</v>
      </c>
      <c r="F1228" s="8" t="s">
        <v>212</v>
      </c>
      <c r="G1228" s="8" t="s">
        <v>2071</v>
      </c>
      <c r="H1228" s="3" t="s">
        <v>5838</v>
      </c>
      <c r="I1228" s="4" t="s">
        <v>5826</v>
      </c>
      <c r="J1228" s="4" t="s">
        <v>5832</v>
      </c>
      <c r="K1228" s="4" t="s">
        <v>5713</v>
      </c>
      <c r="L1228" s="14"/>
      <c r="N1228" s="14"/>
      <c r="O1228" s="118" t="s">
        <v>5831</v>
      </c>
      <c r="P1228" s="4"/>
      <c r="R1228" s="8" t="s">
        <v>5840</v>
      </c>
      <c r="U1228" s="8" t="s">
        <v>5829</v>
      </c>
      <c r="V1228" s="8">
        <v>0.5</v>
      </c>
      <c r="X1228" s="25">
        <v>39.101199999999999</v>
      </c>
      <c r="Y1228" s="25">
        <v>-84.665000000000006</v>
      </c>
      <c r="Z1228" s="14">
        <v>227</v>
      </c>
      <c r="AA1228" s="8" t="s">
        <v>5836</v>
      </c>
      <c r="AB1228" s="8" t="s">
        <v>5827</v>
      </c>
    </row>
    <row r="1229" spans="1:28" s="8" customFormat="1" ht="21.75" customHeight="1" x14ac:dyDescent="0.2">
      <c r="A1229" s="8" t="s">
        <v>5821</v>
      </c>
      <c r="B1229" s="8" t="s">
        <v>5822</v>
      </c>
      <c r="C1229" s="8" t="s">
        <v>1720</v>
      </c>
      <c r="D1229" s="8" t="s">
        <v>5823</v>
      </c>
      <c r="E1229" s="8" t="s">
        <v>33</v>
      </c>
      <c r="F1229" s="8" t="s">
        <v>212</v>
      </c>
      <c r="G1229" s="8" t="s">
        <v>5825</v>
      </c>
      <c r="H1229" s="3" t="s">
        <v>5839</v>
      </c>
      <c r="I1229" s="4">
        <v>1</v>
      </c>
      <c r="J1229" s="4" t="s">
        <v>5832</v>
      </c>
      <c r="K1229" s="4" t="s">
        <v>5713</v>
      </c>
      <c r="L1229" s="14"/>
      <c r="N1229" s="14"/>
      <c r="O1229" s="118" t="s">
        <v>5831</v>
      </c>
      <c r="P1229" s="4"/>
      <c r="R1229" s="8" t="s">
        <v>5840</v>
      </c>
      <c r="U1229" s="8" t="s">
        <v>5829</v>
      </c>
      <c r="V1229" s="8">
        <v>0.5</v>
      </c>
      <c r="X1229" s="25">
        <v>39.101199999999999</v>
      </c>
      <c r="Y1229" s="25">
        <v>-84.665000000000006</v>
      </c>
      <c r="Z1229" s="14">
        <v>227</v>
      </c>
      <c r="AB1229" s="8" t="s">
        <v>5827</v>
      </c>
    </row>
    <row r="1230" spans="1:28" s="8" customFormat="1" ht="21.75" customHeight="1" x14ac:dyDescent="0.2">
      <c r="A1230" s="8" t="s">
        <v>5821</v>
      </c>
      <c r="B1230" s="8" t="s">
        <v>5822</v>
      </c>
      <c r="C1230" s="8" t="s">
        <v>1720</v>
      </c>
      <c r="D1230" s="8" t="s">
        <v>5835</v>
      </c>
      <c r="E1230" s="8" t="s">
        <v>280</v>
      </c>
      <c r="F1230" s="8" t="s">
        <v>212</v>
      </c>
      <c r="G1230" s="8" t="s">
        <v>409</v>
      </c>
      <c r="H1230" s="3" t="s">
        <v>5837</v>
      </c>
      <c r="I1230" s="4" t="s">
        <v>4652</v>
      </c>
      <c r="J1230" s="4" t="s">
        <v>4367</v>
      </c>
      <c r="K1230" s="4" t="s">
        <v>5713</v>
      </c>
      <c r="L1230" s="14"/>
      <c r="N1230" s="14"/>
      <c r="O1230" s="118" t="s">
        <v>5830</v>
      </c>
      <c r="P1230" s="4"/>
      <c r="R1230" s="8" t="s">
        <v>5840</v>
      </c>
      <c r="U1230" s="8" t="s">
        <v>5829</v>
      </c>
      <c r="V1230" s="8">
        <v>1.5</v>
      </c>
      <c r="X1230" s="25">
        <v>39.185400000000001</v>
      </c>
      <c r="Y1230" s="25">
        <v>-84.530500000000004</v>
      </c>
      <c r="Z1230" s="14">
        <v>203</v>
      </c>
      <c r="AA1230" s="8" t="s">
        <v>5842</v>
      </c>
      <c r="AB1230" s="8" t="s">
        <v>5841</v>
      </c>
    </row>
    <row r="1231" spans="1:28" s="8" customFormat="1" ht="21.75" customHeight="1" x14ac:dyDescent="0.2">
      <c r="A1231" s="8" t="s">
        <v>5821</v>
      </c>
      <c r="B1231" s="8" t="s">
        <v>5822</v>
      </c>
      <c r="C1231" s="8" t="s">
        <v>1720</v>
      </c>
      <c r="D1231" s="8" t="s">
        <v>5824</v>
      </c>
      <c r="E1231" s="8" t="s">
        <v>280</v>
      </c>
      <c r="F1231" s="8" t="s">
        <v>212</v>
      </c>
      <c r="G1231" s="8" t="s">
        <v>2071</v>
      </c>
      <c r="H1231" s="3" t="s">
        <v>5838</v>
      </c>
      <c r="I1231" s="8" t="s">
        <v>5828</v>
      </c>
      <c r="J1231" s="4" t="s">
        <v>4367</v>
      </c>
      <c r="K1231" s="4" t="s">
        <v>5713</v>
      </c>
      <c r="L1231" s="14"/>
      <c r="M1231" s="14"/>
      <c r="N1231" s="14"/>
      <c r="O1231" s="118" t="s">
        <v>5830</v>
      </c>
      <c r="P1231" s="4"/>
      <c r="R1231" s="8" t="s">
        <v>5840</v>
      </c>
      <c r="U1231" s="8" t="s">
        <v>5829</v>
      </c>
      <c r="V1231" s="8">
        <v>1.5</v>
      </c>
      <c r="X1231" s="25">
        <v>39.185400000000001</v>
      </c>
      <c r="Y1231" s="25">
        <v>-84.530500000000004</v>
      </c>
      <c r="Z1231" s="14">
        <v>203</v>
      </c>
      <c r="AA1231" s="8" t="s">
        <v>5843</v>
      </c>
      <c r="AB1231" s="8" t="s">
        <v>5844</v>
      </c>
    </row>
    <row r="1232" spans="1:28" s="63" customFormat="1" ht="21.75" customHeight="1" x14ac:dyDescent="0.2">
      <c r="A1232" s="63" t="s">
        <v>7128</v>
      </c>
      <c r="B1232" s="63" t="s">
        <v>7129</v>
      </c>
      <c r="C1232" s="63" t="s">
        <v>143</v>
      </c>
      <c r="E1232" s="63" t="s">
        <v>398</v>
      </c>
      <c r="F1232" s="63" t="s">
        <v>7043</v>
      </c>
      <c r="G1232" s="63" t="s">
        <v>7130</v>
      </c>
      <c r="H1232" s="64" t="s">
        <v>7131</v>
      </c>
      <c r="I1232" s="65">
        <v>0.13</v>
      </c>
      <c r="J1232" s="65" t="s">
        <v>4367</v>
      </c>
      <c r="K1232" s="65" t="s">
        <v>7132</v>
      </c>
      <c r="L1232" s="67"/>
      <c r="M1232" s="67"/>
      <c r="N1232" s="67"/>
      <c r="O1232" s="119"/>
      <c r="P1232" s="65"/>
      <c r="T1232" s="125"/>
      <c r="X1232" s="69">
        <v>41.673000000000002</v>
      </c>
      <c r="Y1232" s="69">
        <v>-73.9358</v>
      </c>
      <c r="Z1232" s="67">
        <v>42</v>
      </c>
      <c r="AA1232" s="63" t="s">
        <v>7133</v>
      </c>
      <c r="AB1232" s="63" t="s">
        <v>7134</v>
      </c>
    </row>
    <row r="1233" spans="1:28" s="8" customFormat="1" ht="21.75" customHeight="1" x14ac:dyDescent="0.2">
      <c r="A1233" s="8" t="s">
        <v>3871</v>
      </c>
      <c r="B1233" s="8" t="s">
        <v>3889</v>
      </c>
      <c r="C1233" s="8" t="s">
        <v>3890</v>
      </c>
      <c r="D1233" s="8" t="s">
        <v>3872</v>
      </c>
      <c r="E1233" s="8" t="s">
        <v>263</v>
      </c>
      <c r="F1233" s="8" t="s">
        <v>212</v>
      </c>
      <c r="G1233" s="8" t="s">
        <v>3891</v>
      </c>
      <c r="H1233" s="3" t="s">
        <v>3881</v>
      </c>
      <c r="I1233" s="4">
        <v>8</v>
      </c>
      <c r="J1233" s="4" t="s">
        <v>5811</v>
      </c>
      <c r="K1233" s="4" t="s">
        <v>4480</v>
      </c>
      <c r="L1233" s="8">
        <v>311</v>
      </c>
      <c r="M1233" s="8" t="s">
        <v>3888</v>
      </c>
      <c r="N1233" s="14">
        <v>2542</v>
      </c>
      <c r="O1233" s="118" t="s">
        <v>3886</v>
      </c>
      <c r="P1233" s="4"/>
      <c r="R1233" s="8" t="s">
        <v>3895</v>
      </c>
      <c r="S1233" s="8" t="s">
        <v>3896</v>
      </c>
      <c r="T1233" s="8">
        <v>8</v>
      </c>
      <c r="W1233" s="14" t="s">
        <v>3909</v>
      </c>
      <c r="X1233" s="25">
        <v>-30.167999999999999</v>
      </c>
      <c r="Y1233" s="25">
        <v>117.37009999999999</v>
      </c>
      <c r="Z1233" s="8">
        <v>343</v>
      </c>
      <c r="AA1233" s="8" t="s">
        <v>3899</v>
      </c>
      <c r="AB1233" s="8" t="s">
        <v>5810</v>
      </c>
    </row>
    <row r="1234" spans="1:28" s="8" customFormat="1" ht="21.75" customHeight="1" x14ac:dyDescent="0.2">
      <c r="A1234" s="8" t="s">
        <v>3871</v>
      </c>
      <c r="B1234" s="8" t="s">
        <v>3889</v>
      </c>
      <c r="C1234" s="8" t="s">
        <v>3890</v>
      </c>
      <c r="D1234" s="8" t="s">
        <v>3873</v>
      </c>
      <c r="E1234" s="8" t="s">
        <v>263</v>
      </c>
      <c r="F1234" s="8" t="s">
        <v>212</v>
      </c>
      <c r="G1234" s="8" t="s">
        <v>3891</v>
      </c>
      <c r="H1234" s="3" t="s">
        <v>3881</v>
      </c>
      <c r="I1234" s="4">
        <v>2</v>
      </c>
      <c r="J1234" s="4" t="s">
        <v>5811</v>
      </c>
      <c r="K1234" s="4" t="s">
        <v>4480</v>
      </c>
      <c r="L1234" s="8">
        <v>311</v>
      </c>
      <c r="M1234" s="8" t="s">
        <v>3888</v>
      </c>
      <c r="N1234" s="14">
        <v>2542</v>
      </c>
      <c r="O1234" s="118" t="s">
        <v>3887</v>
      </c>
      <c r="P1234" s="4"/>
      <c r="R1234" s="8" t="s">
        <v>3895</v>
      </c>
      <c r="S1234" s="8" t="s">
        <v>3896</v>
      </c>
      <c r="T1234" s="8">
        <v>2</v>
      </c>
      <c r="W1234" s="14" t="s">
        <v>3909</v>
      </c>
      <c r="X1234" s="25">
        <v>-30.185099999999998</v>
      </c>
      <c r="Y1234" s="25">
        <v>117.36790000000001</v>
      </c>
      <c r="Z1234" s="8">
        <v>320</v>
      </c>
      <c r="AA1234" s="8" t="s">
        <v>3900</v>
      </c>
      <c r="AB1234" s="8" t="s">
        <v>3910</v>
      </c>
    </row>
    <row r="1235" spans="1:28" s="8" customFormat="1" ht="21.75" customHeight="1" x14ac:dyDescent="0.2">
      <c r="A1235" s="8" t="s">
        <v>3871</v>
      </c>
      <c r="B1235" s="8" t="s">
        <v>3889</v>
      </c>
      <c r="C1235" s="8" t="s">
        <v>3890</v>
      </c>
      <c r="D1235" s="8" t="s">
        <v>3874</v>
      </c>
      <c r="E1235" s="8" t="s">
        <v>263</v>
      </c>
      <c r="F1235" s="8" t="s">
        <v>212</v>
      </c>
      <c r="G1235" s="8" t="s">
        <v>3891</v>
      </c>
      <c r="H1235" s="3" t="s">
        <v>3881</v>
      </c>
      <c r="I1235" s="4">
        <v>5</v>
      </c>
      <c r="J1235" s="4" t="s">
        <v>5811</v>
      </c>
      <c r="K1235" s="4" t="s">
        <v>4480</v>
      </c>
      <c r="L1235" s="8">
        <v>334</v>
      </c>
      <c r="M1235" s="8" t="s">
        <v>3888</v>
      </c>
      <c r="N1235" s="14">
        <v>2169</v>
      </c>
      <c r="O1235" s="118"/>
      <c r="P1235" s="4"/>
      <c r="R1235" s="8" t="s">
        <v>3897</v>
      </c>
      <c r="U1235" s="8" t="s">
        <v>878</v>
      </c>
      <c r="V1235" s="8">
        <v>4</v>
      </c>
      <c r="W1235" s="14" t="s">
        <v>3909</v>
      </c>
      <c r="X1235" s="25">
        <v>-31.953499999999998</v>
      </c>
      <c r="Y1235" s="25">
        <v>118.5244</v>
      </c>
      <c r="Z1235" s="8">
        <v>362</v>
      </c>
      <c r="AA1235" s="8" t="s">
        <v>3901</v>
      </c>
      <c r="AB1235" s="8" t="s">
        <v>3908</v>
      </c>
    </row>
    <row r="1236" spans="1:28" s="8" customFormat="1" ht="21.75" customHeight="1" x14ac:dyDescent="0.2">
      <c r="A1236" s="8" t="s">
        <v>3871</v>
      </c>
      <c r="B1236" s="8" t="s">
        <v>3889</v>
      </c>
      <c r="C1236" s="8" t="s">
        <v>3890</v>
      </c>
      <c r="D1236" s="8" t="s">
        <v>3875</v>
      </c>
      <c r="E1236" s="8" t="s">
        <v>263</v>
      </c>
      <c r="F1236" s="8" t="s">
        <v>212</v>
      </c>
      <c r="G1236" s="8" t="s">
        <v>3892</v>
      </c>
      <c r="H1236" s="3" t="s">
        <v>3882</v>
      </c>
      <c r="I1236" s="4">
        <v>2</v>
      </c>
      <c r="J1236" s="4" t="s">
        <v>5811</v>
      </c>
      <c r="K1236" s="4" t="s">
        <v>4480</v>
      </c>
      <c r="L1236" s="8">
        <v>334</v>
      </c>
      <c r="M1236" s="8" t="s">
        <v>3888</v>
      </c>
      <c r="N1236" s="14">
        <v>2169</v>
      </c>
      <c r="O1236" s="118"/>
      <c r="P1236" s="4"/>
      <c r="R1236" s="8" t="s">
        <v>3897</v>
      </c>
      <c r="U1236" s="8" t="s">
        <v>878</v>
      </c>
      <c r="V1236" s="8">
        <v>4</v>
      </c>
      <c r="W1236" s="14" t="s">
        <v>3909</v>
      </c>
      <c r="X1236" s="25">
        <v>-32.096299999999999</v>
      </c>
      <c r="Y1236" s="25">
        <v>118.5539</v>
      </c>
      <c r="Z1236" s="8">
        <v>300</v>
      </c>
      <c r="AA1236" s="8" t="s">
        <v>3900</v>
      </c>
      <c r="AB1236" s="8" t="s">
        <v>3908</v>
      </c>
    </row>
    <row r="1237" spans="1:28" s="8" customFormat="1" ht="21.75" customHeight="1" x14ac:dyDescent="0.2">
      <c r="A1237" s="8" t="s">
        <v>3871</v>
      </c>
      <c r="B1237" s="8" t="s">
        <v>3889</v>
      </c>
      <c r="C1237" s="8" t="s">
        <v>3890</v>
      </c>
      <c r="D1237" s="8" t="s">
        <v>3876</v>
      </c>
      <c r="E1237" s="8" t="s">
        <v>263</v>
      </c>
      <c r="F1237" s="8" t="s">
        <v>212</v>
      </c>
      <c r="G1237" s="8" t="s">
        <v>3893</v>
      </c>
      <c r="H1237" s="3" t="s">
        <v>3883</v>
      </c>
      <c r="I1237" s="4">
        <v>9</v>
      </c>
      <c r="J1237" s="4" t="s">
        <v>5811</v>
      </c>
      <c r="K1237" s="4" t="s">
        <v>4480</v>
      </c>
      <c r="L1237" s="8">
        <v>507</v>
      </c>
      <c r="M1237" s="8" t="s">
        <v>3888</v>
      </c>
      <c r="N1237" s="14">
        <v>1590</v>
      </c>
      <c r="O1237" s="118"/>
      <c r="P1237" s="4"/>
      <c r="R1237" s="8" t="s">
        <v>3906</v>
      </c>
      <c r="S1237" s="8" t="s">
        <v>3905</v>
      </c>
      <c r="T1237" s="9" t="s">
        <v>3907</v>
      </c>
      <c r="W1237" s="14" t="s">
        <v>3909</v>
      </c>
      <c r="X1237" s="25">
        <v>-32.9998</v>
      </c>
      <c r="Y1237" s="25">
        <v>117.17601000000001</v>
      </c>
      <c r="Z1237" s="8">
        <v>364</v>
      </c>
      <c r="AA1237" s="8" t="s">
        <v>3902</v>
      </c>
      <c r="AB1237" s="8" t="s">
        <v>3908</v>
      </c>
    </row>
    <row r="1238" spans="1:28" s="8" customFormat="1" ht="21.75" customHeight="1" x14ac:dyDescent="0.2">
      <c r="A1238" s="8" t="s">
        <v>3871</v>
      </c>
      <c r="B1238" s="8" t="s">
        <v>3889</v>
      </c>
      <c r="C1238" s="8" t="s">
        <v>3890</v>
      </c>
      <c r="D1238" s="8" t="s">
        <v>3877</v>
      </c>
      <c r="E1238" s="8" t="s">
        <v>263</v>
      </c>
      <c r="F1238" s="8" t="s">
        <v>212</v>
      </c>
      <c r="G1238" s="8" t="s">
        <v>3894</v>
      </c>
      <c r="H1238" s="3" t="s">
        <v>3884</v>
      </c>
      <c r="I1238" s="4">
        <v>4</v>
      </c>
      <c r="J1238" s="4" t="s">
        <v>5811</v>
      </c>
      <c r="K1238" s="4" t="s">
        <v>4480</v>
      </c>
      <c r="L1238" s="8">
        <v>507</v>
      </c>
      <c r="M1238" s="8" t="s">
        <v>3888</v>
      </c>
      <c r="N1238" s="14">
        <v>1590</v>
      </c>
      <c r="O1238" s="118"/>
      <c r="P1238" s="4"/>
      <c r="R1238" s="8" t="s">
        <v>3904</v>
      </c>
      <c r="W1238" s="14" t="s">
        <v>3909</v>
      </c>
      <c r="X1238" s="25">
        <v>-32.993200000000002</v>
      </c>
      <c r="Y1238" s="25">
        <v>117.1696</v>
      </c>
      <c r="Z1238" s="8">
        <v>336</v>
      </c>
      <c r="AA1238" s="8" t="s">
        <v>3903</v>
      </c>
      <c r="AB1238" s="8" t="s">
        <v>3908</v>
      </c>
    </row>
    <row r="1239" spans="1:28" s="8" customFormat="1" ht="21.75" customHeight="1" x14ac:dyDescent="0.2">
      <c r="A1239" s="8" t="s">
        <v>3871</v>
      </c>
      <c r="B1239" s="8" t="s">
        <v>3889</v>
      </c>
      <c r="C1239" s="8" t="s">
        <v>3890</v>
      </c>
      <c r="D1239" s="8" t="s">
        <v>3878</v>
      </c>
      <c r="E1239" s="8" t="s">
        <v>263</v>
      </c>
      <c r="F1239" s="8" t="s">
        <v>212</v>
      </c>
      <c r="G1239" s="8" t="s">
        <v>3892</v>
      </c>
      <c r="H1239" s="3" t="s">
        <v>3885</v>
      </c>
      <c r="I1239" s="4">
        <v>10</v>
      </c>
      <c r="J1239" s="4" t="s">
        <v>5811</v>
      </c>
      <c r="K1239" s="4" t="s">
        <v>4480</v>
      </c>
      <c r="L1239" s="8">
        <v>411</v>
      </c>
      <c r="M1239" s="8" t="s">
        <v>3888</v>
      </c>
      <c r="N1239" s="14">
        <v>1826</v>
      </c>
      <c r="O1239" s="118"/>
      <c r="P1239" s="4"/>
      <c r="R1239" s="8" t="s">
        <v>3906</v>
      </c>
      <c r="S1239" s="8" t="s">
        <v>3905</v>
      </c>
      <c r="T1239" s="9" t="s">
        <v>3907</v>
      </c>
      <c r="W1239" s="14" t="s">
        <v>3909</v>
      </c>
      <c r="X1239" s="25">
        <v>-32.878700000000002</v>
      </c>
      <c r="Y1239" s="25">
        <v>117.5699</v>
      </c>
      <c r="Z1239" s="8">
        <v>336</v>
      </c>
      <c r="AA1239" s="8" t="s">
        <v>3902</v>
      </c>
      <c r="AB1239" s="8" t="s">
        <v>3908</v>
      </c>
    </row>
    <row r="1240" spans="1:28" s="8" customFormat="1" ht="21.75" customHeight="1" x14ac:dyDescent="0.2">
      <c r="A1240" s="8" t="s">
        <v>3871</v>
      </c>
      <c r="B1240" s="8" t="s">
        <v>3889</v>
      </c>
      <c r="C1240" s="8" t="s">
        <v>3890</v>
      </c>
      <c r="D1240" s="8" t="s">
        <v>3879</v>
      </c>
      <c r="E1240" s="8" t="s">
        <v>263</v>
      </c>
      <c r="F1240" s="8" t="s">
        <v>212</v>
      </c>
      <c r="G1240" s="8" t="s">
        <v>3893</v>
      </c>
      <c r="H1240" s="3" t="s">
        <v>3883</v>
      </c>
      <c r="I1240" s="4">
        <v>8</v>
      </c>
      <c r="J1240" s="4" t="s">
        <v>5811</v>
      </c>
      <c r="K1240" s="4" t="s">
        <v>4480</v>
      </c>
      <c r="L1240" s="8">
        <v>490</v>
      </c>
      <c r="M1240" s="8" t="s">
        <v>3888</v>
      </c>
      <c r="N1240" s="14">
        <v>1608</v>
      </c>
      <c r="O1240" s="118"/>
      <c r="P1240" s="4"/>
      <c r="R1240" s="8" t="s">
        <v>3906</v>
      </c>
      <c r="S1240" s="8" t="s">
        <v>3905</v>
      </c>
      <c r="T1240" s="9" t="s">
        <v>3907</v>
      </c>
      <c r="W1240" s="14" t="s">
        <v>3909</v>
      </c>
      <c r="X1240" s="25">
        <v>-33.6175</v>
      </c>
      <c r="Y1240" s="25">
        <v>117.2206</v>
      </c>
      <c r="Z1240" s="8">
        <v>290</v>
      </c>
      <c r="AA1240" s="8" t="s">
        <v>3899</v>
      </c>
      <c r="AB1240" s="8" t="s">
        <v>3908</v>
      </c>
    </row>
    <row r="1241" spans="1:28" s="8" customFormat="1" ht="21.75" customHeight="1" x14ac:dyDescent="0.2">
      <c r="A1241" s="8" t="s">
        <v>3871</v>
      </c>
      <c r="B1241" s="8" t="s">
        <v>3889</v>
      </c>
      <c r="C1241" s="8" t="s">
        <v>3890</v>
      </c>
      <c r="D1241" s="8" t="s">
        <v>3880</v>
      </c>
      <c r="E1241" s="8" t="s">
        <v>263</v>
      </c>
      <c r="F1241" s="8" t="s">
        <v>212</v>
      </c>
      <c r="G1241" s="8" t="s">
        <v>3893</v>
      </c>
      <c r="H1241" s="3" t="s">
        <v>3883</v>
      </c>
      <c r="I1241" s="4">
        <v>7.75</v>
      </c>
      <c r="J1241" s="4" t="s">
        <v>5811</v>
      </c>
      <c r="K1241" s="4" t="s">
        <v>4480</v>
      </c>
      <c r="L1241" s="8">
        <v>356</v>
      </c>
      <c r="M1241" s="8" t="s">
        <v>3888</v>
      </c>
      <c r="N1241" s="14">
        <v>1933</v>
      </c>
      <c r="O1241" s="118"/>
      <c r="P1241" s="4"/>
      <c r="R1241" s="8" t="s">
        <v>3898</v>
      </c>
      <c r="W1241" s="14" t="s">
        <v>3909</v>
      </c>
      <c r="X1241" s="25">
        <v>-33.102800000000002</v>
      </c>
      <c r="Y1241" s="25">
        <v>118.79689999999999</v>
      </c>
      <c r="Z1241" s="8">
        <v>358</v>
      </c>
      <c r="AA1241" s="8" t="s">
        <v>3902</v>
      </c>
      <c r="AB1241" s="8" t="s">
        <v>3908</v>
      </c>
    </row>
    <row r="1242" spans="1:28" ht="21.75" customHeight="1" x14ac:dyDescent="0.2">
      <c r="A1242" s="7" t="s">
        <v>4212</v>
      </c>
      <c r="B1242" s="7" t="s">
        <v>4213</v>
      </c>
      <c r="C1242" s="7" t="s">
        <v>21</v>
      </c>
      <c r="E1242" s="7" t="s">
        <v>263</v>
      </c>
      <c r="F1242" s="7" t="s">
        <v>212</v>
      </c>
      <c r="G1242" s="7" t="s">
        <v>4217</v>
      </c>
      <c r="H1242" s="1" t="s">
        <v>4214</v>
      </c>
      <c r="I1242" s="2">
        <v>0.5</v>
      </c>
      <c r="J1242" s="2" t="s">
        <v>5781</v>
      </c>
      <c r="K1242" s="2" t="s">
        <v>4480</v>
      </c>
      <c r="L1242" s="7"/>
      <c r="M1242" s="7"/>
      <c r="O1242" s="117" t="s">
        <v>4215</v>
      </c>
      <c r="R1242" s="7" t="s">
        <v>4219</v>
      </c>
      <c r="W1242" s="6"/>
      <c r="X1242" s="24">
        <v>-42.450800000000001</v>
      </c>
      <c r="Y1242" s="24">
        <v>173.35839999999999</v>
      </c>
      <c r="Z1242" s="7">
        <v>360</v>
      </c>
      <c r="AA1242" s="134" t="s">
        <v>4220</v>
      </c>
      <c r="AB1242" s="139" t="s">
        <v>4221</v>
      </c>
    </row>
    <row r="1243" spans="1:28" ht="21.75" customHeight="1" x14ac:dyDescent="0.2">
      <c r="A1243" s="7" t="s">
        <v>4212</v>
      </c>
      <c r="B1243" s="7" t="s">
        <v>4213</v>
      </c>
      <c r="C1243" s="7" t="s">
        <v>21</v>
      </c>
      <c r="E1243" s="7" t="s">
        <v>33</v>
      </c>
      <c r="F1243" s="7" t="s">
        <v>212</v>
      </c>
      <c r="G1243" s="7" t="s">
        <v>4218</v>
      </c>
      <c r="H1243" s="1" t="s">
        <v>4216</v>
      </c>
      <c r="I1243" s="2">
        <v>0.5</v>
      </c>
      <c r="J1243" s="2" t="s">
        <v>5781</v>
      </c>
      <c r="K1243" s="2" t="s">
        <v>4480</v>
      </c>
      <c r="L1243" s="7"/>
      <c r="M1243" s="7"/>
      <c r="O1243" s="117" t="s">
        <v>4215</v>
      </c>
      <c r="R1243" s="7" t="s">
        <v>4219</v>
      </c>
      <c r="W1243" s="6"/>
      <c r="X1243" s="24">
        <v>-42.450800000000001</v>
      </c>
      <c r="Y1243" s="24">
        <v>173.35839999999999</v>
      </c>
      <c r="Z1243" s="7">
        <v>360</v>
      </c>
      <c r="AA1243" s="135"/>
      <c r="AB1243" s="139"/>
    </row>
    <row r="1244" spans="1:28" s="8" customFormat="1" ht="21.75" customHeight="1" x14ac:dyDescent="0.2">
      <c r="A1244" s="8" t="s">
        <v>1876</v>
      </c>
      <c r="B1244" s="8" t="s">
        <v>1892</v>
      </c>
      <c r="C1244" s="8" t="s">
        <v>1883</v>
      </c>
      <c r="D1244" s="8" t="s">
        <v>1877</v>
      </c>
      <c r="E1244" s="8" t="s">
        <v>280</v>
      </c>
      <c r="F1244" s="8" t="s">
        <v>212</v>
      </c>
      <c r="G1244" s="8" t="s">
        <v>1884</v>
      </c>
      <c r="H1244" s="3" t="s">
        <v>1885</v>
      </c>
      <c r="I1244" s="4">
        <v>0.65</v>
      </c>
      <c r="J1244" s="4" t="s">
        <v>5812</v>
      </c>
      <c r="K1244" s="4" t="s">
        <v>5753</v>
      </c>
      <c r="L1244" s="14"/>
      <c r="M1244" s="14"/>
      <c r="N1244" s="14"/>
      <c r="O1244" s="110" t="s">
        <v>1893</v>
      </c>
      <c r="P1244" s="4"/>
      <c r="Q1244" s="8">
        <v>1.5</v>
      </c>
      <c r="X1244" s="13">
        <f>49+33/60+42/3600</f>
        <v>49.56166666666666</v>
      </c>
      <c r="Y1244" s="13">
        <f>-(114+59/60+9/3600)</f>
        <v>-114.98583333333333</v>
      </c>
      <c r="Z1244" s="14">
        <v>1134</v>
      </c>
      <c r="AA1244" s="8" t="s">
        <v>1897</v>
      </c>
      <c r="AB1244" s="138" t="s">
        <v>1898</v>
      </c>
    </row>
    <row r="1245" spans="1:28" s="8" customFormat="1" ht="21.75" customHeight="1" x14ac:dyDescent="0.2">
      <c r="A1245" s="8" t="s">
        <v>1876</v>
      </c>
      <c r="B1245" s="8" t="s">
        <v>1892</v>
      </c>
      <c r="C1245" s="8" t="s">
        <v>1883</v>
      </c>
      <c r="D1245" s="8" t="s">
        <v>1878</v>
      </c>
      <c r="E1245" s="8" t="s">
        <v>280</v>
      </c>
      <c r="F1245" s="8" t="s">
        <v>212</v>
      </c>
      <c r="G1245" s="8" t="s">
        <v>1886</v>
      </c>
      <c r="H1245" s="3" t="s">
        <v>377</v>
      </c>
      <c r="I1245" s="4">
        <v>1.35</v>
      </c>
      <c r="J1245" s="4" t="s">
        <v>5812</v>
      </c>
      <c r="K1245" s="4" t="s">
        <v>5753</v>
      </c>
      <c r="L1245" s="14"/>
      <c r="M1245" s="14"/>
      <c r="N1245" s="14"/>
      <c r="O1245" s="110" t="s">
        <v>1894</v>
      </c>
      <c r="P1245" s="4"/>
      <c r="Q1245" s="8">
        <v>1.55</v>
      </c>
      <c r="X1245" s="13">
        <f>49+36/60+57/3600</f>
        <v>49.615833333333335</v>
      </c>
      <c r="Y1245" s="13">
        <f>-(112+54/60+5/3600)</f>
        <v>-112.90138888888889</v>
      </c>
      <c r="Z1245" s="14">
        <v>840</v>
      </c>
      <c r="AB1245" s="138"/>
    </row>
    <row r="1246" spans="1:28" s="8" customFormat="1" ht="21.75" customHeight="1" x14ac:dyDescent="0.2">
      <c r="A1246" s="8" t="s">
        <v>1876</v>
      </c>
      <c r="B1246" s="8" t="s">
        <v>1892</v>
      </c>
      <c r="C1246" s="8" t="s">
        <v>1883</v>
      </c>
      <c r="D1246" s="8" t="s">
        <v>1879</v>
      </c>
      <c r="E1246" s="8" t="s">
        <v>280</v>
      </c>
      <c r="F1246" s="8" t="s">
        <v>212</v>
      </c>
      <c r="G1246" s="8" t="s">
        <v>1799</v>
      </c>
      <c r="H1246" s="3" t="s">
        <v>1800</v>
      </c>
      <c r="I1246" s="4">
        <v>1.25</v>
      </c>
      <c r="J1246" s="4" t="s">
        <v>5812</v>
      </c>
      <c r="K1246" s="4" t="s">
        <v>5753</v>
      </c>
      <c r="L1246" s="14"/>
      <c r="M1246" s="14"/>
      <c r="N1246" s="14"/>
      <c r="O1246" s="110" t="s">
        <v>1895</v>
      </c>
      <c r="P1246" s="4"/>
      <c r="X1246" s="13">
        <f>50+48/60+37/3600</f>
        <v>50.810277777777777</v>
      </c>
      <c r="Y1246" s="13">
        <f>-(113+31/60+14/3600)</f>
        <v>-113.52055555555556</v>
      </c>
      <c r="Z1246" s="14">
        <v>921</v>
      </c>
      <c r="AB1246" s="138"/>
    </row>
    <row r="1247" spans="1:28" s="8" customFormat="1" ht="21.75" customHeight="1" x14ac:dyDescent="0.2">
      <c r="A1247" s="8" t="s">
        <v>1876</v>
      </c>
      <c r="B1247" s="8" t="s">
        <v>1892</v>
      </c>
      <c r="C1247" s="8" t="s">
        <v>1883</v>
      </c>
      <c r="D1247" s="8" t="s">
        <v>1879</v>
      </c>
      <c r="E1247" s="8" t="s">
        <v>280</v>
      </c>
      <c r="F1247" s="8" t="s">
        <v>212</v>
      </c>
      <c r="G1247" s="8" t="s">
        <v>1799</v>
      </c>
      <c r="H1247" s="3" t="s">
        <v>1800</v>
      </c>
      <c r="I1247" s="4">
        <v>0.9</v>
      </c>
      <c r="J1247" s="4" t="s">
        <v>5812</v>
      </c>
      <c r="K1247" s="4" t="s">
        <v>5753</v>
      </c>
      <c r="L1247" s="14"/>
      <c r="M1247" s="14"/>
      <c r="N1247" s="14"/>
      <c r="O1247" s="110" t="s">
        <v>1895</v>
      </c>
      <c r="P1247" s="4"/>
      <c r="X1247" s="13">
        <f>50+48/60+37/3600</f>
        <v>50.810277777777777</v>
      </c>
      <c r="Y1247" s="13">
        <f>-(113+31/60+14/3600)</f>
        <v>-113.52055555555556</v>
      </c>
      <c r="Z1247" s="14">
        <v>921</v>
      </c>
      <c r="AB1247" s="138"/>
    </row>
    <row r="1248" spans="1:28" s="8" customFormat="1" ht="21.75" customHeight="1" x14ac:dyDescent="0.2">
      <c r="A1248" s="8" t="s">
        <v>1876</v>
      </c>
      <c r="B1248" s="8" t="s">
        <v>1892</v>
      </c>
      <c r="C1248" s="8" t="s">
        <v>1883</v>
      </c>
      <c r="D1248" s="8" t="s">
        <v>1877</v>
      </c>
      <c r="E1248" s="8" t="s">
        <v>33</v>
      </c>
      <c r="F1248" s="8" t="s">
        <v>212</v>
      </c>
      <c r="G1248" s="8" t="s">
        <v>86</v>
      </c>
      <c r="H1248" s="3" t="s">
        <v>87</v>
      </c>
      <c r="I1248" s="4">
        <v>0.4</v>
      </c>
      <c r="J1248" s="4" t="s">
        <v>5812</v>
      </c>
      <c r="K1248" s="4" t="s">
        <v>5753</v>
      </c>
      <c r="L1248" s="14"/>
      <c r="M1248" s="14"/>
      <c r="N1248" s="14"/>
      <c r="O1248" s="110" t="s">
        <v>1893</v>
      </c>
      <c r="P1248" s="4"/>
      <c r="Q1248" s="8">
        <v>1.5</v>
      </c>
      <c r="X1248" s="13">
        <f>49+33/60+42/3600</f>
        <v>49.56166666666666</v>
      </c>
      <c r="Y1248" s="13">
        <f>-(114+59/60+9/3600)</f>
        <v>-114.98583333333333</v>
      </c>
      <c r="Z1248" s="14">
        <v>1134</v>
      </c>
      <c r="AB1248" s="138"/>
    </row>
    <row r="1249" spans="1:28" s="8" customFormat="1" ht="21.75" customHeight="1" x14ac:dyDescent="0.2">
      <c r="A1249" s="8" t="s">
        <v>1876</v>
      </c>
      <c r="B1249" s="8" t="s">
        <v>1892</v>
      </c>
      <c r="C1249" s="8" t="s">
        <v>1883</v>
      </c>
      <c r="D1249" s="8" t="s">
        <v>1879</v>
      </c>
      <c r="E1249" s="8" t="s">
        <v>280</v>
      </c>
      <c r="F1249" s="8" t="s">
        <v>212</v>
      </c>
      <c r="G1249" s="8" t="s">
        <v>1887</v>
      </c>
      <c r="H1249" s="3" t="s">
        <v>864</v>
      </c>
      <c r="I1249" s="4">
        <v>0.3</v>
      </c>
      <c r="J1249" s="4" t="s">
        <v>5812</v>
      </c>
      <c r="K1249" s="4" t="s">
        <v>5753</v>
      </c>
      <c r="L1249" s="14"/>
      <c r="M1249" s="14"/>
      <c r="N1249" s="14"/>
      <c r="O1249" s="110" t="s">
        <v>1895</v>
      </c>
      <c r="P1249" s="4"/>
      <c r="X1249" s="13">
        <f>50+48/60+37/3600</f>
        <v>50.810277777777777</v>
      </c>
      <c r="Y1249" s="13">
        <f>-(113+31/60+14/3600)</f>
        <v>-113.52055555555556</v>
      </c>
      <c r="Z1249" s="14">
        <v>921</v>
      </c>
      <c r="AB1249" s="138"/>
    </row>
    <row r="1250" spans="1:28" s="8" customFormat="1" ht="21.75" customHeight="1" x14ac:dyDescent="0.2">
      <c r="A1250" s="8" t="s">
        <v>1876</v>
      </c>
      <c r="B1250" s="8" t="s">
        <v>1892</v>
      </c>
      <c r="C1250" s="8" t="s">
        <v>1883</v>
      </c>
      <c r="D1250" s="8" t="s">
        <v>1880</v>
      </c>
      <c r="E1250" s="8" t="s">
        <v>280</v>
      </c>
      <c r="F1250" s="8" t="s">
        <v>212</v>
      </c>
      <c r="G1250" s="8" t="s">
        <v>1888</v>
      </c>
      <c r="H1250" s="3" t="s">
        <v>1889</v>
      </c>
      <c r="I1250" s="4">
        <v>1.4</v>
      </c>
      <c r="J1250" s="4" t="s">
        <v>5812</v>
      </c>
      <c r="K1250" s="4" t="s">
        <v>5753</v>
      </c>
      <c r="L1250" s="14"/>
      <c r="M1250" s="14"/>
      <c r="N1250" s="14"/>
      <c r="O1250" s="110" t="s">
        <v>1894</v>
      </c>
      <c r="P1250" s="4"/>
      <c r="X1250" s="13">
        <f>49+40/60+36/3600</f>
        <v>49.676666666666662</v>
      </c>
      <c r="Y1250" s="13">
        <f>-(112+51/60+10/3600)</f>
        <v>-112.85277777777777</v>
      </c>
      <c r="Z1250" s="14">
        <v>441</v>
      </c>
      <c r="AB1250" s="138"/>
    </row>
    <row r="1251" spans="1:28" s="8" customFormat="1" ht="21.75" customHeight="1" x14ac:dyDescent="0.2">
      <c r="A1251" s="8" t="s">
        <v>1876</v>
      </c>
      <c r="B1251" s="8" t="s">
        <v>1892</v>
      </c>
      <c r="C1251" s="8" t="s">
        <v>1883</v>
      </c>
      <c r="D1251" s="8" t="s">
        <v>1881</v>
      </c>
      <c r="E1251" s="8" t="s">
        <v>280</v>
      </c>
      <c r="F1251" s="8" t="s">
        <v>212</v>
      </c>
      <c r="G1251" s="8" t="s">
        <v>1888</v>
      </c>
      <c r="H1251" s="3" t="s">
        <v>1889</v>
      </c>
      <c r="I1251" s="4">
        <v>0.75</v>
      </c>
      <c r="J1251" s="4" t="s">
        <v>5812</v>
      </c>
      <c r="K1251" s="4" t="s">
        <v>5753</v>
      </c>
      <c r="L1251" s="14"/>
      <c r="M1251" s="14"/>
      <c r="N1251" s="14"/>
      <c r="O1251" s="110" t="s">
        <v>1894</v>
      </c>
      <c r="P1251" s="4"/>
      <c r="X1251" s="13">
        <f>49+30/60+17/3600</f>
        <v>49.50472222222222</v>
      </c>
      <c r="Y1251" s="13">
        <f>-(113+19/60+22/3600)</f>
        <v>-113.32277777777777</v>
      </c>
      <c r="Z1251" s="14">
        <v>980</v>
      </c>
      <c r="AB1251" s="138"/>
    </row>
    <row r="1252" spans="1:28" s="8" customFormat="1" ht="21.75" customHeight="1" x14ac:dyDescent="0.2">
      <c r="A1252" s="8" t="s">
        <v>1876</v>
      </c>
      <c r="B1252" s="8" t="s">
        <v>1892</v>
      </c>
      <c r="C1252" s="8" t="s">
        <v>1883</v>
      </c>
      <c r="D1252" s="8" t="s">
        <v>1882</v>
      </c>
      <c r="E1252" s="8" t="s">
        <v>280</v>
      </c>
      <c r="F1252" s="8" t="s">
        <v>212</v>
      </c>
      <c r="G1252" s="8" t="s">
        <v>1890</v>
      </c>
      <c r="H1252" s="3" t="s">
        <v>1891</v>
      </c>
      <c r="I1252" s="4">
        <v>1.1499999999999999</v>
      </c>
      <c r="J1252" s="4" t="s">
        <v>5812</v>
      </c>
      <c r="K1252" s="4" t="s">
        <v>5753</v>
      </c>
      <c r="L1252" s="14"/>
      <c r="M1252" s="14"/>
      <c r="N1252" s="14"/>
      <c r="O1252" s="110" t="s">
        <v>1896</v>
      </c>
      <c r="P1252" s="4"/>
      <c r="X1252" s="13">
        <f>49+30/60+9/3600</f>
        <v>49.502499999999998</v>
      </c>
      <c r="Y1252" s="13">
        <f>-(114+3/60+2/3600)</f>
        <v>-114.05055555555555</v>
      </c>
      <c r="Z1252" s="14">
        <v>1148</v>
      </c>
      <c r="AB1252" s="138"/>
    </row>
    <row r="1253" spans="1:28" ht="21.75" customHeight="1" x14ac:dyDescent="0.2">
      <c r="A1253" s="7" t="s">
        <v>4147</v>
      </c>
      <c r="B1253" s="7" t="s">
        <v>4149</v>
      </c>
      <c r="C1253" s="7" t="s">
        <v>4160</v>
      </c>
      <c r="D1253" s="7" t="s">
        <v>4150</v>
      </c>
      <c r="E1253" s="7" t="s">
        <v>33</v>
      </c>
      <c r="F1253" s="7" t="s">
        <v>212</v>
      </c>
      <c r="G1253" s="7" t="s">
        <v>4155</v>
      </c>
      <c r="H1253" s="1" t="s">
        <v>4154</v>
      </c>
      <c r="I1253" s="2">
        <v>3.75</v>
      </c>
      <c r="J1253" s="2" t="s">
        <v>5813</v>
      </c>
      <c r="K1253" s="2" t="s">
        <v>4480</v>
      </c>
      <c r="L1253" s="6">
        <v>760</v>
      </c>
      <c r="M1253" s="6" t="s">
        <v>4159</v>
      </c>
      <c r="O1253" s="45" t="s">
        <v>4152</v>
      </c>
      <c r="R1253" s="7" t="s">
        <v>4151</v>
      </c>
      <c r="U1253" s="7" t="s">
        <v>4153</v>
      </c>
      <c r="V1253" s="7">
        <v>0.75</v>
      </c>
      <c r="X1253" s="5">
        <v>35.969000000000001</v>
      </c>
      <c r="Y1253" s="5">
        <v>-118.6296</v>
      </c>
      <c r="Z1253" s="6">
        <v>157</v>
      </c>
      <c r="AB1253" s="7" t="s">
        <v>4148</v>
      </c>
    </row>
    <row r="1254" spans="1:28" ht="21.75" customHeight="1" x14ac:dyDescent="0.2">
      <c r="A1254" s="7" t="s">
        <v>4147</v>
      </c>
      <c r="B1254" s="7" t="s">
        <v>4149</v>
      </c>
      <c r="C1254" s="7" t="s">
        <v>4160</v>
      </c>
      <c r="D1254" s="7" t="s">
        <v>4150</v>
      </c>
      <c r="E1254" s="7" t="s">
        <v>263</v>
      </c>
      <c r="F1254" s="7" t="s">
        <v>214</v>
      </c>
      <c r="G1254" s="7" t="s">
        <v>4156</v>
      </c>
      <c r="H1254" s="1" t="s">
        <v>4157</v>
      </c>
      <c r="I1254" s="2">
        <v>2</v>
      </c>
      <c r="J1254" s="2" t="s">
        <v>5813</v>
      </c>
      <c r="K1254" s="2" t="s">
        <v>4480</v>
      </c>
      <c r="L1254" s="6">
        <v>760</v>
      </c>
      <c r="M1254" s="6" t="s">
        <v>4159</v>
      </c>
      <c r="O1254" s="45" t="s">
        <v>4152</v>
      </c>
      <c r="R1254" s="7" t="s">
        <v>4151</v>
      </c>
      <c r="U1254" s="7" t="s">
        <v>4153</v>
      </c>
      <c r="V1254" s="7">
        <v>0.75</v>
      </c>
      <c r="X1254" s="5">
        <v>35.969000000000001</v>
      </c>
      <c r="Y1254" s="5">
        <v>-118.6296</v>
      </c>
      <c r="Z1254" s="6">
        <v>157</v>
      </c>
      <c r="AB1254" s="7" t="s">
        <v>4158</v>
      </c>
    </row>
    <row r="1255" spans="1:28" s="8" customFormat="1" ht="21.75" customHeight="1" x14ac:dyDescent="0.2">
      <c r="A1255" s="8" t="s">
        <v>4402</v>
      </c>
      <c r="B1255" s="8" t="s">
        <v>4406</v>
      </c>
      <c r="C1255" s="8" t="s">
        <v>4407</v>
      </c>
      <c r="D1255" s="8" t="s">
        <v>4408</v>
      </c>
      <c r="E1255" s="8" t="s">
        <v>280</v>
      </c>
      <c r="F1255" s="8" t="s">
        <v>212</v>
      </c>
      <c r="G1255" s="8" t="s">
        <v>4405</v>
      </c>
      <c r="H1255" s="3" t="s">
        <v>3463</v>
      </c>
      <c r="I1255" s="4">
        <v>7.25</v>
      </c>
      <c r="J1255" s="4" t="s">
        <v>4404</v>
      </c>
      <c r="K1255" s="4" t="s">
        <v>4410</v>
      </c>
      <c r="L1255" s="14">
        <v>924</v>
      </c>
      <c r="M1255" s="14" t="s">
        <v>4409</v>
      </c>
      <c r="N1255" s="14">
        <v>2100</v>
      </c>
      <c r="O1255" s="110" t="s">
        <v>1522</v>
      </c>
      <c r="P1255" s="4" t="s">
        <v>4403</v>
      </c>
      <c r="R1255" s="8" t="s">
        <v>4412</v>
      </c>
      <c r="U1255" s="8" t="s">
        <v>4411</v>
      </c>
      <c r="V1255" s="8">
        <v>4.5</v>
      </c>
      <c r="X1255" s="13">
        <v>11.4336</v>
      </c>
      <c r="Y1255" s="13">
        <v>-3.4005999999999998</v>
      </c>
      <c r="Z1255" s="14">
        <v>354</v>
      </c>
      <c r="AA1255" s="8" t="s">
        <v>4413</v>
      </c>
    </row>
    <row r="1256" spans="1:28" ht="21.75" customHeight="1" x14ac:dyDescent="0.2">
      <c r="A1256" s="7" t="s">
        <v>7169</v>
      </c>
      <c r="B1256" s="7" t="s">
        <v>7170</v>
      </c>
      <c r="C1256" s="7" t="s">
        <v>7171</v>
      </c>
      <c r="E1256" s="7" t="s">
        <v>398</v>
      </c>
      <c r="F1256" s="7" t="s">
        <v>6049</v>
      </c>
      <c r="H1256" s="1" t="s">
        <v>7172</v>
      </c>
      <c r="I1256" s="7">
        <v>0.03</v>
      </c>
      <c r="J1256" s="2" t="s">
        <v>4367</v>
      </c>
      <c r="K1256" s="2" t="s">
        <v>4386</v>
      </c>
      <c r="L1256" s="6">
        <v>353</v>
      </c>
      <c r="M1256" s="6" t="s">
        <v>7399</v>
      </c>
      <c r="O1256" s="45" t="s">
        <v>7173</v>
      </c>
      <c r="U1256" s="7" t="s">
        <v>878</v>
      </c>
      <c r="X1256" s="5">
        <v>-30.433599999999998</v>
      </c>
      <c r="Y1256" s="5">
        <v>18.106100000000001</v>
      </c>
      <c r="Z1256" s="6">
        <v>1284</v>
      </c>
      <c r="AA1256" s="7" t="s">
        <v>7174</v>
      </c>
      <c r="AB1256" s="7" t="s">
        <v>30</v>
      </c>
    </row>
    <row r="1257" spans="1:28" s="82" customFormat="1" ht="21.75" customHeight="1" x14ac:dyDescent="0.2">
      <c r="A1257" s="82" t="s">
        <v>7431</v>
      </c>
      <c r="B1257" s="82" t="s">
        <v>7438</v>
      </c>
      <c r="C1257" s="82" t="s">
        <v>4416</v>
      </c>
      <c r="D1257" s="82" t="s">
        <v>7435</v>
      </c>
      <c r="E1257" s="82" t="s">
        <v>280</v>
      </c>
      <c r="F1257" s="82" t="s">
        <v>1302</v>
      </c>
      <c r="G1257" s="82" t="s">
        <v>3040</v>
      </c>
      <c r="H1257" s="83" t="s">
        <v>3036</v>
      </c>
      <c r="I1257" s="82">
        <v>2.2000000000000002</v>
      </c>
      <c r="J1257" s="84" t="s">
        <v>4367</v>
      </c>
      <c r="K1257" s="84" t="s">
        <v>4480</v>
      </c>
      <c r="L1257" s="85">
        <v>630</v>
      </c>
      <c r="M1257" s="85" t="s">
        <v>7436</v>
      </c>
      <c r="N1257" s="85"/>
      <c r="O1257" s="116" t="s">
        <v>7442</v>
      </c>
      <c r="P1257" s="84"/>
      <c r="R1257" s="82" t="s">
        <v>7439</v>
      </c>
      <c r="U1257" s="82" t="s">
        <v>7440</v>
      </c>
      <c r="V1257" s="82">
        <v>2.2000000000000002</v>
      </c>
      <c r="W1257" s="82" t="s">
        <v>7437</v>
      </c>
      <c r="X1257" s="86">
        <f>-(24+40/60)</f>
        <v>-24.666666666666668</v>
      </c>
      <c r="Y1257" s="86">
        <f>28+43/60</f>
        <v>28.716666666666665</v>
      </c>
      <c r="Z1257" s="85">
        <v>1100</v>
      </c>
      <c r="AA1257" s="82" t="s">
        <v>7432</v>
      </c>
      <c r="AB1257" s="143" t="s">
        <v>7443</v>
      </c>
    </row>
    <row r="1258" spans="1:28" s="82" customFormat="1" ht="21.75" customHeight="1" x14ac:dyDescent="0.2">
      <c r="A1258" s="82" t="s">
        <v>7431</v>
      </c>
      <c r="B1258" s="82" t="s">
        <v>7438</v>
      </c>
      <c r="C1258" s="82" t="s">
        <v>4416</v>
      </c>
      <c r="D1258" s="82" t="s">
        <v>7435</v>
      </c>
      <c r="E1258" s="82" t="s">
        <v>280</v>
      </c>
      <c r="F1258" s="82" t="s">
        <v>212</v>
      </c>
      <c r="G1258" s="82" t="s">
        <v>3547</v>
      </c>
      <c r="H1258" s="83" t="s">
        <v>3035</v>
      </c>
      <c r="I1258" s="82">
        <v>2.2000000000000002</v>
      </c>
      <c r="J1258" s="84" t="s">
        <v>4367</v>
      </c>
      <c r="K1258" s="84" t="s">
        <v>4480</v>
      </c>
      <c r="L1258" s="85">
        <v>630</v>
      </c>
      <c r="M1258" s="85" t="s">
        <v>7436</v>
      </c>
      <c r="N1258" s="85"/>
      <c r="O1258" s="116" t="s">
        <v>7442</v>
      </c>
      <c r="P1258" s="84"/>
      <c r="R1258" s="82" t="s">
        <v>7439</v>
      </c>
      <c r="U1258" s="82" t="s">
        <v>7440</v>
      </c>
      <c r="V1258" s="82">
        <v>2.2000000000000002</v>
      </c>
      <c r="W1258" s="82" t="s">
        <v>7437</v>
      </c>
      <c r="X1258" s="86">
        <f>-(24+40/60)</f>
        <v>-24.666666666666668</v>
      </c>
      <c r="Y1258" s="86">
        <f>28+43/60</f>
        <v>28.716666666666665</v>
      </c>
      <c r="Z1258" s="85">
        <v>1100</v>
      </c>
      <c r="AA1258" s="82" t="s">
        <v>7433</v>
      </c>
      <c r="AB1258" s="159"/>
    </row>
    <row r="1259" spans="1:28" s="82" customFormat="1" ht="21.75" customHeight="1" x14ac:dyDescent="0.2">
      <c r="A1259" s="82" t="s">
        <v>7431</v>
      </c>
      <c r="B1259" s="82" t="s">
        <v>7438</v>
      </c>
      <c r="C1259" s="82" t="s">
        <v>4416</v>
      </c>
      <c r="D1259" s="82" t="s">
        <v>7435</v>
      </c>
      <c r="E1259" s="82" t="s">
        <v>280</v>
      </c>
      <c r="F1259" s="82" t="s">
        <v>212</v>
      </c>
      <c r="G1259" s="82" t="s">
        <v>7441</v>
      </c>
      <c r="H1259" s="83" t="s">
        <v>1348</v>
      </c>
      <c r="I1259" s="82">
        <v>2.2000000000000002</v>
      </c>
      <c r="J1259" s="84" t="s">
        <v>4367</v>
      </c>
      <c r="K1259" s="84" t="s">
        <v>4480</v>
      </c>
      <c r="L1259" s="85">
        <v>630</v>
      </c>
      <c r="M1259" s="85" t="s">
        <v>7436</v>
      </c>
      <c r="N1259" s="85"/>
      <c r="O1259" s="116" t="s">
        <v>7442</v>
      </c>
      <c r="P1259" s="84"/>
      <c r="R1259" s="82" t="s">
        <v>7439</v>
      </c>
      <c r="U1259" s="82" t="s">
        <v>7440</v>
      </c>
      <c r="V1259" s="82">
        <v>2.2000000000000002</v>
      </c>
      <c r="W1259" s="82" t="s">
        <v>7437</v>
      </c>
      <c r="X1259" s="86">
        <f>-(24+40/60)</f>
        <v>-24.666666666666668</v>
      </c>
      <c r="Y1259" s="86">
        <f>28+43/60</f>
        <v>28.716666666666665</v>
      </c>
      <c r="Z1259" s="85">
        <v>1100</v>
      </c>
      <c r="AA1259" s="82" t="s">
        <v>7434</v>
      </c>
      <c r="AB1259" s="144"/>
    </row>
    <row r="1260" spans="1:28" ht="21.75" customHeight="1" x14ac:dyDescent="0.2">
      <c r="A1260" s="7" t="s">
        <v>5555</v>
      </c>
      <c r="B1260" s="7" t="s">
        <v>5556</v>
      </c>
      <c r="C1260" s="7" t="s">
        <v>4494</v>
      </c>
      <c r="D1260" s="7" t="s">
        <v>5557</v>
      </c>
      <c r="E1260" s="7" t="s">
        <v>280</v>
      </c>
      <c r="F1260" s="7" t="s">
        <v>212</v>
      </c>
      <c r="G1260" s="7" t="s">
        <v>5597</v>
      </c>
      <c r="H1260" s="1" t="s">
        <v>5594</v>
      </c>
      <c r="I1260" s="2">
        <v>2</v>
      </c>
      <c r="J1260" s="2" t="s">
        <v>5586</v>
      </c>
      <c r="K1260" s="2" t="s">
        <v>4410</v>
      </c>
      <c r="L1260" s="6">
        <v>1143</v>
      </c>
      <c r="M1260" s="6" t="s">
        <v>5589</v>
      </c>
      <c r="O1260" s="45" t="s">
        <v>1272</v>
      </c>
      <c r="Q1260" s="7" t="s">
        <v>2949</v>
      </c>
      <c r="R1260" s="7" t="s">
        <v>2538</v>
      </c>
      <c r="X1260" s="5">
        <v>39.667700000000004</v>
      </c>
      <c r="Y1260" s="5">
        <v>-74.645399999999995</v>
      </c>
      <c r="Z1260" s="6">
        <v>11</v>
      </c>
      <c r="AA1260" s="7" t="s">
        <v>5600</v>
      </c>
      <c r="AB1260" s="7" t="s">
        <v>5590</v>
      </c>
    </row>
    <row r="1261" spans="1:28" ht="21.75" customHeight="1" x14ac:dyDescent="0.2">
      <c r="A1261" s="7" t="s">
        <v>5555</v>
      </c>
      <c r="B1261" s="7" t="s">
        <v>5556</v>
      </c>
      <c r="C1261" s="7" t="s">
        <v>4494</v>
      </c>
      <c r="D1261" s="7" t="s">
        <v>5592</v>
      </c>
      <c r="E1261" s="7" t="s">
        <v>33</v>
      </c>
      <c r="F1261" s="7" t="s">
        <v>212</v>
      </c>
      <c r="G1261" s="7" t="s">
        <v>4908</v>
      </c>
      <c r="H1261" s="1" t="s">
        <v>5595</v>
      </c>
      <c r="I1261" s="2">
        <v>0.7</v>
      </c>
      <c r="J1261" s="2" t="s">
        <v>5586</v>
      </c>
      <c r="K1261" s="2" t="s">
        <v>4410</v>
      </c>
      <c r="L1261" s="6">
        <v>1143</v>
      </c>
      <c r="M1261" s="6" t="s">
        <v>5589</v>
      </c>
      <c r="O1261" s="45" t="s">
        <v>4111</v>
      </c>
      <c r="Q1261" s="7">
        <v>0.67</v>
      </c>
      <c r="R1261" s="7" t="s">
        <v>2538</v>
      </c>
      <c r="X1261" s="5">
        <v>39.665399999999998</v>
      </c>
      <c r="Y1261" s="5">
        <v>-74.676400000000001</v>
      </c>
      <c r="Z1261" s="6">
        <v>6</v>
      </c>
      <c r="AA1261" s="7" t="s">
        <v>5587</v>
      </c>
      <c r="AB1261" s="7" t="s">
        <v>5598</v>
      </c>
    </row>
    <row r="1262" spans="1:28" ht="21.75" customHeight="1" x14ac:dyDescent="0.2">
      <c r="A1262" s="7" t="s">
        <v>5555</v>
      </c>
      <c r="B1262" s="7" t="s">
        <v>5556</v>
      </c>
      <c r="C1262" s="7" t="s">
        <v>4494</v>
      </c>
      <c r="D1262" s="7" t="s">
        <v>5593</v>
      </c>
      <c r="E1262" s="7" t="s">
        <v>33</v>
      </c>
      <c r="F1262" s="7" t="s">
        <v>212</v>
      </c>
      <c r="G1262" s="7" t="s">
        <v>4908</v>
      </c>
      <c r="H1262" s="1" t="s">
        <v>5596</v>
      </c>
      <c r="I1262" s="7">
        <v>3</v>
      </c>
      <c r="J1262" s="2" t="s">
        <v>5586</v>
      </c>
      <c r="K1262" s="2" t="s">
        <v>4410</v>
      </c>
      <c r="L1262" s="6">
        <v>1143</v>
      </c>
      <c r="M1262" s="6" t="s">
        <v>5589</v>
      </c>
      <c r="O1262" s="45" t="s">
        <v>1272</v>
      </c>
      <c r="Q1262" s="2" t="s">
        <v>2949</v>
      </c>
      <c r="R1262" s="7" t="s">
        <v>2538</v>
      </c>
      <c r="X1262" s="5">
        <v>39.670499999999997</v>
      </c>
      <c r="Y1262" s="5">
        <v>-74.733599999999996</v>
      </c>
      <c r="Z1262" s="6">
        <v>16</v>
      </c>
      <c r="AB1262" s="7" t="s">
        <v>5590</v>
      </c>
    </row>
    <row r="1263" spans="1:28" ht="21.75" customHeight="1" x14ac:dyDescent="0.2">
      <c r="A1263" s="7" t="s">
        <v>5555</v>
      </c>
      <c r="B1263" s="7" t="s">
        <v>5556</v>
      </c>
      <c r="C1263" s="7" t="s">
        <v>4494</v>
      </c>
      <c r="D1263" s="7" t="s">
        <v>5558</v>
      </c>
      <c r="E1263" s="7" t="s">
        <v>33</v>
      </c>
      <c r="F1263" s="7" t="s">
        <v>212</v>
      </c>
      <c r="G1263" s="7" t="s">
        <v>4908</v>
      </c>
      <c r="H1263" s="1" t="s">
        <v>7010</v>
      </c>
      <c r="I1263" s="7">
        <v>1.5</v>
      </c>
      <c r="J1263" s="2" t="s">
        <v>5586</v>
      </c>
      <c r="K1263" s="2" t="s">
        <v>4410</v>
      </c>
      <c r="L1263" s="6">
        <v>1143</v>
      </c>
      <c r="M1263" s="6" t="s">
        <v>5589</v>
      </c>
      <c r="O1263" s="45" t="s">
        <v>4111</v>
      </c>
      <c r="Q1263" s="2" t="s">
        <v>2949</v>
      </c>
      <c r="R1263" s="7" t="s">
        <v>5591</v>
      </c>
      <c r="X1263" s="7">
        <v>39.727800000000002</v>
      </c>
      <c r="Y1263" s="5">
        <v>-74.571799999999996</v>
      </c>
      <c r="Z1263" s="6">
        <v>15</v>
      </c>
      <c r="AA1263" s="7" t="s">
        <v>5588</v>
      </c>
      <c r="AB1263" s="7" t="s">
        <v>5599</v>
      </c>
    </row>
    <row r="1264" spans="1:28" s="8" customFormat="1" ht="21.75" customHeight="1" x14ac:dyDescent="0.2">
      <c r="A1264" s="8" t="s">
        <v>283</v>
      </c>
      <c r="B1264" s="8" t="s">
        <v>4238</v>
      </c>
      <c r="C1264" s="8" t="s">
        <v>284</v>
      </c>
      <c r="D1264" s="8" t="s">
        <v>285</v>
      </c>
      <c r="E1264" s="8" t="s">
        <v>263</v>
      </c>
      <c r="F1264" s="8" t="s">
        <v>285</v>
      </c>
      <c r="H1264" s="3"/>
      <c r="I1264" s="8">
        <v>0.65</v>
      </c>
      <c r="J1264" s="8" t="s">
        <v>4367</v>
      </c>
      <c r="K1264" s="8" t="s">
        <v>4410</v>
      </c>
      <c r="L1264" s="14">
        <v>3500</v>
      </c>
      <c r="M1264" s="14"/>
      <c r="N1264" s="14"/>
      <c r="O1264" s="110" t="s">
        <v>290</v>
      </c>
      <c r="P1264" s="4"/>
      <c r="R1264" s="8" t="s">
        <v>289</v>
      </c>
      <c r="S1264" s="8" t="s">
        <v>300</v>
      </c>
      <c r="T1264" s="8" t="s">
        <v>301</v>
      </c>
      <c r="X1264" s="13">
        <v>1.8986000000000001</v>
      </c>
      <c r="Y1264" s="13">
        <v>-67.051000000000002</v>
      </c>
      <c r="Z1264" s="14">
        <v>95</v>
      </c>
      <c r="AA1264" s="8" t="s">
        <v>297</v>
      </c>
    </row>
    <row r="1265" spans="1:29" s="8" customFormat="1" ht="21.75" customHeight="1" x14ac:dyDescent="0.2">
      <c r="A1265" s="8" t="s">
        <v>283</v>
      </c>
      <c r="B1265" s="8" t="s">
        <v>4238</v>
      </c>
      <c r="C1265" s="8" t="s">
        <v>284</v>
      </c>
      <c r="D1265" s="8" t="s">
        <v>286</v>
      </c>
      <c r="E1265" s="8" t="s">
        <v>263</v>
      </c>
      <c r="F1265" s="8" t="s">
        <v>286</v>
      </c>
      <c r="H1265" s="3"/>
      <c r="I1265" s="8">
        <v>0.55000000000000004</v>
      </c>
      <c r="J1265" s="8" t="s">
        <v>4367</v>
      </c>
      <c r="K1265" s="8" t="s">
        <v>4410</v>
      </c>
      <c r="L1265" s="14">
        <v>3500</v>
      </c>
      <c r="M1265" s="14"/>
      <c r="N1265" s="14"/>
      <c r="O1265" s="110" t="s">
        <v>302</v>
      </c>
      <c r="P1265" s="4"/>
      <c r="R1265" s="8" t="s">
        <v>289</v>
      </c>
      <c r="S1265" s="8" t="s">
        <v>300</v>
      </c>
      <c r="T1265" s="8" t="s">
        <v>301</v>
      </c>
      <c r="X1265" s="13">
        <v>1.8989</v>
      </c>
      <c r="Y1265" s="13">
        <v>-67.050399999999996</v>
      </c>
      <c r="Z1265" s="14">
        <v>92</v>
      </c>
      <c r="AA1265" s="8" t="s">
        <v>298</v>
      </c>
    </row>
    <row r="1266" spans="1:29" s="8" customFormat="1" ht="21.75" customHeight="1" x14ac:dyDescent="0.2">
      <c r="A1266" s="8" t="s">
        <v>283</v>
      </c>
      <c r="B1266" s="8" t="s">
        <v>4238</v>
      </c>
      <c r="C1266" s="8" t="s">
        <v>284</v>
      </c>
      <c r="D1266" s="8" t="s">
        <v>292</v>
      </c>
      <c r="E1266" s="8" t="s">
        <v>263</v>
      </c>
      <c r="F1266" s="8" t="s">
        <v>292</v>
      </c>
      <c r="H1266" s="3"/>
      <c r="I1266" s="8">
        <v>0.6</v>
      </c>
      <c r="J1266" s="8" t="s">
        <v>4367</v>
      </c>
      <c r="K1266" s="8" t="s">
        <v>4410</v>
      </c>
      <c r="L1266" s="14">
        <v>3500</v>
      </c>
      <c r="M1266" s="14"/>
      <c r="N1266" s="14"/>
      <c r="O1266" s="110" t="s">
        <v>291</v>
      </c>
      <c r="P1266" s="4"/>
      <c r="R1266" s="8" t="s">
        <v>295</v>
      </c>
      <c r="X1266" s="13">
        <v>1.8992</v>
      </c>
      <c r="Y1266" s="13">
        <v>-67.0501</v>
      </c>
      <c r="Z1266" s="14">
        <v>90</v>
      </c>
      <c r="AA1266" s="8" t="s">
        <v>299</v>
      </c>
    </row>
    <row r="1267" spans="1:29" s="8" customFormat="1" ht="21.75" customHeight="1" x14ac:dyDescent="0.2">
      <c r="A1267" s="8" t="s">
        <v>283</v>
      </c>
      <c r="B1267" s="8" t="s">
        <v>4238</v>
      </c>
      <c r="C1267" s="8" t="s">
        <v>284</v>
      </c>
      <c r="D1267" s="8" t="s">
        <v>287</v>
      </c>
      <c r="E1267" s="8" t="s">
        <v>263</v>
      </c>
      <c r="F1267" s="8" t="s">
        <v>287</v>
      </c>
      <c r="H1267" s="3"/>
      <c r="I1267" s="8">
        <v>0.6</v>
      </c>
      <c r="J1267" s="8" t="s">
        <v>4367</v>
      </c>
      <c r="K1267" s="8" t="s">
        <v>4410</v>
      </c>
      <c r="L1267" s="14">
        <v>3500</v>
      </c>
      <c r="M1267" s="14"/>
      <c r="N1267" s="14"/>
      <c r="O1267" s="110" t="s">
        <v>302</v>
      </c>
      <c r="P1267" s="4"/>
      <c r="R1267" s="8" t="s">
        <v>295</v>
      </c>
      <c r="X1267" s="13">
        <v>1.8993</v>
      </c>
      <c r="Y1267" s="13">
        <v>-67.049700000000001</v>
      </c>
      <c r="Z1267" s="14">
        <v>89</v>
      </c>
      <c r="AA1267" s="8" t="s">
        <v>294</v>
      </c>
    </row>
    <row r="1268" spans="1:29" s="8" customFormat="1" ht="21.75" customHeight="1" x14ac:dyDescent="0.2">
      <c r="A1268" s="8" t="s">
        <v>283</v>
      </c>
      <c r="B1268" s="8" t="s">
        <v>4238</v>
      </c>
      <c r="C1268" s="8" t="s">
        <v>284</v>
      </c>
      <c r="D1268" s="8" t="s">
        <v>288</v>
      </c>
      <c r="E1268" s="8" t="s">
        <v>263</v>
      </c>
      <c r="F1268" s="8" t="s">
        <v>288</v>
      </c>
      <c r="H1268" s="3"/>
      <c r="I1268" s="8">
        <v>0.6</v>
      </c>
      <c r="J1268" s="8" t="s">
        <v>4367</v>
      </c>
      <c r="K1268" s="8" t="s">
        <v>4410</v>
      </c>
      <c r="L1268" s="14">
        <v>3500</v>
      </c>
      <c r="M1268" s="14"/>
      <c r="N1268" s="14"/>
      <c r="O1268" s="110" t="s">
        <v>293</v>
      </c>
      <c r="P1268" s="4"/>
      <c r="R1268" s="8" t="s">
        <v>296</v>
      </c>
      <c r="X1268" s="13">
        <v>1.8994</v>
      </c>
      <c r="Y1268" s="13">
        <v>-67.049199999999999</v>
      </c>
      <c r="Z1268" s="14">
        <v>90</v>
      </c>
      <c r="AA1268" s="8" t="s">
        <v>303</v>
      </c>
    </row>
    <row r="1269" spans="1:29" s="77" customFormat="1" ht="21.75" customHeight="1" x14ac:dyDescent="0.2">
      <c r="A1269" s="77" t="s">
        <v>7395</v>
      </c>
      <c r="B1269" s="77" t="s">
        <v>7396</v>
      </c>
      <c r="C1269" s="77" t="s">
        <v>7401</v>
      </c>
      <c r="D1269" s="77" t="s">
        <v>7397</v>
      </c>
      <c r="E1269" s="77" t="s">
        <v>280</v>
      </c>
      <c r="F1269" s="77" t="s">
        <v>806</v>
      </c>
      <c r="H1269" s="78" t="s">
        <v>7402</v>
      </c>
      <c r="I1269" s="77" t="s">
        <v>7403</v>
      </c>
      <c r="J1269" s="77" t="s">
        <v>4367</v>
      </c>
      <c r="K1269" s="77" t="s">
        <v>5713</v>
      </c>
      <c r="L1269" s="79">
        <v>1180</v>
      </c>
      <c r="M1269" s="79" t="s">
        <v>7400</v>
      </c>
      <c r="N1269" s="79"/>
      <c r="O1269" s="111" t="s">
        <v>7430</v>
      </c>
      <c r="P1269" s="80" t="s">
        <v>7426</v>
      </c>
      <c r="R1269" s="77" t="s">
        <v>7423</v>
      </c>
      <c r="X1269" s="81">
        <f>-(19+42.7/3600)</f>
        <v>-19.011861111111113</v>
      </c>
      <c r="Y1269" s="81">
        <f>-(56+38/60+29.5/3600)</f>
        <v>-56.641527777777775</v>
      </c>
      <c r="Z1269" s="79">
        <v>103</v>
      </c>
      <c r="AA1269" s="140" t="s">
        <v>7425</v>
      </c>
      <c r="AB1269" s="77" t="s">
        <v>7404</v>
      </c>
      <c r="AC1269" s="77">
        <v>6</v>
      </c>
    </row>
    <row r="1270" spans="1:29" s="77" customFormat="1" ht="21.75" customHeight="1" x14ac:dyDescent="0.2">
      <c r="A1270" s="77" t="s">
        <v>7395</v>
      </c>
      <c r="B1270" s="77" t="s">
        <v>7396</v>
      </c>
      <c r="C1270" s="77" t="s">
        <v>7401</v>
      </c>
      <c r="D1270" s="77" t="s">
        <v>7397</v>
      </c>
      <c r="E1270" s="77" t="s">
        <v>263</v>
      </c>
      <c r="F1270" s="77" t="s">
        <v>212</v>
      </c>
      <c r="H1270" s="78" t="s">
        <v>7405</v>
      </c>
      <c r="I1270" s="77">
        <v>1</v>
      </c>
      <c r="J1270" s="77" t="s">
        <v>4367</v>
      </c>
      <c r="K1270" s="77" t="s">
        <v>4480</v>
      </c>
      <c r="L1270" s="79">
        <v>1180</v>
      </c>
      <c r="M1270" s="79" t="s">
        <v>7400</v>
      </c>
      <c r="N1270" s="79"/>
      <c r="O1270" s="111" t="s">
        <v>7430</v>
      </c>
      <c r="P1270" s="80" t="s">
        <v>7426</v>
      </c>
      <c r="Q1270" s="77">
        <v>1.75</v>
      </c>
      <c r="R1270" s="77" t="s">
        <v>7423</v>
      </c>
      <c r="X1270" s="81">
        <f t="shared" ref="X1270:X1278" si="13">-(19+42.7/3600)</f>
        <v>-19.011861111111113</v>
      </c>
      <c r="Y1270" s="81">
        <f t="shared" ref="Y1270:Y1278" si="14">-(56+38/60+29.5/3600)</f>
        <v>-56.641527777777775</v>
      </c>
      <c r="Z1270" s="79">
        <v>103</v>
      </c>
      <c r="AA1270" s="141"/>
      <c r="AC1270" s="77">
        <v>6</v>
      </c>
    </row>
    <row r="1271" spans="1:29" s="77" customFormat="1" ht="21.75" customHeight="1" x14ac:dyDescent="0.2">
      <c r="A1271" s="77" t="s">
        <v>7395</v>
      </c>
      <c r="B1271" s="77" t="s">
        <v>7396</v>
      </c>
      <c r="C1271" s="77" t="s">
        <v>7401</v>
      </c>
      <c r="D1271" s="77" t="s">
        <v>7397</v>
      </c>
      <c r="E1271" s="77" t="s">
        <v>263</v>
      </c>
      <c r="F1271" s="77" t="s">
        <v>212</v>
      </c>
      <c r="H1271" s="78" t="s">
        <v>7406</v>
      </c>
      <c r="I1271" s="77">
        <v>1.2</v>
      </c>
      <c r="J1271" s="77" t="s">
        <v>4367</v>
      </c>
      <c r="K1271" s="77" t="s">
        <v>5713</v>
      </c>
      <c r="L1271" s="79">
        <v>1180</v>
      </c>
      <c r="M1271" s="79" t="s">
        <v>7400</v>
      </c>
      <c r="N1271" s="79"/>
      <c r="O1271" s="111" t="s">
        <v>7430</v>
      </c>
      <c r="P1271" s="80" t="s">
        <v>7426</v>
      </c>
      <c r="Q1271" s="77">
        <v>1.75</v>
      </c>
      <c r="R1271" s="77" t="s">
        <v>7423</v>
      </c>
      <c r="X1271" s="81">
        <f t="shared" si="13"/>
        <v>-19.011861111111113</v>
      </c>
      <c r="Y1271" s="81">
        <f t="shared" si="14"/>
        <v>-56.641527777777775</v>
      </c>
      <c r="Z1271" s="79">
        <v>103</v>
      </c>
      <c r="AA1271" s="141"/>
      <c r="AC1271" s="77">
        <v>6</v>
      </c>
    </row>
    <row r="1272" spans="1:29" s="77" customFormat="1" ht="21.75" customHeight="1" x14ac:dyDescent="0.2">
      <c r="A1272" s="77" t="s">
        <v>7395</v>
      </c>
      <c r="B1272" s="77" t="s">
        <v>7396</v>
      </c>
      <c r="C1272" s="77" t="s">
        <v>7401</v>
      </c>
      <c r="D1272" s="77" t="s">
        <v>7397</v>
      </c>
      <c r="E1272" s="77" t="s">
        <v>263</v>
      </c>
      <c r="F1272" s="77" t="s">
        <v>212</v>
      </c>
      <c r="H1272" s="78" t="s">
        <v>7407</v>
      </c>
      <c r="I1272" s="77" t="s">
        <v>8019</v>
      </c>
      <c r="J1272" s="77" t="s">
        <v>4367</v>
      </c>
      <c r="K1272" s="77" t="s">
        <v>5713</v>
      </c>
      <c r="L1272" s="79">
        <v>1180</v>
      </c>
      <c r="M1272" s="79" t="s">
        <v>7400</v>
      </c>
      <c r="N1272" s="79"/>
      <c r="O1272" s="111" t="s">
        <v>7430</v>
      </c>
      <c r="P1272" s="80" t="s">
        <v>7426</v>
      </c>
      <c r="Q1272" s="77">
        <v>1.75</v>
      </c>
      <c r="R1272" s="77" t="s">
        <v>7423</v>
      </c>
      <c r="X1272" s="81">
        <f t="shared" si="13"/>
        <v>-19.011861111111113</v>
      </c>
      <c r="Y1272" s="81">
        <f t="shared" si="14"/>
        <v>-56.641527777777775</v>
      </c>
      <c r="Z1272" s="79">
        <v>103</v>
      </c>
      <c r="AA1272" s="141"/>
      <c r="AB1272" s="77" t="s">
        <v>7404</v>
      </c>
      <c r="AC1272" s="77">
        <v>6</v>
      </c>
    </row>
    <row r="1273" spans="1:29" s="77" customFormat="1" ht="21.75" customHeight="1" x14ac:dyDescent="0.2">
      <c r="A1273" s="77" t="s">
        <v>7395</v>
      </c>
      <c r="B1273" s="77" t="s">
        <v>7396</v>
      </c>
      <c r="C1273" s="77" t="s">
        <v>7401</v>
      </c>
      <c r="D1273" s="77" t="s">
        <v>7397</v>
      </c>
      <c r="E1273" s="77" t="s">
        <v>5049</v>
      </c>
      <c r="F1273" s="77" t="s">
        <v>212</v>
      </c>
      <c r="H1273" s="78" t="s">
        <v>7408</v>
      </c>
      <c r="I1273" s="77">
        <v>1</v>
      </c>
      <c r="J1273" s="77" t="s">
        <v>4367</v>
      </c>
      <c r="K1273" s="77" t="s">
        <v>5713</v>
      </c>
      <c r="L1273" s="79">
        <v>1180</v>
      </c>
      <c r="M1273" s="79" t="s">
        <v>7400</v>
      </c>
      <c r="N1273" s="79"/>
      <c r="O1273" s="111" t="s">
        <v>7430</v>
      </c>
      <c r="P1273" s="80" t="s">
        <v>7426</v>
      </c>
      <c r="Q1273" s="77">
        <v>1.75</v>
      </c>
      <c r="R1273" s="77" t="s">
        <v>7423</v>
      </c>
      <c r="X1273" s="81">
        <f t="shared" si="13"/>
        <v>-19.011861111111113</v>
      </c>
      <c r="Y1273" s="81">
        <f t="shared" si="14"/>
        <v>-56.641527777777775</v>
      </c>
      <c r="Z1273" s="79">
        <v>103</v>
      </c>
      <c r="AA1273" s="141"/>
      <c r="AC1273" s="77">
        <v>6</v>
      </c>
    </row>
    <row r="1274" spans="1:29" s="77" customFormat="1" ht="21.75" customHeight="1" x14ac:dyDescent="0.2">
      <c r="A1274" s="77" t="s">
        <v>7395</v>
      </c>
      <c r="B1274" s="77" t="s">
        <v>7396</v>
      </c>
      <c r="C1274" s="77" t="s">
        <v>7401</v>
      </c>
      <c r="D1274" s="77" t="s">
        <v>7397</v>
      </c>
      <c r="E1274" s="77" t="s">
        <v>263</v>
      </c>
      <c r="F1274" s="77" t="s">
        <v>212</v>
      </c>
      <c r="H1274" s="78" t="s">
        <v>7409</v>
      </c>
      <c r="I1274" s="77" t="s">
        <v>8020</v>
      </c>
      <c r="J1274" s="77" t="s">
        <v>4367</v>
      </c>
      <c r="K1274" s="77" t="s">
        <v>4480</v>
      </c>
      <c r="L1274" s="79">
        <v>1180</v>
      </c>
      <c r="M1274" s="79" t="s">
        <v>7400</v>
      </c>
      <c r="N1274" s="79"/>
      <c r="O1274" s="111" t="s">
        <v>7430</v>
      </c>
      <c r="P1274" s="80" t="s">
        <v>7426</v>
      </c>
      <c r="Q1274" s="77">
        <v>1.75</v>
      </c>
      <c r="R1274" s="77" t="s">
        <v>7423</v>
      </c>
      <c r="X1274" s="81">
        <f t="shared" si="13"/>
        <v>-19.011861111111113</v>
      </c>
      <c r="Y1274" s="81">
        <f t="shared" si="14"/>
        <v>-56.641527777777775</v>
      </c>
      <c r="Z1274" s="79">
        <v>103</v>
      </c>
      <c r="AA1274" s="141"/>
      <c r="AC1274" s="77">
        <v>6</v>
      </c>
    </row>
    <row r="1275" spans="1:29" s="77" customFormat="1" ht="21.75" customHeight="1" x14ac:dyDescent="0.2">
      <c r="A1275" s="77" t="s">
        <v>7395</v>
      </c>
      <c r="B1275" s="77" t="s">
        <v>7396</v>
      </c>
      <c r="C1275" s="77" t="s">
        <v>7401</v>
      </c>
      <c r="D1275" s="77" t="s">
        <v>7397</v>
      </c>
      <c r="E1275" s="77" t="s">
        <v>263</v>
      </c>
      <c r="F1275" s="77" t="s">
        <v>212</v>
      </c>
      <c r="H1275" s="78" t="s">
        <v>7410</v>
      </c>
      <c r="I1275" s="77">
        <v>1</v>
      </c>
      <c r="J1275" s="77" t="s">
        <v>4367</v>
      </c>
      <c r="K1275" s="77" t="s">
        <v>4480</v>
      </c>
      <c r="L1275" s="79">
        <v>1180</v>
      </c>
      <c r="M1275" s="79" t="s">
        <v>7400</v>
      </c>
      <c r="N1275" s="79"/>
      <c r="O1275" s="111" t="s">
        <v>7430</v>
      </c>
      <c r="P1275" s="80" t="s">
        <v>7426</v>
      </c>
      <c r="Q1275" s="77">
        <v>1.75</v>
      </c>
      <c r="R1275" s="77" t="s">
        <v>7423</v>
      </c>
      <c r="X1275" s="81">
        <f t="shared" si="13"/>
        <v>-19.011861111111113</v>
      </c>
      <c r="Y1275" s="81">
        <f t="shared" si="14"/>
        <v>-56.641527777777775</v>
      </c>
      <c r="Z1275" s="79">
        <v>103</v>
      </c>
      <c r="AA1275" s="141"/>
      <c r="AC1275" s="77">
        <v>6</v>
      </c>
    </row>
    <row r="1276" spans="1:29" s="77" customFormat="1" ht="21.75" customHeight="1" x14ac:dyDescent="0.2">
      <c r="A1276" s="77" t="s">
        <v>7395</v>
      </c>
      <c r="B1276" s="77" t="s">
        <v>7396</v>
      </c>
      <c r="C1276" s="77" t="s">
        <v>7401</v>
      </c>
      <c r="D1276" s="77" t="s">
        <v>7397</v>
      </c>
      <c r="E1276" s="77" t="s">
        <v>5049</v>
      </c>
      <c r="F1276" s="77" t="s">
        <v>212</v>
      </c>
      <c r="H1276" s="78" t="s">
        <v>7411</v>
      </c>
      <c r="I1276" s="77">
        <v>1</v>
      </c>
      <c r="J1276" s="77" t="s">
        <v>4367</v>
      </c>
      <c r="K1276" s="77" t="s">
        <v>4480</v>
      </c>
      <c r="L1276" s="79">
        <v>1180</v>
      </c>
      <c r="M1276" s="79" t="s">
        <v>7400</v>
      </c>
      <c r="N1276" s="79"/>
      <c r="O1276" s="111" t="s">
        <v>7430</v>
      </c>
      <c r="P1276" s="80" t="s">
        <v>7426</v>
      </c>
      <c r="Q1276" s="77">
        <v>1.75</v>
      </c>
      <c r="R1276" s="77" t="s">
        <v>7423</v>
      </c>
      <c r="X1276" s="81">
        <f t="shared" si="13"/>
        <v>-19.011861111111113</v>
      </c>
      <c r="Y1276" s="81">
        <f t="shared" si="14"/>
        <v>-56.641527777777775</v>
      </c>
      <c r="Z1276" s="79">
        <v>103</v>
      </c>
      <c r="AA1276" s="141"/>
      <c r="AC1276" s="77">
        <v>6</v>
      </c>
    </row>
    <row r="1277" spans="1:29" s="77" customFormat="1" ht="21.75" customHeight="1" x14ac:dyDescent="0.2">
      <c r="A1277" s="77" t="s">
        <v>7395</v>
      </c>
      <c r="B1277" s="77" t="s">
        <v>7396</v>
      </c>
      <c r="C1277" s="77" t="s">
        <v>7401</v>
      </c>
      <c r="D1277" s="77" t="s">
        <v>7397</v>
      </c>
      <c r="E1277" s="77" t="s">
        <v>280</v>
      </c>
      <c r="F1277" s="77" t="s">
        <v>212</v>
      </c>
      <c r="H1277" s="78" t="s">
        <v>7412</v>
      </c>
      <c r="I1277" s="77">
        <v>1.2</v>
      </c>
      <c r="J1277" s="77" t="s">
        <v>4367</v>
      </c>
      <c r="K1277" s="77" t="s">
        <v>4480</v>
      </c>
      <c r="L1277" s="79">
        <v>1180</v>
      </c>
      <c r="M1277" s="79" t="s">
        <v>7400</v>
      </c>
      <c r="N1277" s="79"/>
      <c r="O1277" s="111" t="s">
        <v>7430</v>
      </c>
      <c r="P1277" s="80" t="s">
        <v>7426</v>
      </c>
      <c r="Q1277" s="77">
        <v>1.75</v>
      </c>
      <c r="R1277" s="77" t="s">
        <v>7423</v>
      </c>
      <c r="X1277" s="81">
        <f t="shared" si="13"/>
        <v>-19.011861111111113</v>
      </c>
      <c r="Y1277" s="81">
        <f t="shared" si="14"/>
        <v>-56.641527777777775</v>
      </c>
      <c r="Z1277" s="79">
        <v>103</v>
      </c>
      <c r="AA1277" s="141"/>
      <c r="AC1277" s="77">
        <v>6</v>
      </c>
    </row>
    <row r="1278" spans="1:29" s="77" customFormat="1" ht="21.75" customHeight="1" x14ac:dyDescent="0.2">
      <c r="A1278" s="77" t="s">
        <v>7395</v>
      </c>
      <c r="B1278" s="77" t="s">
        <v>7396</v>
      </c>
      <c r="C1278" s="77" t="s">
        <v>7401</v>
      </c>
      <c r="D1278" s="77" t="s">
        <v>7397</v>
      </c>
      <c r="E1278" s="77" t="s">
        <v>280</v>
      </c>
      <c r="F1278" s="77" t="s">
        <v>212</v>
      </c>
      <c r="H1278" s="78" t="s">
        <v>7413</v>
      </c>
      <c r="I1278" s="77" t="s">
        <v>8021</v>
      </c>
      <c r="J1278" s="77" t="s">
        <v>4367</v>
      </c>
      <c r="K1278" s="77" t="s">
        <v>5713</v>
      </c>
      <c r="L1278" s="79">
        <v>1180</v>
      </c>
      <c r="M1278" s="79" t="s">
        <v>7400</v>
      </c>
      <c r="N1278" s="79"/>
      <c r="O1278" s="111" t="s">
        <v>7430</v>
      </c>
      <c r="P1278" s="80" t="s">
        <v>7426</v>
      </c>
      <c r="Q1278" s="77">
        <v>1.75</v>
      </c>
      <c r="R1278" s="77" t="s">
        <v>7423</v>
      </c>
      <c r="X1278" s="81">
        <f t="shared" si="13"/>
        <v>-19.011861111111113</v>
      </c>
      <c r="Y1278" s="81">
        <f t="shared" si="14"/>
        <v>-56.641527777777775</v>
      </c>
      <c r="Z1278" s="79">
        <v>103</v>
      </c>
      <c r="AA1278" s="141"/>
      <c r="AB1278" s="77" t="s">
        <v>7424</v>
      </c>
      <c r="AC1278" s="77">
        <v>6</v>
      </c>
    </row>
    <row r="1279" spans="1:29" s="77" customFormat="1" ht="21.75" customHeight="1" x14ac:dyDescent="0.2">
      <c r="A1279" s="77" t="s">
        <v>7395</v>
      </c>
      <c r="B1279" s="77" t="s">
        <v>7396</v>
      </c>
      <c r="C1279" s="77" t="s">
        <v>7401</v>
      </c>
      <c r="D1279" s="77" t="s">
        <v>7398</v>
      </c>
      <c r="E1279" s="77" t="s">
        <v>280</v>
      </c>
      <c r="F1279" s="77" t="s">
        <v>806</v>
      </c>
      <c r="H1279" s="78" t="s">
        <v>7414</v>
      </c>
      <c r="I1279" s="77" t="s">
        <v>8022</v>
      </c>
      <c r="J1279" s="77" t="s">
        <v>4367</v>
      </c>
      <c r="K1279" s="77" t="s">
        <v>4480</v>
      </c>
      <c r="L1279" s="79">
        <v>1180</v>
      </c>
      <c r="M1279" s="79" t="s">
        <v>7400</v>
      </c>
      <c r="N1279" s="79"/>
      <c r="O1279" s="111" t="s">
        <v>7429</v>
      </c>
      <c r="P1279" s="80" t="s">
        <v>7427</v>
      </c>
      <c r="Q1279" s="77">
        <v>1.25</v>
      </c>
      <c r="R1279" s="77" t="s">
        <v>7423</v>
      </c>
      <c r="X1279" s="81">
        <f>-(18+59/60+45/3600)</f>
        <v>-18.995833333333334</v>
      </c>
      <c r="Y1279" s="81">
        <f>-(56+39/60+44/3600)</f>
        <v>-56.662222222222219</v>
      </c>
      <c r="Z1279" s="79">
        <v>102</v>
      </c>
      <c r="AA1279" s="141"/>
      <c r="AB1279" s="77" t="s">
        <v>7415</v>
      </c>
      <c r="AC1279" s="77">
        <v>6</v>
      </c>
    </row>
    <row r="1280" spans="1:29" s="77" customFormat="1" ht="21.75" customHeight="1" x14ac:dyDescent="0.2">
      <c r="A1280" s="77" t="s">
        <v>7395</v>
      </c>
      <c r="B1280" s="77" t="s">
        <v>7396</v>
      </c>
      <c r="C1280" s="77" t="s">
        <v>7401</v>
      </c>
      <c r="D1280" s="77" t="s">
        <v>7398</v>
      </c>
      <c r="E1280" s="77" t="s">
        <v>280</v>
      </c>
      <c r="F1280" s="77" t="s">
        <v>212</v>
      </c>
      <c r="H1280" s="78" t="s">
        <v>7416</v>
      </c>
      <c r="I1280" s="77">
        <v>1</v>
      </c>
      <c r="J1280" s="77" t="s">
        <v>4367</v>
      </c>
      <c r="K1280" s="77" t="s">
        <v>4480</v>
      </c>
      <c r="L1280" s="79">
        <v>1180</v>
      </c>
      <c r="M1280" s="79" t="s">
        <v>7400</v>
      </c>
      <c r="N1280" s="79"/>
      <c r="O1280" s="111" t="s">
        <v>7429</v>
      </c>
      <c r="P1280" s="80" t="s">
        <v>7427</v>
      </c>
      <c r="Q1280" s="77">
        <v>1.25</v>
      </c>
      <c r="R1280" s="77" t="s">
        <v>7423</v>
      </c>
      <c r="X1280" s="81">
        <f t="shared" ref="X1280:X1286" si="15">-(18+59/60+45/3600)</f>
        <v>-18.995833333333334</v>
      </c>
      <c r="Y1280" s="81">
        <f t="shared" ref="Y1280:Y1286" si="16">-(56+39/60+44/3600)</f>
        <v>-56.662222222222219</v>
      </c>
      <c r="Z1280" s="79">
        <v>102</v>
      </c>
      <c r="AA1280" s="141"/>
      <c r="AC1280" s="77">
        <v>6</v>
      </c>
    </row>
    <row r="1281" spans="1:29" s="77" customFormat="1" ht="21.75" customHeight="1" x14ac:dyDescent="0.2">
      <c r="A1281" s="77" t="s">
        <v>7395</v>
      </c>
      <c r="B1281" s="77" t="s">
        <v>7396</v>
      </c>
      <c r="C1281" s="77" t="s">
        <v>7401</v>
      </c>
      <c r="D1281" s="77" t="s">
        <v>7398</v>
      </c>
      <c r="E1281" s="77" t="s">
        <v>263</v>
      </c>
      <c r="F1281" s="77" t="s">
        <v>806</v>
      </c>
      <c r="H1281" s="78" t="s">
        <v>7417</v>
      </c>
      <c r="I1281" s="77" t="s">
        <v>8023</v>
      </c>
      <c r="J1281" s="77" t="s">
        <v>4367</v>
      </c>
      <c r="K1281" s="77" t="s">
        <v>5713</v>
      </c>
      <c r="L1281" s="79">
        <v>1180</v>
      </c>
      <c r="M1281" s="79" t="s">
        <v>7400</v>
      </c>
      <c r="N1281" s="79"/>
      <c r="O1281" s="111" t="s">
        <v>7429</v>
      </c>
      <c r="P1281" s="80" t="s">
        <v>7427</v>
      </c>
      <c r="Q1281" s="77">
        <v>1.25</v>
      </c>
      <c r="R1281" s="77" t="s">
        <v>7423</v>
      </c>
      <c r="X1281" s="81">
        <f t="shared" si="15"/>
        <v>-18.995833333333334</v>
      </c>
      <c r="Y1281" s="81">
        <f t="shared" si="16"/>
        <v>-56.662222222222219</v>
      </c>
      <c r="Z1281" s="79">
        <v>102</v>
      </c>
      <c r="AA1281" s="141"/>
      <c r="AB1281" s="77" t="s">
        <v>7404</v>
      </c>
      <c r="AC1281" s="77">
        <v>6</v>
      </c>
    </row>
    <row r="1282" spans="1:29" s="77" customFormat="1" ht="21.75" customHeight="1" x14ac:dyDescent="0.2">
      <c r="A1282" s="77" t="s">
        <v>7395</v>
      </c>
      <c r="B1282" s="77" t="s">
        <v>7396</v>
      </c>
      <c r="C1282" s="77" t="s">
        <v>7401</v>
      </c>
      <c r="D1282" s="77" t="s">
        <v>7398</v>
      </c>
      <c r="E1282" s="77" t="s">
        <v>280</v>
      </c>
      <c r="F1282" s="77" t="s">
        <v>212</v>
      </c>
      <c r="H1282" s="78" t="s">
        <v>7418</v>
      </c>
      <c r="I1282" s="77">
        <v>0.7</v>
      </c>
      <c r="J1282" s="77" t="s">
        <v>4367</v>
      </c>
      <c r="K1282" s="77" t="s">
        <v>4480</v>
      </c>
      <c r="L1282" s="79">
        <v>1180</v>
      </c>
      <c r="M1282" s="79" t="s">
        <v>7400</v>
      </c>
      <c r="N1282" s="79"/>
      <c r="O1282" s="111" t="s">
        <v>7429</v>
      </c>
      <c r="P1282" s="80" t="s">
        <v>7427</v>
      </c>
      <c r="Q1282" s="77">
        <v>1.25</v>
      </c>
      <c r="R1282" s="77" t="s">
        <v>7423</v>
      </c>
      <c r="X1282" s="81">
        <f t="shared" si="15"/>
        <v>-18.995833333333334</v>
      </c>
      <c r="Y1282" s="81">
        <f t="shared" si="16"/>
        <v>-56.662222222222219</v>
      </c>
      <c r="Z1282" s="79">
        <v>102</v>
      </c>
      <c r="AA1282" s="141"/>
      <c r="AB1282" s="140" t="s">
        <v>7428</v>
      </c>
      <c r="AC1282" s="77">
        <v>6</v>
      </c>
    </row>
    <row r="1283" spans="1:29" s="77" customFormat="1" ht="21.75" customHeight="1" x14ac:dyDescent="0.2">
      <c r="A1283" s="77" t="s">
        <v>7395</v>
      </c>
      <c r="B1283" s="77" t="s">
        <v>7396</v>
      </c>
      <c r="C1283" s="77" t="s">
        <v>7401</v>
      </c>
      <c r="D1283" s="77" t="s">
        <v>7398</v>
      </c>
      <c r="E1283" s="77" t="s">
        <v>280</v>
      </c>
      <c r="F1283" s="77" t="s">
        <v>212</v>
      </c>
      <c r="H1283" s="78" t="s">
        <v>7419</v>
      </c>
      <c r="I1283" s="77">
        <v>0.5</v>
      </c>
      <c r="J1283" s="77" t="s">
        <v>4367</v>
      </c>
      <c r="K1283" s="77" t="s">
        <v>4480</v>
      </c>
      <c r="L1283" s="79">
        <v>1180</v>
      </c>
      <c r="M1283" s="79" t="s">
        <v>7400</v>
      </c>
      <c r="N1283" s="79"/>
      <c r="O1283" s="111" t="s">
        <v>7429</v>
      </c>
      <c r="P1283" s="80" t="s">
        <v>7427</v>
      </c>
      <c r="Q1283" s="77">
        <v>1.25</v>
      </c>
      <c r="R1283" s="77" t="s">
        <v>7423</v>
      </c>
      <c r="X1283" s="81">
        <f t="shared" si="15"/>
        <v>-18.995833333333334</v>
      </c>
      <c r="Y1283" s="81">
        <f t="shared" si="16"/>
        <v>-56.662222222222219</v>
      </c>
      <c r="Z1283" s="79">
        <v>102</v>
      </c>
      <c r="AA1283" s="141"/>
      <c r="AB1283" s="141"/>
      <c r="AC1283" s="77">
        <v>6</v>
      </c>
    </row>
    <row r="1284" spans="1:29" s="77" customFormat="1" ht="21.75" customHeight="1" x14ac:dyDescent="0.2">
      <c r="A1284" s="77" t="s">
        <v>7395</v>
      </c>
      <c r="B1284" s="77" t="s">
        <v>7396</v>
      </c>
      <c r="C1284" s="77" t="s">
        <v>7401</v>
      </c>
      <c r="D1284" s="77" t="s">
        <v>7398</v>
      </c>
      <c r="E1284" s="77" t="s">
        <v>263</v>
      </c>
      <c r="F1284" s="77" t="s">
        <v>212</v>
      </c>
      <c r="H1284" s="78" t="s">
        <v>7420</v>
      </c>
      <c r="I1284" s="77">
        <v>0.6</v>
      </c>
      <c r="J1284" s="77" t="s">
        <v>4367</v>
      </c>
      <c r="K1284" s="77" t="s">
        <v>5713</v>
      </c>
      <c r="L1284" s="79">
        <v>1180</v>
      </c>
      <c r="M1284" s="79" t="s">
        <v>7400</v>
      </c>
      <c r="N1284" s="79"/>
      <c r="O1284" s="111" t="s">
        <v>7429</v>
      </c>
      <c r="P1284" s="80" t="s">
        <v>7427</v>
      </c>
      <c r="Q1284" s="77">
        <v>1.25</v>
      </c>
      <c r="R1284" s="77" t="s">
        <v>7423</v>
      </c>
      <c r="X1284" s="81">
        <f t="shared" si="15"/>
        <v>-18.995833333333334</v>
      </c>
      <c r="Y1284" s="81">
        <f t="shared" si="16"/>
        <v>-56.662222222222219</v>
      </c>
      <c r="Z1284" s="79">
        <v>102</v>
      </c>
      <c r="AA1284" s="141"/>
      <c r="AB1284" s="141"/>
      <c r="AC1284" s="77">
        <v>6</v>
      </c>
    </row>
    <row r="1285" spans="1:29" s="77" customFormat="1" ht="21.75" customHeight="1" x14ac:dyDescent="0.2">
      <c r="A1285" s="77" t="s">
        <v>7395</v>
      </c>
      <c r="B1285" s="77" t="s">
        <v>7396</v>
      </c>
      <c r="C1285" s="77" t="s">
        <v>7401</v>
      </c>
      <c r="D1285" s="77" t="s">
        <v>7398</v>
      </c>
      <c r="E1285" s="77" t="s">
        <v>280</v>
      </c>
      <c r="F1285" s="77" t="s">
        <v>212</v>
      </c>
      <c r="H1285" s="78" t="s">
        <v>7421</v>
      </c>
      <c r="I1285" s="77">
        <v>0.7</v>
      </c>
      <c r="J1285" s="77" t="s">
        <v>4367</v>
      </c>
      <c r="K1285" s="77" t="s">
        <v>4480</v>
      </c>
      <c r="L1285" s="79">
        <v>1180</v>
      </c>
      <c r="M1285" s="79" t="s">
        <v>7400</v>
      </c>
      <c r="N1285" s="79"/>
      <c r="O1285" s="111" t="s">
        <v>7429</v>
      </c>
      <c r="P1285" s="80" t="s">
        <v>7427</v>
      </c>
      <c r="Q1285" s="77">
        <v>1.25</v>
      </c>
      <c r="R1285" s="77" t="s">
        <v>7423</v>
      </c>
      <c r="X1285" s="81">
        <f t="shared" si="15"/>
        <v>-18.995833333333334</v>
      </c>
      <c r="Y1285" s="81">
        <f t="shared" si="16"/>
        <v>-56.662222222222219</v>
      </c>
      <c r="Z1285" s="79">
        <v>102</v>
      </c>
      <c r="AA1285" s="141"/>
      <c r="AB1285" s="141"/>
      <c r="AC1285" s="77">
        <v>6</v>
      </c>
    </row>
    <row r="1286" spans="1:29" s="77" customFormat="1" ht="21.75" customHeight="1" x14ac:dyDescent="0.2">
      <c r="A1286" s="77" t="s">
        <v>7395</v>
      </c>
      <c r="B1286" s="77" t="s">
        <v>7396</v>
      </c>
      <c r="C1286" s="77" t="s">
        <v>7401</v>
      </c>
      <c r="D1286" s="77" t="s">
        <v>7398</v>
      </c>
      <c r="E1286" s="77" t="s">
        <v>280</v>
      </c>
      <c r="F1286" s="77" t="s">
        <v>212</v>
      </c>
      <c r="H1286" s="78" t="s">
        <v>7422</v>
      </c>
      <c r="I1286" s="77">
        <v>1.1000000000000001</v>
      </c>
      <c r="J1286" s="77" t="s">
        <v>4367</v>
      </c>
      <c r="K1286" s="77" t="s">
        <v>4480</v>
      </c>
      <c r="L1286" s="79">
        <v>1180</v>
      </c>
      <c r="M1286" s="79" t="s">
        <v>7400</v>
      </c>
      <c r="N1286" s="79"/>
      <c r="O1286" s="111" t="s">
        <v>7429</v>
      </c>
      <c r="P1286" s="80" t="s">
        <v>7427</v>
      </c>
      <c r="Q1286" s="77">
        <v>1.25</v>
      </c>
      <c r="R1286" s="77" t="s">
        <v>7423</v>
      </c>
      <c r="X1286" s="81">
        <f t="shared" si="15"/>
        <v>-18.995833333333334</v>
      </c>
      <c r="Y1286" s="81">
        <f t="shared" si="16"/>
        <v>-56.662222222222219</v>
      </c>
      <c r="Z1286" s="79">
        <v>102</v>
      </c>
      <c r="AA1286" s="142"/>
      <c r="AB1286" s="142"/>
      <c r="AC1286" s="77">
        <v>6</v>
      </c>
    </row>
    <row r="1287" spans="1:29" s="8" customFormat="1" ht="21.75" customHeight="1" x14ac:dyDescent="0.2">
      <c r="A1287" s="8" t="s">
        <v>1899</v>
      </c>
      <c r="B1287" s="8" t="s">
        <v>918</v>
      </c>
      <c r="C1287" s="8" t="s">
        <v>1901</v>
      </c>
      <c r="D1287" s="8" t="s">
        <v>1900</v>
      </c>
      <c r="E1287" s="8" t="s">
        <v>33</v>
      </c>
      <c r="F1287" s="8" t="s">
        <v>212</v>
      </c>
      <c r="G1287" s="8" t="s">
        <v>1902</v>
      </c>
      <c r="H1287" s="3" t="s">
        <v>1903</v>
      </c>
      <c r="I1287" s="4">
        <v>0.27</v>
      </c>
      <c r="J1287" s="4" t="s">
        <v>4367</v>
      </c>
      <c r="K1287" s="4" t="s">
        <v>4410</v>
      </c>
      <c r="L1287" s="14"/>
      <c r="M1287" s="14"/>
      <c r="N1287" s="14"/>
      <c r="O1287" s="110" t="s">
        <v>1908</v>
      </c>
      <c r="P1287" s="4"/>
      <c r="Q1287" s="4">
        <v>0.3</v>
      </c>
      <c r="R1287" s="8" t="s">
        <v>1906</v>
      </c>
      <c r="X1287" s="13">
        <v>46.238700000000001</v>
      </c>
      <c r="Y1287" s="13">
        <v>-89.078000000000003</v>
      </c>
      <c r="Z1287" s="14">
        <v>508</v>
      </c>
      <c r="AA1287" s="8" t="s">
        <v>1910</v>
      </c>
      <c r="AB1287" s="8" t="s">
        <v>1912</v>
      </c>
    </row>
    <row r="1288" spans="1:29" s="8" customFormat="1" ht="21.75" customHeight="1" x14ac:dyDescent="0.2">
      <c r="A1288" s="8" t="s">
        <v>1899</v>
      </c>
      <c r="B1288" s="8" t="s">
        <v>918</v>
      </c>
      <c r="C1288" s="8" t="s">
        <v>1901</v>
      </c>
      <c r="D1288" s="8" t="s">
        <v>1900</v>
      </c>
      <c r="E1288" s="8" t="s">
        <v>33</v>
      </c>
      <c r="F1288" s="8" t="s">
        <v>212</v>
      </c>
      <c r="G1288" s="8" t="s">
        <v>1904</v>
      </c>
      <c r="H1288" s="3" t="s">
        <v>1905</v>
      </c>
      <c r="I1288" s="4">
        <v>0.54</v>
      </c>
      <c r="J1288" s="4" t="s">
        <v>4367</v>
      </c>
      <c r="K1288" s="4" t="s">
        <v>4410</v>
      </c>
      <c r="L1288" s="14"/>
      <c r="M1288" s="14"/>
      <c r="N1288" s="14"/>
      <c r="O1288" s="110" t="s">
        <v>1909</v>
      </c>
      <c r="P1288" s="4"/>
      <c r="Q1288" s="8">
        <v>0.55000000000000004</v>
      </c>
      <c r="R1288" s="8" t="s">
        <v>1907</v>
      </c>
      <c r="X1288" s="13">
        <v>46.2408</v>
      </c>
      <c r="Y1288" s="13">
        <v>-89.076999999999998</v>
      </c>
      <c r="Z1288" s="14">
        <v>515</v>
      </c>
      <c r="AA1288" s="8" t="s">
        <v>1911</v>
      </c>
      <c r="AB1288" s="8" t="s">
        <v>1913</v>
      </c>
    </row>
    <row r="1289" spans="1:29" ht="21.75" customHeight="1" x14ac:dyDescent="0.2">
      <c r="A1289" s="7" t="s">
        <v>4291</v>
      </c>
      <c r="B1289" s="7" t="s">
        <v>3992</v>
      </c>
      <c r="C1289" s="7" t="s">
        <v>2842</v>
      </c>
      <c r="D1289" s="7" t="s">
        <v>4298</v>
      </c>
      <c r="E1289" s="7" t="s">
        <v>280</v>
      </c>
      <c r="F1289" s="7" t="s">
        <v>212</v>
      </c>
      <c r="G1289" s="7" t="s">
        <v>4294</v>
      </c>
      <c r="H1289" s="1" t="s">
        <v>4296</v>
      </c>
      <c r="I1289" s="7">
        <v>1</v>
      </c>
      <c r="J1289" s="2" t="s">
        <v>4293</v>
      </c>
      <c r="K1289" s="2" t="s">
        <v>4292</v>
      </c>
      <c r="L1289" s="6">
        <v>843</v>
      </c>
      <c r="M1289" s="6" t="s">
        <v>4302</v>
      </c>
      <c r="O1289" s="45" t="s">
        <v>4000</v>
      </c>
      <c r="Q1289" s="7" t="s">
        <v>4305</v>
      </c>
      <c r="R1289" s="7" t="s">
        <v>4301</v>
      </c>
      <c r="S1289" s="7" t="s">
        <v>4300</v>
      </c>
      <c r="T1289" s="7">
        <v>0.6</v>
      </c>
      <c r="X1289" s="5">
        <v>48.097499999999997</v>
      </c>
      <c r="Y1289" s="5">
        <v>15.6633</v>
      </c>
      <c r="Z1289" s="6">
        <v>480</v>
      </c>
      <c r="AA1289" s="7" t="s">
        <v>4304</v>
      </c>
      <c r="AB1289" s="134" t="s">
        <v>4303</v>
      </c>
    </row>
    <row r="1290" spans="1:29" ht="21.75" customHeight="1" x14ac:dyDescent="0.2">
      <c r="A1290" s="7" t="s">
        <v>4291</v>
      </c>
      <c r="B1290" s="7" t="s">
        <v>3992</v>
      </c>
      <c r="C1290" s="7" t="s">
        <v>2842</v>
      </c>
      <c r="D1290" s="7" t="s">
        <v>4298</v>
      </c>
      <c r="E1290" s="7" t="s">
        <v>33</v>
      </c>
      <c r="F1290" s="7" t="s">
        <v>212</v>
      </c>
      <c r="G1290" s="7" t="s">
        <v>4295</v>
      </c>
      <c r="H1290" s="1" t="s">
        <v>3994</v>
      </c>
      <c r="I1290" s="2">
        <v>0.8</v>
      </c>
      <c r="J1290" s="2" t="s">
        <v>4293</v>
      </c>
      <c r="K1290" s="2" t="s">
        <v>4292</v>
      </c>
      <c r="L1290" s="6">
        <v>843</v>
      </c>
      <c r="M1290" s="6" t="s">
        <v>4302</v>
      </c>
      <c r="O1290" s="45" t="s">
        <v>4000</v>
      </c>
      <c r="Q1290" s="7" t="s">
        <v>4305</v>
      </c>
      <c r="R1290" s="7" t="s">
        <v>4301</v>
      </c>
      <c r="S1290" s="7" t="s">
        <v>4300</v>
      </c>
      <c r="T1290" s="7">
        <v>0.6</v>
      </c>
      <c r="X1290" s="5">
        <v>48.097499999999997</v>
      </c>
      <c r="Y1290" s="5">
        <v>15.6633</v>
      </c>
      <c r="Z1290" s="6">
        <v>480</v>
      </c>
      <c r="AA1290" s="7" t="s">
        <v>4299</v>
      </c>
      <c r="AB1290" s="135"/>
    </row>
    <row r="1291" spans="1:29" s="8" customFormat="1" ht="21.75" customHeight="1" x14ac:dyDescent="0.2">
      <c r="A1291" s="8" t="s">
        <v>3991</v>
      </c>
      <c r="B1291" s="8" t="s">
        <v>3992</v>
      </c>
      <c r="C1291" s="8" t="s">
        <v>2842</v>
      </c>
      <c r="D1291" s="8" t="s">
        <v>4297</v>
      </c>
      <c r="E1291" s="8" t="s">
        <v>280</v>
      </c>
      <c r="F1291" s="8" t="s">
        <v>212</v>
      </c>
      <c r="G1291" s="8" t="s">
        <v>3996</v>
      </c>
      <c r="H1291" s="3" t="s">
        <v>3993</v>
      </c>
      <c r="I1291" s="4">
        <v>1</v>
      </c>
      <c r="J1291" s="4" t="s">
        <v>4293</v>
      </c>
      <c r="K1291" s="4" t="s">
        <v>4292</v>
      </c>
      <c r="L1291" s="14">
        <v>843</v>
      </c>
      <c r="M1291" s="14" t="s">
        <v>4302</v>
      </c>
      <c r="N1291" s="14"/>
      <c r="O1291" s="110" t="s">
        <v>4000</v>
      </c>
      <c r="P1291" s="4"/>
      <c r="Q1291" s="8" t="s">
        <v>4305</v>
      </c>
      <c r="R1291" s="8" t="s">
        <v>3997</v>
      </c>
      <c r="S1291" s="8" t="s">
        <v>4300</v>
      </c>
      <c r="T1291" s="8">
        <v>0.6</v>
      </c>
      <c r="X1291" s="13">
        <f>48+5/60+50/3600</f>
        <v>48.097222222222221</v>
      </c>
      <c r="Y1291" s="13">
        <f>15+39/60+50/3600</f>
        <v>15.66388888888889</v>
      </c>
      <c r="Z1291" s="14">
        <v>500</v>
      </c>
      <c r="AA1291" s="8" t="s">
        <v>3998</v>
      </c>
      <c r="AB1291" s="8" t="s">
        <v>4306</v>
      </c>
    </row>
    <row r="1292" spans="1:29" s="8" customFormat="1" ht="21.75" customHeight="1" x14ac:dyDescent="0.2">
      <c r="A1292" s="8" t="s">
        <v>3991</v>
      </c>
      <c r="B1292" s="8" t="s">
        <v>3992</v>
      </c>
      <c r="C1292" s="8" t="s">
        <v>2842</v>
      </c>
      <c r="D1292" s="8" t="s">
        <v>4297</v>
      </c>
      <c r="E1292" s="8" t="s">
        <v>33</v>
      </c>
      <c r="F1292" s="8" t="s">
        <v>212</v>
      </c>
      <c r="G1292" s="8" t="s">
        <v>3995</v>
      </c>
      <c r="H1292" s="3" t="s">
        <v>3994</v>
      </c>
      <c r="I1292" s="4">
        <v>1</v>
      </c>
      <c r="J1292" s="4" t="s">
        <v>4293</v>
      </c>
      <c r="K1292" s="4" t="s">
        <v>4292</v>
      </c>
      <c r="L1292" s="14">
        <v>843</v>
      </c>
      <c r="M1292" s="14" t="s">
        <v>4302</v>
      </c>
      <c r="N1292" s="14"/>
      <c r="O1292" s="110" t="s">
        <v>4000</v>
      </c>
      <c r="P1292" s="4"/>
      <c r="Q1292" s="8" t="s">
        <v>4305</v>
      </c>
      <c r="R1292" s="8" t="s">
        <v>3997</v>
      </c>
      <c r="S1292" s="8" t="s">
        <v>4300</v>
      </c>
      <c r="T1292" s="8">
        <v>0.5</v>
      </c>
      <c r="X1292" s="13">
        <v>48.100099999999998</v>
      </c>
      <c r="Y1292" s="13">
        <v>15.667299999999999</v>
      </c>
      <c r="Z1292" s="14">
        <v>469</v>
      </c>
      <c r="AA1292" s="8" t="s">
        <v>3999</v>
      </c>
      <c r="AB1292" s="8" t="s">
        <v>4306</v>
      </c>
    </row>
    <row r="1293" spans="1:29" ht="21.75" customHeight="1" x14ac:dyDescent="0.2">
      <c r="A1293" s="7" t="s">
        <v>1931</v>
      </c>
      <c r="B1293" s="7" t="s">
        <v>1959</v>
      </c>
      <c r="C1293" s="7" t="s">
        <v>90</v>
      </c>
      <c r="D1293" s="7" t="s">
        <v>1932</v>
      </c>
      <c r="E1293" s="7" t="s">
        <v>33</v>
      </c>
      <c r="F1293" s="7" t="s">
        <v>212</v>
      </c>
      <c r="G1293" s="7" t="s">
        <v>86</v>
      </c>
      <c r="H1293" s="1" t="s">
        <v>87</v>
      </c>
      <c r="I1293" s="2">
        <f>44*0.0254</f>
        <v>1.1175999999999999</v>
      </c>
      <c r="J1293" s="2" t="s">
        <v>4367</v>
      </c>
      <c r="K1293" s="2" t="s">
        <v>5713</v>
      </c>
      <c r="O1293" s="45" t="s">
        <v>1961</v>
      </c>
      <c r="R1293" s="7" t="s">
        <v>1960</v>
      </c>
      <c r="X1293" s="5">
        <v>46.024000000000001</v>
      </c>
      <c r="Y1293" s="5">
        <v>-88.024100000000004</v>
      </c>
      <c r="Z1293" s="6">
        <v>392</v>
      </c>
      <c r="AA1293" s="7" t="s">
        <v>1962</v>
      </c>
      <c r="AB1293" s="7" t="s">
        <v>1964</v>
      </c>
    </row>
    <row r="1294" spans="1:29" ht="21.75" customHeight="1" x14ac:dyDescent="0.2">
      <c r="A1294" s="7" t="s">
        <v>1931</v>
      </c>
      <c r="B1294" s="7" t="s">
        <v>1959</v>
      </c>
      <c r="C1294" s="7" t="s">
        <v>90</v>
      </c>
      <c r="D1294" s="7" t="s">
        <v>1932</v>
      </c>
      <c r="E1294" s="7" t="s">
        <v>33</v>
      </c>
      <c r="F1294" s="7" t="s">
        <v>212</v>
      </c>
      <c r="G1294" s="7" t="s">
        <v>1933</v>
      </c>
      <c r="H1294" s="1" t="s">
        <v>1934</v>
      </c>
      <c r="I1294" s="2">
        <f>53*0.0254</f>
        <v>1.3461999999999998</v>
      </c>
      <c r="J1294" s="2" t="s">
        <v>4367</v>
      </c>
      <c r="K1294" s="2" t="s">
        <v>5713</v>
      </c>
      <c r="O1294" s="45" t="s">
        <v>1961</v>
      </c>
      <c r="R1294" s="7" t="s">
        <v>1960</v>
      </c>
      <c r="X1294" s="5">
        <v>46.024000000000001</v>
      </c>
      <c r="Y1294" s="5">
        <v>-88.024100000000004</v>
      </c>
      <c r="Z1294" s="6">
        <v>392</v>
      </c>
      <c r="AA1294" s="7" t="s">
        <v>1963</v>
      </c>
      <c r="AB1294" s="7" t="s">
        <v>1965</v>
      </c>
    </row>
    <row r="1295" spans="1:29" ht="21.75" customHeight="1" x14ac:dyDescent="0.2">
      <c r="A1295" s="7" t="s">
        <v>1931</v>
      </c>
      <c r="B1295" s="7" t="s">
        <v>1959</v>
      </c>
      <c r="C1295" s="7" t="s">
        <v>90</v>
      </c>
      <c r="D1295" s="7" t="s">
        <v>1935</v>
      </c>
      <c r="E1295" s="7" t="s">
        <v>33</v>
      </c>
      <c r="F1295" s="7" t="s">
        <v>212</v>
      </c>
      <c r="G1295" s="7" t="s">
        <v>84</v>
      </c>
      <c r="H1295" s="1" t="s">
        <v>85</v>
      </c>
      <c r="I1295" s="2">
        <f>21*0.0254</f>
        <v>0.53339999999999999</v>
      </c>
      <c r="J1295" s="2" t="s">
        <v>4367</v>
      </c>
      <c r="K1295" s="2" t="s">
        <v>5713</v>
      </c>
      <c r="O1295" s="45" t="s">
        <v>1970</v>
      </c>
      <c r="R1295" s="7" t="s">
        <v>1969</v>
      </c>
      <c r="X1295" s="5">
        <v>45.717199999999998</v>
      </c>
      <c r="Y1295" s="5">
        <v>-87.755300000000005</v>
      </c>
      <c r="Z1295" s="6">
        <v>280</v>
      </c>
      <c r="AA1295" s="7" t="s">
        <v>1967</v>
      </c>
      <c r="AB1295" s="7" t="s">
        <v>1966</v>
      </c>
    </row>
    <row r="1296" spans="1:29" ht="21.75" customHeight="1" x14ac:dyDescent="0.2">
      <c r="A1296" s="7" t="s">
        <v>1931</v>
      </c>
      <c r="B1296" s="7" t="s">
        <v>1959</v>
      </c>
      <c r="C1296" s="7" t="s">
        <v>90</v>
      </c>
      <c r="D1296" s="7" t="s">
        <v>1935</v>
      </c>
      <c r="E1296" s="7" t="s">
        <v>33</v>
      </c>
      <c r="F1296" s="7" t="s">
        <v>212</v>
      </c>
      <c r="G1296" s="7" t="s">
        <v>86</v>
      </c>
      <c r="H1296" s="1" t="s">
        <v>87</v>
      </c>
      <c r="I1296" s="2">
        <f>22*0.0254</f>
        <v>0.55879999999999996</v>
      </c>
      <c r="J1296" s="2" t="s">
        <v>4367</v>
      </c>
      <c r="K1296" s="2" t="s">
        <v>5713</v>
      </c>
      <c r="O1296" s="45" t="s">
        <v>1970</v>
      </c>
      <c r="R1296" s="7" t="s">
        <v>1969</v>
      </c>
      <c r="X1296" s="5">
        <v>45.714799999999997</v>
      </c>
      <c r="Y1296" s="5">
        <v>-87.746899999999997</v>
      </c>
      <c r="Z1296" s="6">
        <v>291</v>
      </c>
      <c r="AB1296" s="7" t="s">
        <v>1966</v>
      </c>
    </row>
    <row r="1297" spans="1:28" ht="21.75" customHeight="1" x14ac:dyDescent="0.2">
      <c r="A1297" s="7" t="s">
        <v>1931</v>
      </c>
      <c r="B1297" s="7" t="s">
        <v>1959</v>
      </c>
      <c r="C1297" s="7" t="s">
        <v>90</v>
      </c>
      <c r="D1297" s="7" t="s">
        <v>1935</v>
      </c>
      <c r="E1297" s="7" t="s">
        <v>33</v>
      </c>
      <c r="F1297" s="7" t="s">
        <v>212</v>
      </c>
      <c r="G1297" s="7" t="s">
        <v>1933</v>
      </c>
      <c r="H1297" s="1" t="s">
        <v>1934</v>
      </c>
      <c r="I1297" s="2">
        <f>22*0.0254</f>
        <v>0.55879999999999996</v>
      </c>
      <c r="J1297" s="2" t="s">
        <v>4367</v>
      </c>
      <c r="K1297" s="2" t="s">
        <v>5713</v>
      </c>
      <c r="O1297" s="45" t="s">
        <v>1970</v>
      </c>
      <c r="R1297" s="7" t="s">
        <v>1969</v>
      </c>
      <c r="X1297" s="5">
        <v>45.712699999999998</v>
      </c>
      <c r="Y1297" s="5">
        <v>-87.739099999999993</v>
      </c>
      <c r="Z1297" s="6">
        <v>298</v>
      </c>
      <c r="AA1297" s="7" t="s">
        <v>1968</v>
      </c>
      <c r="AB1297" s="7" t="s">
        <v>1966</v>
      </c>
    </row>
    <row r="1298" spans="1:28" ht="21.75" customHeight="1" x14ac:dyDescent="0.2">
      <c r="A1298" s="7" t="s">
        <v>1931</v>
      </c>
      <c r="B1298" s="7" t="s">
        <v>1959</v>
      </c>
      <c r="C1298" s="7" t="s">
        <v>90</v>
      </c>
      <c r="D1298" s="7" t="s">
        <v>1936</v>
      </c>
      <c r="E1298" s="7" t="s">
        <v>33</v>
      </c>
      <c r="F1298" s="7" t="s">
        <v>212</v>
      </c>
      <c r="G1298" s="7" t="s">
        <v>84</v>
      </c>
      <c r="H1298" s="1" t="s">
        <v>85</v>
      </c>
      <c r="I1298" s="2">
        <f>28*0.0254</f>
        <v>0.71119999999999994</v>
      </c>
      <c r="J1298" s="2" t="s">
        <v>4367</v>
      </c>
      <c r="K1298" s="2" t="s">
        <v>5713</v>
      </c>
      <c r="O1298" s="45" t="s">
        <v>1974</v>
      </c>
      <c r="R1298" s="7" t="s">
        <v>1971</v>
      </c>
      <c r="X1298" s="5">
        <v>46.007100000000001</v>
      </c>
      <c r="Y1298" s="5">
        <v>-88.023399999999995</v>
      </c>
      <c r="Z1298" s="6">
        <v>373</v>
      </c>
      <c r="AB1298" s="7" t="s">
        <v>1973</v>
      </c>
    </row>
    <row r="1299" spans="1:28" ht="21.75" customHeight="1" x14ac:dyDescent="0.2">
      <c r="A1299" s="7" t="s">
        <v>1931</v>
      </c>
      <c r="B1299" s="7" t="s">
        <v>1959</v>
      </c>
      <c r="C1299" s="7" t="s">
        <v>90</v>
      </c>
      <c r="D1299" s="7" t="s">
        <v>1936</v>
      </c>
      <c r="E1299" s="7" t="s">
        <v>33</v>
      </c>
      <c r="F1299" s="7" t="s">
        <v>212</v>
      </c>
      <c r="G1299" s="7" t="s">
        <v>1933</v>
      </c>
      <c r="H1299" s="1" t="s">
        <v>1934</v>
      </c>
      <c r="I1299" s="2">
        <f>59*0.0254</f>
        <v>1.4985999999999999</v>
      </c>
      <c r="J1299" s="2" t="s">
        <v>4367</v>
      </c>
      <c r="K1299" s="2" t="s">
        <v>5713</v>
      </c>
      <c r="O1299" s="45" t="s">
        <v>1974</v>
      </c>
      <c r="R1299" s="7" t="s">
        <v>1971</v>
      </c>
      <c r="X1299" s="5">
        <v>46.007100000000001</v>
      </c>
      <c r="Y1299" s="5">
        <v>-88.023399999999995</v>
      </c>
      <c r="Z1299" s="6">
        <v>373</v>
      </c>
      <c r="AA1299" s="7" t="s">
        <v>1972</v>
      </c>
      <c r="AB1299" s="7" t="s">
        <v>1973</v>
      </c>
    </row>
    <row r="1300" spans="1:28" ht="21.75" customHeight="1" x14ac:dyDescent="0.2">
      <c r="A1300" s="7" t="s">
        <v>1931</v>
      </c>
      <c r="B1300" s="7" t="s">
        <v>1959</v>
      </c>
      <c r="C1300" s="7" t="s">
        <v>90</v>
      </c>
      <c r="D1300" s="7" t="s">
        <v>1937</v>
      </c>
      <c r="E1300" s="7" t="s">
        <v>33</v>
      </c>
      <c r="F1300" s="7" t="s">
        <v>212</v>
      </c>
      <c r="G1300" s="7" t="s">
        <v>86</v>
      </c>
      <c r="H1300" s="1" t="s">
        <v>87</v>
      </c>
      <c r="I1300" s="2">
        <f>33*0.0254</f>
        <v>0.83819999999999995</v>
      </c>
      <c r="J1300" s="2" t="s">
        <v>4367</v>
      </c>
      <c r="K1300" s="2" t="s">
        <v>5713</v>
      </c>
      <c r="O1300" s="45" t="s">
        <v>1975</v>
      </c>
      <c r="R1300" s="7" t="s">
        <v>1969</v>
      </c>
      <c r="X1300" s="5">
        <v>46.109200000000001</v>
      </c>
      <c r="Y1300" s="5">
        <v>-87.647599999999997</v>
      </c>
      <c r="Z1300" s="6">
        <v>351</v>
      </c>
      <c r="AB1300" s="7" t="s">
        <v>1976</v>
      </c>
    </row>
    <row r="1301" spans="1:28" ht="21.75" customHeight="1" x14ac:dyDescent="0.2">
      <c r="A1301" s="7" t="s">
        <v>1931</v>
      </c>
      <c r="B1301" s="7" t="s">
        <v>1959</v>
      </c>
      <c r="C1301" s="7" t="s">
        <v>90</v>
      </c>
      <c r="D1301" s="7" t="s">
        <v>1937</v>
      </c>
      <c r="E1301" s="7" t="s">
        <v>33</v>
      </c>
      <c r="F1301" s="7" t="s">
        <v>212</v>
      </c>
      <c r="G1301" s="7" t="s">
        <v>1933</v>
      </c>
      <c r="H1301" s="1" t="s">
        <v>1934</v>
      </c>
      <c r="I1301" s="2">
        <f>38*0.0254</f>
        <v>0.96519999999999995</v>
      </c>
      <c r="J1301" s="2" t="s">
        <v>4367</v>
      </c>
      <c r="K1301" s="2" t="s">
        <v>5713</v>
      </c>
      <c r="O1301" s="45" t="s">
        <v>1975</v>
      </c>
      <c r="R1301" s="7" t="s">
        <v>1969</v>
      </c>
      <c r="X1301" s="5">
        <v>46.109200000000001</v>
      </c>
      <c r="Y1301" s="5">
        <v>-87.647599999999997</v>
      </c>
      <c r="Z1301" s="6">
        <v>351</v>
      </c>
      <c r="AB1301" s="7" t="s">
        <v>1976</v>
      </c>
    </row>
    <row r="1302" spans="1:28" ht="21.75" customHeight="1" x14ac:dyDescent="0.2">
      <c r="A1302" s="7" t="s">
        <v>1931</v>
      </c>
      <c r="B1302" s="7" t="s">
        <v>1959</v>
      </c>
      <c r="C1302" s="7" t="s">
        <v>90</v>
      </c>
      <c r="D1302" s="7" t="s">
        <v>1938</v>
      </c>
      <c r="E1302" s="7" t="s">
        <v>33</v>
      </c>
      <c r="F1302" s="7" t="s">
        <v>212</v>
      </c>
      <c r="G1302" s="7" t="s">
        <v>1933</v>
      </c>
      <c r="H1302" s="1" t="s">
        <v>1934</v>
      </c>
      <c r="I1302" s="2">
        <f>33*0.0254</f>
        <v>0.83819999999999995</v>
      </c>
      <c r="J1302" s="2" t="s">
        <v>4367</v>
      </c>
      <c r="K1302" s="2" t="s">
        <v>5713</v>
      </c>
      <c r="O1302" s="45" t="s">
        <v>1977</v>
      </c>
      <c r="R1302" s="7" t="s">
        <v>1969</v>
      </c>
      <c r="X1302" s="5">
        <v>46.474400000000003</v>
      </c>
      <c r="Y1302" s="5">
        <v>-89.491500000000002</v>
      </c>
      <c r="Z1302" s="6">
        <v>427</v>
      </c>
      <c r="AA1302" s="7" t="s">
        <v>1979</v>
      </c>
      <c r="AB1302" s="7" t="s">
        <v>1980</v>
      </c>
    </row>
    <row r="1303" spans="1:28" ht="21.75" customHeight="1" x14ac:dyDescent="0.2">
      <c r="A1303" s="7" t="s">
        <v>1931</v>
      </c>
      <c r="B1303" s="7" t="s">
        <v>1959</v>
      </c>
      <c r="C1303" s="7" t="s">
        <v>90</v>
      </c>
      <c r="D1303" s="7" t="s">
        <v>1939</v>
      </c>
      <c r="E1303" s="7" t="s">
        <v>33</v>
      </c>
      <c r="F1303" s="7" t="s">
        <v>212</v>
      </c>
      <c r="G1303" s="7" t="s">
        <v>86</v>
      </c>
      <c r="H1303" s="1" t="s">
        <v>87</v>
      </c>
      <c r="I1303" s="2">
        <f>37*0.0254</f>
        <v>0.93979999999999997</v>
      </c>
      <c r="J1303" s="2" t="s">
        <v>4367</v>
      </c>
      <c r="K1303" s="2" t="s">
        <v>5713</v>
      </c>
      <c r="O1303" s="45" t="s">
        <v>1978</v>
      </c>
      <c r="R1303" s="7" t="s">
        <v>1969</v>
      </c>
      <c r="X1303" s="5">
        <v>46.463500000000003</v>
      </c>
      <c r="Y1303" s="5">
        <v>-89.509699999999995</v>
      </c>
      <c r="Z1303" s="6">
        <v>430</v>
      </c>
      <c r="AB1303" s="7" t="s">
        <v>1980</v>
      </c>
    </row>
    <row r="1304" spans="1:28" ht="21.75" customHeight="1" x14ac:dyDescent="0.2">
      <c r="A1304" s="7" t="s">
        <v>1931</v>
      </c>
      <c r="B1304" s="7" t="s">
        <v>1959</v>
      </c>
      <c r="C1304" s="7" t="s">
        <v>90</v>
      </c>
      <c r="D1304" s="7" t="s">
        <v>1940</v>
      </c>
      <c r="E1304" s="7" t="s">
        <v>33</v>
      </c>
      <c r="F1304" s="7" t="s">
        <v>212</v>
      </c>
      <c r="G1304" s="7" t="s">
        <v>86</v>
      </c>
      <c r="H1304" s="1" t="s">
        <v>87</v>
      </c>
      <c r="I1304" s="2">
        <f>33*0.0254</f>
        <v>0.83819999999999995</v>
      </c>
      <c r="J1304" s="2" t="s">
        <v>4367</v>
      </c>
      <c r="K1304" s="2" t="s">
        <v>5713</v>
      </c>
      <c r="O1304" s="45" t="s">
        <v>1981</v>
      </c>
      <c r="R1304" s="7" t="s">
        <v>1969</v>
      </c>
      <c r="X1304" s="5">
        <v>46.461500000000001</v>
      </c>
      <c r="Y1304" s="5">
        <v>-89.509900000000002</v>
      </c>
      <c r="Z1304" s="6">
        <v>431</v>
      </c>
      <c r="AB1304" s="7" t="s">
        <v>1982</v>
      </c>
    </row>
    <row r="1305" spans="1:28" ht="21.75" customHeight="1" x14ac:dyDescent="0.2">
      <c r="A1305" s="7" t="s">
        <v>1931</v>
      </c>
      <c r="B1305" s="7" t="s">
        <v>1959</v>
      </c>
      <c r="C1305" s="7" t="s">
        <v>90</v>
      </c>
      <c r="D1305" s="7" t="s">
        <v>1940</v>
      </c>
      <c r="E1305" s="7" t="s">
        <v>33</v>
      </c>
      <c r="F1305" s="7" t="s">
        <v>212</v>
      </c>
      <c r="G1305" s="7" t="s">
        <v>1933</v>
      </c>
      <c r="H1305" s="1" t="s">
        <v>1934</v>
      </c>
      <c r="I1305" s="2">
        <f>38*0.0254</f>
        <v>0.96519999999999995</v>
      </c>
      <c r="J1305" s="2" t="s">
        <v>4367</v>
      </c>
      <c r="K1305" s="2" t="s">
        <v>5713</v>
      </c>
      <c r="O1305" s="45" t="s">
        <v>1981</v>
      </c>
      <c r="R1305" s="7" t="s">
        <v>1969</v>
      </c>
      <c r="X1305" s="5">
        <v>46.449100000000001</v>
      </c>
      <c r="Y1305" s="5">
        <v>-89.492000000000004</v>
      </c>
      <c r="Z1305" s="6">
        <v>431</v>
      </c>
      <c r="AB1305" s="7" t="s">
        <v>1982</v>
      </c>
    </row>
    <row r="1306" spans="1:28" ht="21.75" customHeight="1" x14ac:dyDescent="0.2">
      <c r="A1306" s="7" t="s">
        <v>1931</v>
      </c>
      <c r="B1306" s="7" t="s">
        <v>1959</v>
      </c>
      <c r="C1306" s="7" t="s">
        <v>90</v>
      </c>
      <c r="D1306" s="7" t="s">
        <v>1941</v>
      </c>
      <c r="E1306" s="7" t="s">
        <v>33</v>
      </c>
      <c r="F1306" s="7" t="s">
        <v>212</v>
      </c>
      <c r="G1306" s="7" t="s">
        <v>86</v>
      </c>
      <c r="H1306" s="1" t="s">
        <v>87</v>
      </c>
      <c r="I1306" s="2">
        <f>40*0.0254</f>
        <v>1.016</v>
      </c>
      <c r="J1306" s="2" t="s">
        <v>4367</v>
      </c>
      <c r="K1306" s="2" t="s">
        <v>5713</v>
      </c>
      <c r="O1306" s="45" t="s">
        <v>1983</v>
      </c>
      <c r="R1306" s="7" t="s">
        <v>1969</v>
      </c>
      <c r="X1306" s="5">
        <v>46.550600000000003</v>
      </c>
      <c r="Y1306" s="5">
        <v>-88.263199999999998</v>
      </c>
      <c r="Z1306" s="6">
        <v>528</v>
      </c>
      <c r="AB1306" s="7" t="s">
        <v>1984</v>
      </c>
    </row>
    <row r="1307" spans="1:28" ht="21.75" customHeight="1" x14ac:dyDescent="0.2">
      <c r="A1307" s="7" t="s">
        <v>1931</v>
      </c>
      <c r="B1307" s="7" t="s">
        <v>1959</v>
      </c>
      <c r="C1307" s="7" t="s">
        <v>90</v>
      </c>
      <c r="D1307" s="7" t="s">
        <v>1941</v>
      </c>
      <c r="E1307" s="7" t="s">
        <v>33</v>
      </c>
      <c r="F1307" s="7" t="s">
        <v>212</v>
      </c>
      <c r="G1307" s="7" t="s">
        <v>1933</v>
      </c>
      <c r="H1307" s="1" t="s">
        <v>1934</v>
      </c>
      <c r="I1307" s="2">
        <f>52*0.0254</f>
        <v>1.3208</v>
      </c>
      <c r="J1307" s="2" t="s">
        <v>4367</v>
      </c>
      <c r="K1307" s="2" t="s">
        <v>5713</v>
      </c>
      <c r="O1307" s="45" t="s">
        <v>1983</v>
      </c>
      <c r="R1307" s="7" t="s">
        <v>1969</v>
      </c>
      <c r="X1307" s="5">
        <v>46.550199999999997</v>
      </c>
      <c r="Y1307" s="5">
        <v>-88.274900000000002</v>
      </c>
      <c r="Z1307" s="6">
        <v>528</v>
      </c>
      <c r="AB1307" s="7" t="s">
        <v>1984</v>
      </c>
    </row>
    <row r="1308" spans="1:28" ht="21.75" customHeight="1" x14ac:dyDescent="0.2">
      <c r="A1308" s="7" t="s">
        <v>1931</v>
      </c>
      <c r="B1308" s="7" t="s">
        <v>1959</v>
      </c>
      <c r="C1308" s="7" t="s">
        <v>90</v>
      </c>
      <c r="D1308" s="7" t="s">
        <v>1942</v>
      </c>
      <c r="E1308" s="7" t="s">
        <v>33</v>
      </c>
      <c r="F1308" s="7" t="s">
        <v>212</v>
      </c>
      <c r="G1308" s="7" t="s">
        <v>84</v>
      </c>
      <c r="H1308" s="1" t="s">
        <v>85</v>
      </c>
      <c r="I1308" s="2">
        <f>48*0.0254</f>
        <v>1.2191999999999998</v>
      </c>
      <c r="J1308" s="2" t="s">
        <v>4367</v>
      </c>
      <c r="K1308" s="2" t="s">
        <v>5713</v>
      </c>
      <c r="O1308" s="45" t="s">
        <v>1983</v>
      </c>
      <c r="R1308" s="7" t="s">
        <v>1969</v>
      </c>
      <c r="X1308" s="5">
        <v>46.563299999999998</v>
      </c>
      <c r="Y1308" s="5">
        <v>-88.2761</v>
      </c>
      <c r="Z1308" s="6">
        <v>500</v>
      </c>
      <c r="AB1308" s="7" t="s">
        <v>1984</v>
      </c>
    </row>
    <row r="1309" spans="1:28" ht="21.75" customHeight="1" x14ac:dyDescent="0.2">
      <c r="A1309" s="7" t="s">
        <v>1931</v>
      </c>
      <c r="B1309" s="7" t="s">
        <v>1959</v>
      </c>
      <c r="C1309" s="7" t="s">
        <v>90</v>
      </c>
      <c r="D1309" s="7" t="s">
        <v>1943</v>
      </c>
      <c r="E1309" s="7" t="s">
        <v>33</v>
      </c>
      <c r="F1309" s="7" t="s">
        <v>212</v>
      </c>
      <c r="G1309" s="7" t="s">
        <v>86</v>
      </c>
      <c r="H1309" s="1" t="s">
        <v>87</v>
      </c>
      <c r="I1309" s="2">
        <f>36*0.0254</f>
        <v>0.91439999999999999</v>
      </c>
      <c r="J1309" s="2" t="s">
        <v>4367</v>
      </c>
      <c r="K1309" s="2" t="s">
        <v>5713</v>
      </c>
      <c r="O1309" s="45" t="s">
        <v>1983</v>
      </c>
      <c r="R1309" s="7" t="s">
        <v>1969</v>
      </c>
      <c r="X1309" s="5">
        <v>46.555399999999999</v>
      </c>
      <c r="Y1309" s="5">
        <v>-88.281800000000004</v>
      </c>
      <c r="Z1309" s="6">
        <v>504</v>
      </c>
      <c r="AB1309" s="7" t="s">
        <v>1984</v>
      </c>
    </row>
    <row r="1310" spans="1:28" ht="21.75" customHeight="1" x14ac:dyDescent="0.2">
      <c r="A1310" s="7" t="s">
        <v>1931</v>
      </c>
      <c r="B1310" s="7" t="s">
        <v>1959</v>
      </c>
      <c r="C1310" s="7" t="s">
        <v>90</v>
      </c>
      <c r="D1310" s="7" t="s">
        <v>1943</v>
      </c>
      <c r="E1310" s="7" t="s">
        <v>33</v>
      </c>
      <c r="F1310" s="7" t="s">
        <v>212</v>
      </c>
      <c r="G1310" s="7" t="s">
        <v>1933</v>
      </c>
      <c r="H1310" s="1" t="s">
        <v>1934</v>
      </c>
      <c r="I1310" s="2">
        <f>37*0.0254</f>
        <v>0.93979999999999997</v>
      </c>
      <c r="J1310" s="2" t="s">
        <v>4367</v>
      </c>
      <c r="K1310" s="2" t="s">
        <v>5713</v>
      </c>
      <c r="O1310" s="45" t="s">
        <v>1983</v>
      </c>
      <c r="R1310" s="7" t="s">
        <v>1969</v>
      </c>
      <c r="X1310" s="5">
        <v>46.5563</v>
      </c>
      <c r="Y1310" s="5">
        <v>-88.263000000000005</v>
      </c>
      <c r="Z1310" s="6">
        <v>531</v>
      </c>
      <c r="AB1310" s="7" t="s">
        <v>1984</v>
      </c>
    </row>
    <row r="1311" spans="1:28" ht="21.75" customHeight="1" x14ac:dyDescent="0.2">
      <c r="A1311" s="7" t="s">
        <v>1931</v>
      </c>
      <c r="B1311" s="7" t="s">
        <v>1959</v>
      </c>
      <c r="C1311" s="7" t="s">
        <v>90</v>
      </c>
      <c r="D1311" s="7" t="s">
        <v>1944</v>
      </c>
      <c r="E1311" s="7" t="s">
        <v>33</v>
      </c>
      <c r="F1311" s="7" t="s">
        <v>212</v>
      </c>
      <c r="G1311" s="7" t="s">
        <v>84</v>
      </c>
      <c r="H1311" s="1" t="s">
        <v>85</v>
      </c>
      <c r="I1311" s="2">
        <f>20*0.0254</f>
        <v>0.50800000000000001</v>
      </c>
      <c r="J1311" s="2" t="s">
        <v>4367</v>
      </c>
      <c r="K1311" s="2" t="s">
        <v>5713</v>
      </c>
      <c r="L1311" s="2"/>
      <c r="O1311" s="45" t="s">
        <v>1986</v>
      </c>
      <c r="Q1311" s="2">
        <f>30*0.0254</f>
        <v>0.76200000000000001</v>
      </c>
      <c r="R1311" s="7" t="s">
        <v>1969</v>
      </c>
      <c r="X1311" s="5">
        <v>46.644399999999997</v>
      </c>
      <c r="Y1311" s="5">
        <v>-88.521199999999993</v>
      </c>
      <c r="Z1311" s="6">
        <v>392</v>
      </c>
      <c r="AA1311" s="7" t="s">
        <v>1985</v>
      </c>
      <c r="AB1311" s="7" t="s">
        <v>1998</v>
      </c>
    </row>
    <row r="1312" spans="1:28" ht="21.75" customHeight="1" x14ac:dyDescent="0.2">
      <c r="A1312" s="7" t="s">
        <v>1931</v>
      </c>
      <c r="B1312" s="7" t="s">
        <v>1959</v>
      </c>
      <c r="C1312" s="7" t="s">
        <v>90</v>
      </c>
      <c r="D1312" s="7" t="s">
        <v>1945</v>
      </c>
      <c r="E1312" s="7" t="s">
        <v>33</v>
      </c>
      <c r="F1312" s="7" t="s">
        <v>212</v>
      </c>
      <c r="G1312" s="7" t="s">
        <v>84</v>
      </c>
      <c r="H1312" s="1" t="s">
        <v>85</v>
      </c>
      <c r="I1312" s="2">
        <f>25*0.0254</f>
        <v>0.63500000000000001</v>
      </c>
      <c r="J1312" s="2" t="s">
        <v>4367</v>
      </c>
      <c r="K1312" s="2" t="s">
        <v>5713</v>
      </c>
      <c r="L1312" s="7"/>
      <c r="O1312" s="45" t="s">
        <v>1988</v>
      </c>
      <c r="R1312" s="7" t="s">
        <v>1971</v>
      </c>
      <c r="X1312" s="5">
        <v>46.600099999999998</v>
      </c>
      <c r="Y1312" s="5">
        <v>-88.439300000000003</v>
      </c>
      <c r="Z1312" s="6">
        <v>492</v>
      </c>
      <c r="AB1312" s="7" t="s">
        <v>1993</v>
      </c>
    </row>
    <row r="1313" spans="1:28" ht="21.75" customHeight="1" x14ac:dyDescent="0.2">
      <c r="A1313" s="7" t="s">
        <v>1931</v>
      </c>
      <c r="B1313" s="7" t="s">
        <v>1959</v>
      </c>
      <c r="C1313" s="7" t="s">
        <v>90</v>
      </c>
      <c r="D1313" s="7" t="s">
        <v>1946</v>
      </c>
      <c r="E1313" s="7" t="s">
        <v>33</v>
      </c>
      <c r="F1313" s="7" t="s">
        <v>212</v>
      </c>
      <c r="G1313" s="7" t="s">
        <v>1933</v>
      </c>
      <c r="H1313" s="1" t="s">
        <v>1934</v>
      </c>
      <c r="I1313" s="2">
        <f>95*0.0254</f>
        <v>2.4129999999999998</v>
      </c>
      <c r="J1313" s="2" t="s">
        <v>4367</v>
      </c>
      <c r="K1313" s="2" t="s">
        <v>5713</v>
      </c>
      <c r="L1313" s="7"/>
      <c r="O1313" s="45" t="s">
        <v>1989</v>
      </c>
      <c r="R1313" s="7" t="s">
        <v>1987</v>
      </c>
      <c r="X1313" s="5">
        <v>46.220300000000002</v>
      </c>
      <c r="Y1313" s="5">
        <v>-86.601399999999998</v>
      </c>
      <c r="Z1313" s="6">
        <v>248</v>
      </c>
      <c r="AB1313" s="7" t="s">
        <v>1994</v>
      </c>
    </row>
    <row r="1314" spans="1:28" ht="21.75" customHeight="1" x14ac:dyDescent="0.2">
      <c r="A1314" s="7" t="s">
        <v>1931</v>
      </c>
      <c r="B1314" s="7" t="s">
        <v>1959</v>
      </c>
      <c r="C1314" s="7" t="s">
        <v>90</v>
      </c>
      <c r="D1314" s="7" t="s">
        <v>1947</v>
      </c>
      <c r="E1314" s="7" t="s">
        <v>33</v>
      </c>
      <c r="F1314" s="7" t="s">
        <v>212</v>
      </c>
      <c r="G1314" s="7" t="s">
        <v>84</v>
      </c>
      <c r="H1314" s="1" t="s">
        <v>85</v>
      </c>
      <c r="I1314" s="2">
        <f>26*0.0254</f>
        <v>0.66039999999999999</v>
      </c>
      <c r="J1314" s="2" t="s">
        <v>4367</v>
      </c>
      <c r="K1314" s="2" t="s">
        <v>5713</v>
      </c>
      <c r="L1314" s="7"/>
      <c r="O1314" s="45" t="s">
        <v>1990</v>
      </c>
      <c r="R1314" s="7" t="s">
        <v>1987</v>
      </c>
      <c r="X1314" s="5">
        <v>46.629199999999997</v>
      </c>
      <c r="Y1314" s="5">
        <v>-86.209199999999996</v>
      </c>
      <c r="Z1314" s="6">
        <v>222</v>
      </c>
      <c r="AB1314" s="7" t="s">
        <v>1995</v>
      </c>
    </row>
    <row r="1315" spans="1:28" ht="21.75" customHeight="1" x14ac:dyDescent="0.2">
      <c r="A1315" s="7" t="s">
        <v>1931</v>
      </c>
      <c r="B1315" s="7" t="s">
        <v>1959</v>
      </c>
      <c r="C1315" s="7" t="s">
        <v>90</v>
      </c>
      <c r="D1315" s="7" t="s">
        <v>1948</v>
      </c>
      <c r="E1315" s="7" t="s">
        <v>33</v>
      </c>
      <c r="F1315" s="7" t="s">
        <v>212</v>
      </c>
      <c r="G1315" s="7" t="s">
        <v>84</v>
      </c>
      <c r="H1315" s="1" t="s">
        <v>85</v>
      </c>
      <c r="I1315" s="2">
        <f>39*0.0254</f>
        <v>0.99059999999999993</v>
      </c>
      <c r="J1315" s="2" t="s">
        <v>4367</v>
      </c>
      <c r="K1315" s="2" t="s">
        <v>5713</v>
      </c>
      <c r="L1315" s="7"/>
      <c r="O1315" s="45" t="s">
        <v>1991</v>
      </c>
      <c r="R1315" s="7" t="s">
        <v>1987</v>
      </c>
      <c r="X1315" s="5">
        <v>46.455100000000002</v>
      </c>
      <c r="Y1315" s="5">
        <v>-85.419700000000006</v>
      </c>
      <c r="Z1315" s="6">
        <v>238</v>
      </c>
      <c r="AB1315" s="7" t="s">
        <v>1996</v>
      </c>
    </row>
    <row r="1316" spans="1:28" ht="21.75" customHeight="1" x14ac:dyDescent="0.2">
      <c r="A1316" s="7" t="s">
        <v>1931</v>
      </c>
      <c r="B1316" s="7" t="s">
        <v>1959</v>
      </c>
      <c r="C1316" s="7" t="s">
        <v>90</v>
      </c>
      <c r="D1316" s="7" t="s">
        <v>1949</v>
      </c>
      <c r="E1316" s="7" t="s">
        <v>33</v>
      </c>
      <c r="F1316" s="7" t="s">
        <v>212</v>
      </c>
      <c r="G1316" s="7" t="s">
        <v>84</v>
      </c>
      <c r="H1316" s="1" t="s">
        <v>85</v>
      </c>
      <c r="I1316" s="2">
        <f>20*0.0254</f>
        <v>0.50800000000000001</v>
      </c>
      <c r="J1316" s="2" t="s">
        <v>4367</v>
      </c>
      <c r="K1316" s="2" t="s">
        <v>5713</v>
      </c>
      <c r="L1316" s="7"/>
      <c r="O1316" s="45" t="s">
        <v>1992</v>
      </c>
      <c r="R1316" s="7" t="s">
        <v>1969</v>
      </c>
      <c r="X1316" s="5">
        <v>46.3583</v>
      </c>
      <c r="Y1316" s="5">
        <v>-88.847099999999998</v>
      </c>
      <c r="Z1316" s="6">
        <v>496</v>
      </c>
      <c r="AB1316" s="7" t="s">
        <v>1997</v>
      </c>
    </row>
    <row r="1317" spans="1:28" ht="21.75" customHeight="1" x14ac:dyDescent="0.2">
      <c r="A1317" s="7" t="s">
        <v>1931</v>
      </c>
      <c r="B1317" s="7" t="s">
        <v>1959</v>
      </c>
      <c r="C1317" s="7" t="s">
        <v>90</v>
      </c>
      <c r="D1317" s="7" t="s">
        <v>1950</v>
      </c>
      <c r="E1317" s="7" t="s">
        <v>33</v>
      </c>
      <c r="F1317" s="7" t="s">
        <v>212</v>
      </c>
      <c r="G1317" s="7" t="s">
        <v>84</v>
      </c>
      <c r="H1317" s="1" t="s">
        <v>85</v>
      </c>
      <c r="I1317" s="2">
        <f>17*0.0254</f>
        <v>0.43179999999999996</v>
      </c>
      <c r="J1317" s="2" t="s">
        <v>4367</v>
      </c>
      <c r="K1317" s="2" t="s">
        <v>5713</v>
      </c>
      <c r="L1317" s="7"/>
      <c r="O1317" s="45" t="s">
        <v>1992</v>
      </c>
      <c r="R1317" s="7" t="s">
        <v>1999</v>
      </c>
      <c r="X1317" s="5">
        <v>46.36</v>
      </c>
      <c r="Y1317" s="5">
        <v>-88.855599999999995</v>
      </c>
      <c r="Z1317" s="6">
        <v>498</v>
      </c>
      <c r="AB1317" s="7" t="s">
        <v>1997</v>
      </c>
    </row>
    <row r="1318" spans="1:28" ht="21.75" customHeight="1" x14ac:dyDescent="0.2">
      <c r="A1318" s="7" t="s">
        <v>1931</v>
      </c>
      <c r="B1318" s="7" t="s">
        <v>1959</v>
      </c>
      <c r="C1318" s="7" t="s">
        <v>90</v>
      </c>
      <c r="D1318" s="7" t="s">
        <v>1950</v>
      </c>
      <c r="E1318" s="7" t="s">
        <v>33</v>
      </c>
      <c r="F1318" s="7" t="s">
        <v>212</v>
      </c>
      <c r="G1318" s="7" t="s">
        <v>1933</v>
      </c>
      <c r="H1318" s="1" t="s">
        <v>1934</v>
      </c>
      <c r="I1318" s="2">
        <f>35*0.0254</f>
        <v>0.88900000000000001</v>
      </c>
      <c r="J1318" s="2" t="s">
        <v>4367</v>
      </c>
      <c r="K1318" s="2" t="s">
        <v>5713</v>
      </c>
      <c r="L1318" s="7"/>
      <c r="O1318" s="45" t="s">
        <v>1992</v>
      </c>
      <c r="R1318" s="7" t="s">
        <v>1999</v>
      </c>
      <c r="X1318" s="5">
        <v>46.357100000000003</v>
      </c>
      <c r="Y1318" s="5">
        <v>-88.852199999999996</v>
      </c>
      <c r="Z1318" s="6">
        <v>501</v>
      </c>
      <c r="AB1318" s="7" t="s">
        <v>1997</v>
      </c>
    </row>
    <row r="1319" spans="1:28" ht="21.75" customHeight="1" x14ac:dyDescent="0.2">
      <c r="A1319" s="7" t="s">
        <v>1931</v>
      </c>
      <c r="B1319" s="7" t="s">
        <v>1959</v>
      </c>
      <c r="C1319" s="7" t="s">
        <v>90</v>
      </c>
      <c r="D1319" s="7" t="s">
        <v>1951</v>
      </c>
      <c r="E1319" s="7" t="s">
        <v>33</v>
      </c>
      <c r="F1319" s="7" t="s">
        <v>212</v>
      </c>
      <c r="G1319" s="7" t="s">
        <v>84</v>
      </c>
      <c r="H1319" s="1" t="s">
        <v>85</v>
      </c>
      <c r="I1319" s="2">
        <f>14*0.0254</f>
        <v>0.35559999999999997</v>
      </c>
      <c r="J1319" s="2" t="s">
        <v>4367</v>
      </c>
      <c r="K1319" s="2" t="s">
        <v>5713</v>
      </c>
      <c r="O1319" s="45" t="s">
        <v>1992</v>
      </c>
      <c r="R1319" s="7" t="s">
        <v>1999</v>
      </c>
      <c r="X1319" s="5">
        <v>46.349899999999998</v>
      </c>
      <c r="Y1319" s="5">
        <v>-88.863900000000001</v>
      </c>
      <c r="Z1319" s="6">
        <v>498</v>
      </c>
      <c r="AB1319" s="7" t="s">
        <v>1997</v>
      </c>
    </row>
    <row r="1320" spans="1:28" ht="21.75" customHeight="1" x14ac:dyDescent="0.2">
      <c r="A1320" s="7" t="s">
        <v>1931</v>
      </c>
      <c r="B1320" s="7" t="s">
        <v>1959</v>
      </c>
      <c r="C1320" s="7" t="s">
        <v>90</v>
      </c>
      <c r="D1320" s="7" t="s">
        <v>1951</v>
      </c>
      <c r="E1320" s="7" t="s">
        <v>33</v>
      </c>
      <c r="F1320" s="7" t="s">
        <v>212</v>
      </c>
      <c r="G1320" s="7" t="s">
        <v>1933</v>
      </c>
      <c r="H1320" s="1" t="s">
        <v>1934</v>
      </c>
      <c r="I1320" s="2">
        <f>24*0.0254</f>
        <v>0.60959999999999992</v>
      </c>
      <c r="J1320" s="2" t="s">
        <v>4367</v>
      </c>
      <c r="K1320" s="2" t="s">
        <v>5713</v>
      </c>
      <c r="O1320" s="45" t="s">
        <v>1992</v>
      </c>
      <c r="R1320" s="7" t="s">
        <v>1999</v>
      </c>
      <c r="X1320" s="5">
        <v>46.353299999999997</v>
      </c>
      <c r="Y1320" s="5">
        <v>-88.860600000000005</v>
      </c>
      <c r="Z1320" s="6">
        <v>510</v>
      </c>
      <c r="AB1320" s="7" t="s">
        <v>1997</v>
      </c>
    </row>
    <row r="1321" spans="1:28" ht="21.75" customHeight="1" x14ac:dyDescent="0.2">
      <c r="A1321" s="7" t="s">
        <v>1931</v>
      </c>
      <c r="B1321" s="7" t="s">
        <v>1959</v>
      </c>
      <c r="C1321" s="7" t="s">
        <v>90</v>
      </c>
      <c r="D1321" s="7" t="s">
        <v>1952</v>
      </c>
      <c r="E1321" s="7" t="s">
        <v>33</v>
      </c>
      <c r="F1321" s="7" t="s">
        <v>212</v>
      </c>
      <c r="G1321" s="7" t="s">
        <v>84</v>
      </c>
      <c r="H1321" s="1" t="s">
        <v>85</v>
      </c>
      <c r="I1321" s="2">
        <f>16*0.0254</f>
        <v>0.40639999999999998</v>
      </c>
      <c r="J1321" s="2" t="s">
        <v>4367</v>
      </c>
      <c r="K1321" s="2" t="s">
        <v>5713</v>
      </c>
      <c r="O1321" s="45" t="s">
        <v>1992</v>
      </c>
      <c r="R1321" s="7" t="s">
        <v>1999</v>
      </c>
      <c r="X1321" s="5">
        <v>46.3521</v>
      </c>
      <c r="Y1321" s="5">
        <v>-88.849900000000005</v>
      </c>
      <c r="Z1321" s="6">
        <v>497</v>
      </c>
      <c r="AB1321" s="7" t="s">
        <v>1997</v>
      </c>
    </row>
    <row r="1322" spans="1:28" ht="21.75" customHeight="1" x14ac:dyDescent="0.2">
      <c r="A1322" s="7" t="s">
        <v>1931</v>
      </c>
      <c r="B1322" s="7" t="s">
        <v>1959</v>
      </c>
      <c r="C1322" s="7" t="s">
        <v>90</v>
      </c>
      <c r="D1322" s="7" t="s">
        <v>1952</v>
      </c>
      <c r="E1322" s="7" t="s">
        <v>33</v>
      </c>
      <c r="F1322" s="7" t="s">
        <v>212</v>
      </c>
      <c r="G1322" s="7" t="s">
        <v>86</v>
      </c>
      <c r="H1322" s="1" t="s">
        <v>87</v>
      </c>
      <c r="I1322" s="2">
        <f>74*0.0254</f>
        <v>1.8795999999999999</v>
      </c>
      <c r="J1322" s="2" t="s">
        <v>4367</v>
      </c>
      <c r="K1322" s="2" t="s">
        <v>5713</v>
      </c>
      <c r="O1322" s="45" t="s">
        <v>1992</v>
      </c>
      <c r="R1322" s="7" t="s">
        <v>1999</v>
      </c>
      <c r="X1322" s="5">
        <v>46.360300000000002</v>
      </c>
      <c r="Y1322" s="5">
        <v>-88.864000000000004</v>
      </c>
      <c r="Z1322" s="6">
        <v>504</v>
      </c>
      <c r="AB1322" s="7" t="s">
        <v>1997</v>
      </c>
    </row>
    <row r="1323" spans="1:28" ht="21.75" customHeight="1" x14ac:dyDescent="0.2">
      <c r="A1323" s="7" t="s">
        <v>1931</v>
      </c>
      <c r="B1323" s="7" t="s">
        <v>1959</v>
      </c>
      <c r="C1323" s="7" t="s">
        <v>90</v>
      </c>
      <c r="D1323" s="7" t="s">
        <v>1952</v>
      </c>
      <c r="E1323" s="7" t="s">
        <v>33</v>
      </c>
      <c r="F1323" s="7" t="s">
        <v>212</v>
      </c>
      <c r="G1323" s="7" t="s">
        <v>1933</v>
      </c>
      <c r="H1323" s="1" t="s">
        <v>1934</v>
      </c>
      <c r="I1323" s="2">
        <f>118*0.0254</f>
        <v>2.9971999999999999</v>
      </c>
      <c r="J1323" s="2" t="s">
        <v>4367</v>
      </c>
      <c r="K1323" s="2" t="s">
        <v>5713</v>
      </c>
      <c r="O1323" s="45" t="s">
        <v>1992</v>
      </c>
      <c r="R1323" s="7" t="s">
        <v>1999</v>
      </c>
      <c r="X1323" s="5">
        <v>46.357300000000002</v>
      </c>
      <c r="Y1323" s="5">
        <v>-88.857799999999997</v>
      </c>
      <c r="Z1323" s="6">
        <v>500</v>
      </c>
      <c r="AB1323" s="7" t="s">
        <v>1997</v>
      </c>
    </row>
    <row r="1324" spans="1:28" ht="21.75" customHeight="1" x14ac:dyDescent="0.2">
      <c r="A1324" s="7" t="s">
        <v>1931</v>
      </c>
      <c r="B1324" s="7" t="s">
        <v>1959</v>
      </c>
      <c r="C1324" s="7" t="s">
        <v>90</v>
      </c>
      <c r="D1324" s="7" t="s">
        <v>1953</v>
      </c>
      <c r="E1324" s="7" t="s">
        <v>33</v>
      </c>
      <c r="F1324" s="7" t="s">
        <v>212</v>
      </c>
      <c r="G1324" s="7" t="s">
        <v>86</v>
      </c>
      <c r="H1324" s="1" t="s">
        <v>87</v>
      </c>
      <c r="I1324" s="2">
        <f>40*0.0254</f>
        <v>1.016</v>
      </c>
      <c r="J1324" s="2" t="s">
        <v>4367</v>
      </c>
      <c r="K1324" s="2" t="s">
        <v>5713</v>
      </c>
      <c r="L1324" s="7"/>
      <c r="O1324" s="45" t="s">
        <v>2001</v>
      </c>
      <c r="R1324" s="7" t="s">
        <v>2000</v>
      </c>
      <c r="X1324" s="5">
        <v>46.236499999999999</v>
      </c>
      <c r="Y1324" s="5">
        <v>-88.878200000000007</v>
      </c>
      <c r="Z1324" s="6">
        <v>492</v>
      </c>
      <c r="AB1324" s="7" t="s">
        <v>2005</v>
      </c>
    </row>
    <row r="1325" spans="1:28" ht="21.75" customHeight="1" x14ac:dyDescent="0.2">
      <c r="A1325" s="7" t="s">
        <v>1931</v>
      </c>
      <c r="B1325" s="7" t="s">
        <v>1959</v>
      </c>
      <c r="C1325" s="7" t="s">
        <v>90</v>
      </c>
      <c r="D1325" s="7" t="s">
        <v>1953</v>
      </c>
      <c r="E1325" s="7" t="s">
        <v>33</v>
      </c>
      <c r="F1325" s="7" t="s">
        <v>212</v>
      </c>
      <c r="G1325" s="7" t="s">
        <v>1933</v>
      </c>
      <c r="H1325" s="1" t="s">
        <v>1934</v>
      </c>
      <c r="I1325" s="2">
        <f>27*0.0254</f>
        <v>0.68579999999999997</v>
      </c>
      <c r="J1325" s="2" t="s">
        <v>4367</v>
      </c>
      <c r="K1325" s="2" t="s">
        <v>5713</v>
      </c>
      <c r="L1325" s="7"/>
      <c r="O1325" s="45" t="s">
        <v>2001</v>
      </c>
      <c r="R1325" s="7" t="s">
        <v>2000</v>
      </c>
      <c r="X1325" s="5">
        <v>46.238</v>
      </c>
      <c r="Y1325" s="5">
        <v>-88.884399999999999</v>
      </c>
      <c r="Z1325" s="6">
        <v>500</v>
      </c>
      <c r="AB1325" s="7" t="s">
        <v>2005</v>
      </c>
    </row>
    <row r="1326" spans="1:28" ht="21.75" customHeight="1" x14ac:dyDescent="0.2">
      <c r="A1326" s="7" t="s">
        <v>1931</v>
      </c>
      <c r="B1326" s="7" t="s">
        <v>1959</v>
      </c>
      <c r="C1326" s="7" t="s">
        <v>90</v>
      </c>
      <c r="D1326" s="7" t="s">
        <v>1954</v>
      </c>
      <c r="E1326" s="7" t="s">
        <v>33</v>
      </c>
      <c r="F1326" s="7" t="s">
        <v>212</v>
      </c>
      <c r="G1326" s="7" t="s">
        <v>1933</v>
      </c>
      <c r="H1326" s="1" t="s">
        <v>1934</v>
      </c>
      <c r="I1326" s="2">
        <f>28*0.0254</f>
        <v>0.71119999999999994</v>
      </c>
      <c r="J1326" s="2" t="s">
        <v>4367</v>
      </c>
      <c r="K1326" s="2" t="s">
        <v>5713</v>
      </c>
      <c r="L1326" s="7"/>
      <c r="O1326" s="45" t="s">
        <v>2002</v>
      </c>
      <c r="R1326" s="7" t="s">
        <v>1999</v>
      </c>
      <c r="S1326" s="7" t="s">
        <v>2004</v>
      </c>
      <c r="T1326" s="2">
        <f>6*0.0254</f>
        <v>0.15239999999999998</v>
      </c>
      <c r="X1326" s="5">
        <v>46.235599999999998</v>
      </c>
      <c r="Y1326" s="5">
        <v>-89.043000000000006</v>
      </c>
      <c r="Z1326" s="6">
        <v>520</v>
      </c>
      <c r="AA1326" s="7" t="s">
        <v>2003</v>
      </c>
      <c r="AB1326" s="7" t="s">
        <v>2006</v>
      </c>
    </row>
    <row r="1327" spans="1:28" ht="21.75" customHeight="1" x14ac:dyDescent="0.2">
      <c r="A1327" s="7" t="s">
        <v>1931</v>
      </c>
      <c r="B1327" s="7" t="s">
        <v>1959</v>
      </c>
      <c r="C1327" s="7" t="s">
        <v>90</v>
      </c>
      <c r="D1327" s="7" t="s">
        <v>1955</v>
      </c>
      <c r="E1327" s="7" t="s">
        <v>33</v>
      </c>
      <c r="F1327" s="7" t="s">
        <v>212</v>
      </c>
      <c r="G1327" s="7" t="s">
        <v>84</v>
      </c>
      <c r="H1327" s="1" t="s">
        <v>85</v>
      </c>
      <c r="I1327" s="2">
        <f>13*0.0254</f>
        <v>0.33019999999999999</v>
      </c>
      <c r="J1327" s="2" t="s">
        <v>4367</v>
      </c>
      <c r="K1327" s="2" t="s">
        <v>5713</v>
      </c>
      <c r="L1327" s="7"/>
      <c r="O1327" s="45" t="s">
        <v>2007</v>
      </c>
      <c r="Q1327" s="2">
        <f>24*0.0254</f>
        <v>0.60959999999999992</v>
      </c>
      <c r="R1327" s="7" t="s">
        <v>1969</v>
      </c>
      <c r="X1327" s="5">
        <v>46.194299999999998</v>
      </c>
      <c r="Y1327" s="5">
        <v>-89.002499999999998</v>
      </c>
      <c r="Z1327" s="6">
        <v>539</v>
      </c>
      <c r="AA1327" s="7" t="s">
        <v>2008</v>
      </c>
      <c r="AB1327" s="7" t="s">
        <v>2006</v>
      </c>
    </row>
    <row r="1328" spans="1:28" ht="21.75" customHeight="1" x14ac:dyDescent="0.2">
      <c r="A1328" s="7" t="s">
        <v>1931</v>
      </c>
      <c r="B1328" s="7" t="s">
        <v>1959</v>
      </c>
      <c r="C1328" s="7" t="s">
        <v>90</v>
      </c>
      <c r="D1328" s="7" t="s">
        <v>1955</v>
      </c>
      <c r="E1328" s="7" t="s">
        <v>33</v>
      </c>
      <c r="F1328" s="7" t="s">
        <v>212</v>
      </c>
      <c r="G1328" s="7" t="s">
        <v>1933</v>
      </c>
      <c r="H1328" s="1" t="s">
        <v>1934</v>
      </c>
      <c r="I1328" s="2">
        <f>27*0.0254</f>
        <v>0.68579999999999997</v>
      </c>
      <c r="J1328" s="2" t="s">
        <v>4367</v>
      </c>
      <c r="K1328" s="2" t="s">
        <v>5713</v>
      </c>
      <c r="L1328" s="7"/>
      <c r="O1328" s="45" t="s">
        <v>2007</v>
      </c>
      <c r="Q1328" s="2">
        <f>24*0.0254</f>
        <v>0.60959999999999992</v>
      </c>
      <c r="R1328" s="7" t="s">
        <v>1969</v>
      </c>
      <c r="X1328" s="5">
        <v>46.19</v>
      </c>
      <c r="Y1328" s="5">
        <v>-89.042000000000002</v>
      </c>
      <c r="Z1328" s="6">
        <v>538</v>
      </c>
      <c r="AA1328" s="7" t="s">
        <v>2008</v>
      </c>
      <c r="AB1328" s="7" t="s">
        <v>2006</v>
      </c>
    </row>
    <row r="1329" spans="1:28" ht="21.75" customHeight="1" x14ac:dyDescent="0.2">
      <c r="A1329" s="7" t="s">
        <v>1931</v>
      </c>
      <c r="B1329" s="7" t="s">
        <v>2009</v>
      </c>
      <c r="C1329" s="7" t="s">
        <v>90</v>
      </c>
      <c r="D1329" s="7" t="s">
        <v>1956</v>
      </c>
      <c r="E1329" s="7" t="s">
        <v>33</v>
      </c>
      <c r="F1329" s="7" t="s">
        <v>212</v>
      </c>
      <c r="G1329" s="7" t="s">
        <v>84</v>
      </c>
      <c r="H1329" s="1" t="s">
        <v>85</v>
      </c>
      <c r="I1329" s="2">
        <f>30*0.0254</f>
        <v>0.76200000000000001</v>
      </c>
      <c r="J1329" s="2" t="s">
        <v>4367</v>
      </c>
      <c r="K1329" s="2" t="s">
        <v>5713</v>
      </c>
      <c r="O1329" s="45" t="s">
        <v>2012</v>
      </c>
      <c r="R1329" s="7" t="s">
        <v>2010</v>
      </c>
      <c r="X1329" s="5">
        <v>48.300699999999999</v>
      </c>
      <c r="Y1329" s="5">
        <v>-92.727599999999995</v>
      </c>
      <c r="Z1329" s="6">
        <v>404</v>
      </c>
      <c r="AB1329" s="7" t="s">
        <v>2013</v>
      </c>
    </row>
    <row r="1330" spans="1:28" ht="21.75" customHeight="1" x14ac:dyDescent="0.2">
      <c r="A1330" s="7" t="s">
        <v>1931</v>
      </c>
      <c r="B1330" s="7" t="s">
        <v>1958</v>
      </c>
      <c r="C1330" s="7" t="s">
        <v>90</v>
      </c>
      <c r="D1330" s="7" t="s">
        <v>1957</v>
      </c>
      <c r="E1330" s="7" t="s">
        <v>33</v>
      </c>
      <c r="F1330" s="7" t="s">
        <v>212</v>
      </c>
      <c r="G1330" s="7" t="s">
        <v>84</v>
      </c>
      <c r="H1330" s="1" t="s">
        <v>85</v>
      </c>
      <c r="I1330" s="2">
        <f>26*0.0254</f>
        <v>0.66039999999999999</v>
      </c>
      <c r="J1330" s="2" t="s">
        <v>4367</v>
      </c>
      <c r="K1330" s="2" t="s">
        <v>5713</v>
      </c>
      <c r="O1330" s="45" t="s">
        <v>2012</v>
      </c>
      <c r="R1330" s="7" t="s">
        <v>2011</v>
      </c>
      <c r="X1330" s="5">
        <v>49.760300000000001</v>
      </c>
      <c r="Y1330" s="5">
        <v>-85.414199999999994</v>
      </c>
      <c r="Z1330" s="6">
        <v>224</v>
      </c>
      <c r="AB1330" s="7" t="s">
        <v>2014</v>
      </c>
    </row>
    <row r="1331" spans="1:28" ht="21.75" customHeight="1" x14ac:dyDescent="0.2">
      <c r="A1331" s="7" t="s">
        <v>1931</v>
      </c>
      <c r="B1331" s="7" t="s">
        <v>1958</v>
      </c>
      <c r="C1331" s="7" t="s">
        <v>90</v>
      </c>
      <c r="D1331" s="7" t="s">
        <v>1957</v>
      </c>
      <c r="E1331" s="7" t="s">
        <v>33</v>
      </c>
      <c r="F1331" s="7" t="s">
        <v>212</v>
      </c>
      <c r="G1331" s="7" t="s">
        <v>86</v>
      </c>
      <c r="H1331" s="1" t="s">
        <v>87</v>
      </c>
      <c r="I1331" s="2">
        <f>58*0.0254</f>
        <v>1.4731999999999998</v>
      </c>
      <c r="J1331" s="2" t="s">
        <v>4367</v>
      </c>
      <c r="K1331" s="2" t="s">
        <v>5713</v>
      </c>
      <c r="O1331" s="45" t="s">
        <v>2012</v>
      </c>
      <c r="R1331" s="7" t="s">
        <v>2011</v>
      </c>
      <c r="X1331" s="5">
        <v>49.761499999999998</v>
      </c>
      <c r="Y1331" s="5">
        <v>-85.430199999999999</v>
      </c>
      <c r="Z1331" s="6">
        <v>240</v>
      </c>
      <c r="AB1331" s="7" t="s">
        <v>2014</v>
      </c>
    </row>
    <row r="1332" spans="1:28" ht="21.75" customHeight="1" x14ac:dyDescent="0.2">
      <c r="A1332" s="7" t="s">
        <v>1931</v>
      </c>
      <c r="B1332" s="7" t="s">
        <v>1958</v>
      </c>
      <c r="C1332" s="7" t="s">
        <v>90</v>
      </c>
      <c r="D1332" s="7" t="s">
        <v>1957</v>
      </c>
      <c r="E1332" s="7" t="s">
        <v>33</v>
      </c>
      <c r="F1332" s="7" t="s">
        <v>212</v>
      </c>
      <c r="G1332" s="7" t="s">
        <v>1933</v>
      </c>
      <c r="H1332" s="1" t="s">
        <v>1934</v>
      </c>
      <c r="I1332" s="2">
        <f>55*0.0254</f>
        <v>1.397</v>
      </c>
      <c r="J1332" s="2" t="s">
        <v>4367</v>
      </c>
      <c r="K1332" s="2" t="s">
        <v>5713</v>
      </c>
      <c r="O1332" s="45" t="s">
        <v>2012</v>
      </c>
      <c r="R1332" s="7" t="s">
        <v>2011</v>
      </c>
      <c r="X1332" s="5">
        <v>49.763500000000001</v>
      </c>
      <c r="Y1332" s="5">
        <v>-85.445800000000006</v>
      </c>
      <c r="Z1332" s="6">
        <v>235</v>
      </c>
      <c r="AB1332" s="7" t="s">
        <v>2014</v>
      </c>
    </row>
    <row r="1333" spans="1:28" ht="21.75" customHeight="1" x14ac:dyDescent="0.2">
      <c r="A1333" s="7" t="s">
        <v>1931</v>
      </c>
      <c r="B1333" s="7" t="s">
        <v>1958</v>
      </c>
      <c r="C1333" s="7" t="s">
        <v>90</v>
      </c>
      <c r="D1333" s="7" t="s">
        <v>2015</v>
      </c>
      <c r="E1333" s="7" t="s">
        <v>33</v>
      </c>
      <c r="F1333" s="7" t="s">
        <v>212</v>
      </c>
      <c r="G1333" s="7" t="s">
        <v>84</v>
      </c>
      <c r="H1333" s="1" t="s">
        <v>85</v>
      </c>
      <c r="I1333" s="2">
        <f>22*0.0254</f>
        <v>0.55879999999999996</v>
      </c>
      <c r="J1333" s="2" t="s">
        <v>4367</v>
      </c>
      <c r="K1333" s="2" t="s">
        <v>5713</v>
      </c>
      <c r="O1333" s="45" t="s">
        <v>1981</v>
      </c>
      <c r="R1333" s="7" t="s">
        <v>2016</v>
      </c>
      <c r="X1333" s="5">
        <v>49.539700000000003</v>
      </c>
      <c r="Y1333" s="5">
        <v>-86.552400000000006</v>
      </c>
      <c r="Z1333" s="6">
        <v>351</v>
      </c>
      <c r="AB1333" s="7" t="s">
        <v>2017</v>
      </c>
    </row>
    <row r="1334" spans="1:28" ht="21.75" customHeight="1" x14ac:dyDescent="0.2">
      <c r="A1334" s="7" t="s">
        <v>1931</v>
      </c>
      <c r="B1334" s="7" t="s">
        <v>1958</v>
      </c>
      <c r="C1334" s="7" t="s">
        <v>90</v>
      </c>
      <c r="D1334" s="7" t="s">
        <v>2015</v>
      </c>
      <c r="E1334" s="7" t="s">
        <v>33</v>
      </c>
      <c r="F1334" s="7" t="s">
        <v>212</v>
      </c>
      <c r="G1334" s="7" t="s">
        <v>86</v>
      </c>
      <c r="H1334" s="1" t="s">
        <v>87</v>
      </c>
      <c r="I1334" s="2">
        <f>68*0.0254</f>
        <v>1.7271999999999998</v>
      </c>
      <c r="J1334" s="2" t="s">
        <v>4367</v>
      </c>
      <c r="K1334" s="2" t="s">
        <v>5713</v>
      </c>
      <c r="O1334" s="45" t="s">
        <v>1981</v>
      </c>
      <c r="R1334" s="7" t="s">
        <v>2016</v>
      </c>
      <c r="X1334" s="5">
        <v>49.5413</v>
      </c>
      <c r="Y1334" s="5">
        <v>-86.564999999999998</v>
      </c>
      <c r="Z1334" s="6">
        <v>360</v>
      </c>
      <c r="AB1334" s="7" t="s">
        <v>2017</v>
      </c>
    </row>
    <row r="1335" spans="1:28" ht="21.75" customHeight="1" x14ac:dyDescent="0.2">
      <c r="A1335" s="7" t="s">
        <v>1931</v>
      </c>
      <c r="B1335" s="7" t="s">
        <v>1958</v>
      </c>
      <c r="C1335" s="7" t="s">
        <v>90</v>
      </c>
      <c r="D1335" s="7" t="s">
        <v>2015</v>
      </c>
      <c r="E1335" s="7" t="s">
        <v>33</v>
      </c>
      <c r="F1335" s="7" t="s">
        <v>212</v>
      </c>
      <c r="G1335" s="7" t="s">
        <v>1933</v>
      </c>
      <c r="H1335" s="1" t="s">
        <v>1934</v>
      </c>
      <c r="I1335" s="2">
        <f>42*0.0254</f>
        <v>1.0668</v>
      </c>
      <c r="J1335" s="2" t="s">
        <v>4367</v>
      </c>
      <c r="K1335" s="2" t="s">
        <v>5713</v>
      </c>
      <c r="O1335" s="45" t="s">
        <v>1981</v>
      </c>
      <c r="R1335" s="7" t="s">
        <v>2016</v>
      </c>
      <c r="X1335" s="5">
        <v>49.5379</v>
      </c>
      <c r="Y1335" s="5">
        <v>-86.576099999999997</v>
      </c>
      <c r="Z1335" s="6">
        <v>362</v>
      </c>
      <c r="AB1335" s="7" t="s">
        <v>2017</v>
      </c>
    </row>
    <row r="1336" spans="1:28" ht="21.75" customHeight="1" x14ac:dyDescent="0.2">
      <c r="A1336" s="7" t="s">
        <v>1931</v>
      </c>
      <c r="B1336" s="7" t="s">
        <v>1958</v>
      </c>
      <c r="C1336" s="7" t="s">
        <v>90</v>
      </c>
      <c r="D1336" s="7" t="s">
        <v>2018</v>
      </c>
      <c r="E1336" s="7" t="s">
        <v>33</v>
      </c>
      <c r="F1336" s="7" t="s">
        <v>212</v>
      </c>
      <c r="G1336" s="7" t="s">
        <v>84</v>
      </c>
      <c r="H1336" s="1" t="s">
        <v>85</v>
      </c>
      <c r="I1336" s="2">
        <f>21*0.0254</f>
        <v>0.53339999999999999</v>
      </c>
      <c r="J1336" s="2" t="s">
        <v>4367</v>
      </c>
      <c r="K1336" s="2" t="s">
        <v>5713</v>
      </c>
      <c r="O1336" s="45" t="s">
        <v>1981</v>
      </c>
      <c r="R1336" s="7" t="s">
        <v>2021</v>
      </c>
      <c r="X1336" s="5">
        <v>49.241799999999998</v>
      </c>
      <c r="Y1336" s="5">
        <v>-87.155699999999996</v>
      </c>
      <c r="Z1336" s="6">
        <v>439</v>
      </c>
      <c r="AB1336" s="7" t="s">
        <v>2019</v>
      </c>
    </row>
    <row r="1337" spans="1:28" ht="21.75" customHeight="1" x14ac:dyDescent="0.2">
      <c r="A1337" s="7" t="s">
        <v>1931</v>
      </c>
      <c r="B1337" s="7" t="s">
        <v>1958</v>
      </c>
      <c r="C1337" s="7" t="s">
        <v>90</v>
      </c>
      <c r="D1337" s="7" t="s">
        <v>2020</v>
      </c>
      <c r="E1337" s="7" t="s">
        <v>33</v>
      </c>
      <c r="F1337" s="7" t="s">
        <v>212</v>
      </c>
      <c r="G1337" s="7" t="s">
        <v>84</v>
      </c>
      <c r="H1337" s="1" t="s">
        <v>85</v>
      </c>
      <c r="I1337" s="2">
        <f>47*0.0254</f>
        <v>1.1938</v>
      </c>
      <c r="J1337" s="2" t="s">
        <v>4367</v>
      </c>
      <c r="K1337" s="2" t="s">
        <v>5713</v>
      </c>
      <c r="O1337" s="45" t="s">
        <v>1981</v>
      </c>
      <c r="R1337" s="7" t="s">
        <v>2021</v>
      </c>
      <c r="X1337" s="5">
        <v>49.440899999999999</v>
      </c>
      <c r="Y1337" s="5">
        <v>-87.240399999999994</v>
      </c>
      <c r="Z1337" s="6">
        <v>401</v>
      </c>
      <c r="AB1337" s="7" t="s">
        <v>2022</v>
      </c>
    </row>
    <row r="1338" spans="1:28" ht="21.75" customHeight="1" x14ac:dyDescent="0.2">
      <c r="A1338" s="7" t="s">
        <v>1931</v>
      </c>
      <c r="B1338" s="7" t="s">
        <v>1958</v>
      </c>
      <c r="C1338" s="7" t="s">
        <v>90</v>
      </c>
      <c r="D1338" s="7" t="s">
        <v>2020</v>
      </c>
      <c r="E1338" s="7" t="s">
        <v>33</v>
      </c>
      <c r="F1338" s="7" t="s">
        <v>212</v>
      </c>
      <c r="G1338" s="7" t="s">
        <v>86</v>
      </c>
      <c r="H1338" s="1" t="s">
        <v>87</v>
      </c>
      <c r="I1338" s="2">
        <f>70*0.0254</f>
        <v>1.778</v>
      </c>
      <c r="J1338" s="2" t="s">
        <v>4367</v>
      </c>
      <c r="K1338" s="2" t="s">
        <v>5713</v>
      </c>
      <c r="O1338" s="45" t="s">
        <v>1981</v>
      </c>
      <c r="R1338" s="7" t="s">
        <v>2021</v>
      </c>
      <c r="X1338" s="5">
        <v>49.460700000000003</v>
      </c>
      <c r="Y1338" s="5">
        <v>-87.2</v>
      </c>
      <c r="Z1338" s="6">
        <v>411</v>
      </c>
      <c r="AB1338" s="7" t="s">
        <v>2022</v>
      </c>
    </row>
    <row r="1339" spans="1:28" ht="21.75" customHeight="1" x14ac:dyDescent="0.2">
      <c r="A1339" s="7" t="s">
        <v>1931</v>
      </c>
      <c r="B1339" s="7" t="s">
        <v>1958</v>
      </c>
      <c r="C1339" s="7" t="s">
        <v>90</v>
      </c>
      <c r="D1339" s="7" t="s">
        <v>2020</v>
      </c>
      <c r="E1339" s="7" t="s">
        <v>33</v>
      </c>
      <c r="F1339" s="7" t="s">
        <v>212</v>
      </c>
      <c r="G1339" s="7" t="s">
        <v>1933</v>
      </c>
      <c r="H1339" s="1" t="s">
        <v>1934</v>
      </c>
      <c r="I1339" s="2">
        <f>40*0.0254</f>
        <v>1.016</v>
      </c>
      <c r="J1339" s="2" t="s">
        <v>4367</v>
      </c>
      <c r="K1339" s="2" t="s">
        <v>5713</v>
      </c>
      <c r="O1339" s="45" t="s">
        <v>1981</v>
      </c>
      <c r="R1339" s="7" t="s">
        <v>2021</v>
      </c>
      <c r="X1339" s="5">
        <v>49.451999999999998</v>
      </c>
      <c r="Y1339" s="5">
        <v>-87.220600000000005</v>
      </c>
      <c r="Z1339" s="6">
        <v>418</v>
      </c>
      <c r="AB1339" s="7" t="s">
        <v>2022</v>
      </c>
    </row>
    <row r="1340" spans="1:28" ht="21.75" customHeight="1" x14ac:dyDescent="0.2">
      <c r="A1340" s="7" t="s">
        <v>1931</v>
      </c>
      <c r="B1340" s="7" t="s">
        <v>1959</v>
      </c>
      <c r="C1340" s="7" t="s">
        <v>90</v>
      </c>
      <c r="D1340" s="7" t="s">
        <v>1951</v>
      </c>
      <c r="E1340" s="7" t="s">
        <v>33</v>
      </c>
      <c r="F1340" s="7" t="s">
        <v>212</v>
      </c>
      <c r="G1340" s="7" t="s">
        <v>84</v>
      </c>
      <c r="H1340" s="1" t="s">
        <v>85</v>
      </c>
      <c r="I1340" s="2">
        <f>16*0.0254</f>
        <v>0.40639999999999998</v>
      </c>
      <c r="J1340" s="2" t="s">
        <v>4367</v>
      </c>
      <c r="K1340" s="2" t="s">
        <v>5713</v>
      </c>
      <c r="O1340" s="45" t="s">
        <v>2023</v>
      </c>
      <c r="R1340" s="7" t="s">
        <v>1999</v>
      </c>
      <c r="X1340" s="5">
        <v>46.359200000000001</v>
      </c>
      <c r="Y1340" s="5">
        <v>-88.857799999999997</v>
      </c>
      <c r="Z1340" s="6">
        <v>501</v>
      </c>
      <c r="AB1340" s="7" t="s">
        <v>1997</v>
      </c>
    </row>
    <row r="1341" spans="1:28" s="8" customFormat="1" ht="21.75" customHeight="1" x14ac:dyDescent="0.2">
      <c r="A1341" s="8" t="s">
        <v>1149</v>
      </c>
      <c r="B1341" s="8" t="s">
        <v>1150</v>
      </c>
      <c r="C1341" s="8" t="s">
        <v>94</v>
      </c>
      <c r="D1341" s="8" t="s">
        <v>1153</v>
      </c>
      <c r="E1341" s="8" t="s">
        <v>33</v>
      </c>
      <c r="F1341" s="8" t="s">
        <v>212</v>
      </c>
      <c r="G1341" s="8" t="s">
        <v>1014</v>
      </c>
      <c r="H1341" s="3" t="s">
        <v>1008</v>
      </c>
      <c r="I1341" s="8">
        <v>2.2999999999999998</v>
      </c>
      <c r="J1341" s="8" t="s">
        <v>5814</v>
      </c>
      <c r="K1341" s="8" t="s">
        <v>5753</v>
      </c>
      <c r="L1341" s="14">
        <v>1320</v>
      </c>
      <c r="M1341" s="14"/>
      <c r="N1341" s="14"/>
      <c r="O1341" s="110"/>
      <c r="P1341" s="4" t="s">
        <v>1151</v>
      </c>
      <c r="Q1341" s="8">
        <v>2</v>
      </c>
      <c r="R1341" s="8" t="s">
        <v>1152</v>
      </c>
      <c r="W1341" s="8" t="s">
        <v>1156</v>
      </c>
      <c r="X1341" s="13">
        <v>30.133700000000001</v>
      </c>
      <c r="Y1341" s="13">
        <v>-81.471000000000004</v>
      </c>
      <c r="Z1341" s="14">
        <v>6</v>
      </c>
      <c r="AA1341" s="8" t="s">
        <v>1157</v>
      </c>
      <c r="AB1341" s="8" t="s">
        <v>1158</v>
      </c>
    </row>
    <row r="1342" spans="1:28" s="8" customFormat="1" ht="21.75" customHeight="1" x14ac:dyDescent="0.2">
      <c r="A1342" s="8" t="s">
        <v>1149</v>
      </c>
      <c r="B1342" s="8" t="s">
        <v>1150</v>
      </c>
      <c r="C1342" s="8" t="s">
        <v>94</v>
      </c>
      <c r="D1342" s="8" t="s">
        <v>1154</v>
      </c>
      <c r="E1342" s="8" t="s">
        <v>33</v>
      </c>
      <c r="F1342" s="8" t="s">
        <v>212</v>
      </c>
      <c r="G1342" s="8" t="s">
        <v>1014</v>
      </c>
      <c r="H1342" s="3" t="s">
        <v>1008</v>
      </c>
      <c r="I1342" s="8">
        <v>2.6</v>
      </c>
      <c r="J1342" s="8" t="s">
        <v>5814</v>
      </c>
      <c r="K1342" s="8" t="s">
        <v>5753</v>
      </c>
      <c r="L1342" s="14">
        <v>1320</v>
      </c>
      <c r="M1342" s="14"/>
      <c r="N1342" s="14"/>
      <c r="O1342" s="110"/>
      <c r="P1342" s="4" t="s">
        <v>1151</v>
      </c>
      <c r="Q1342" s="8">
        <v>2</v>
      </c>
      <c r="R1342" s="8" t="s">
        <v>1152</v>
      </c>
      <c r="W1342" s="8" t="s">
        <v>1156</v>
      </c>
      <c r="X1342" s="13">
        <v>30.126999999999999</v>
      </c>
      <c r="Y1342" s="13">
        <v>-81.473799999999997</v>
      </c>
      <c r="Z1342" s="14">
        <v>6</v>
      </c>
      <c r="AA1342" s="8" t="s">
        <v>1155</v>
      </c>
      <c r="AB1342" s="8" t="s">
        <v>1158</v>
      </c>
    </row>
    <row r="1343" spans="1:28" ht="21.75" customHeight="1" x14ac:dyDescent="0.2">
      <c r="A1343" s="7" t="s">
        <v>1914</v>
      </c>
      <c r="B1343" s="7" t="s">
        <v>1920</v>
      </c>
      <c r="C1343" s="7" t="s">
        <v>1921</v>
      </c>
      <c r="D1343" s="7">
        <v>1</v>
      </c>
      <c r="E1343" s="7" t="s">
        <v>280</v>
      </c>
      <c r="F1343" s="7" t="s">
        <v>4049</v>
      </c>
      <c r="G1343" s="7" t="s">
        <v>4050</v>
      </c>
      <c r="H1343" s="1" t="s">
        <v>1915</v>
      </c>
      <c r="I1343" s="2">
        <v>1.75</v>
      </c>
      <c r="J1343" s="2" t="s">
        <v>4367</v>
      </c>
      <c r="K1343" s="2" t="s">
        <v>4410</v>
      </c>
      <c r="L1343" s="7">
        <v>770</v>
      </c>
      <c r="Q1343" s="7">
        <v>2</v>
      </c>
      <c r="R1343" s="7" t="s">
        <v>1926</v>
      </c>
      <c r="X1343" s="5">
        <f>-(44+50/60+3/3600)</f>
        <v>-44.834166666666668</v>
      </c>
      <c r="Y1343" s="5">
        <f>-(71+43/60+21/3600)</f>
        <v>-71.722499999999997</v>
      </c>
      <c r="Z1343" s="6">
        <v>1080</v>
      </c>
    </row>
    <row r="1344" spans="1:28" ht="21.75" customHeight="1" x14ac:dyDescent="0.2">
      <c r="A1344" s="7" t="s">
        <v>1914</v>
      </c>
      <c r="B1344" s="7" t="s">
        <v>1920</v>
      </c>
      <c r="C1344" s="7" t="s">
        <v>1922</v>
      </c>
      <c r="D1344" s="7">
        <v>2</v>
      </c>
      <c r="E1344" s="7" t="s">
        <v>280</v>
      </c>
      <c r="F1344" s="7" t="s">
        <v>4049</v>
      </c>
      <c r="G1344" s="7" t="s">
        <v>4051</v>
      </c>
      <c r="H1344" s="1" t="s">
        <v>1916</v>
      </c>
      <c r="I1344" s="2">
        <v>2.15</v>
      </c>
      <c r="J1344" s="2" t="s">
        <v>4367</v>
      </c>
      <c r="K1344" s="2" t="s">
        <v>4410</v>
      </c>
      <c r="L1344" s="7">
        <v>520</v>
      </c>
      <c r="Q1344" s="7">
        <v>2.2000000000000002</v>
      </c>
      <c r="R1344" s="7" t="s">
        <v>1927</v>
      </c>
      <c r="X1344" s="5">
        <f>-(44+51/60+17/3600)</f>
        <v>-44.854722222222222</v>
      </c>
      <c r="Y1344" s="5">
        <f>-(71+34/60+55/3600)</f>
        <v>-71.581944444444446</v>
      </c>
      <c r="Z1344" s="6">
        <v>960</v>
      </c>
    </row>
    <row r="1345" spans="1:28" ht="21.75" customHeight="1" x14ac:dyDescent="0.2">
      <c r="A1345" s="7" t="s">
        <v>1914</v>
      </c>
      <c r="B1345" s="7" t="s">
        <v>1920</v>
      </c>
      <c r="C1345" s="7" t="s">
        <v>1923</v>
      </c>
      <c r="D1345" s="7">
        <v>3</v>
      </c>
      <c r="E1345" s="7" t="s">
        <v>398</v>
      </c>
      <c r="F1345" s="7" t="s">
        <v>4052</v>
      </c>
      <c r="H1345" s="1" t="s">
        <v>1917</v>
      </c>
      <c r="I1345" s="2">
        <v>1.8</v>
      </c>
      <c r="J1345" s="2" t="s">
        <v>4367</v>
      </c>
      <c r="K1345" s="2" t="s">
        <v>4410</v>
      </c>
      <c r="L1345" s="7">
        <v>290</v>
      </c>
      <c r="Q1345" s="7">
        <v>2.1</v>
      </c>
      <c r="R1345" s="7" t="s">
        <v>1928</v>
      </c>
      <c r="X1345" s="5">
        <f>-(44+52/60+39/3600)</f>
        <v>-44.877499999999998</v>
      </c>
      <c r="Y1345" s="5">
        <f>-(71+19/60+36/3600)</f>
        <v>-71.326666666666668</v>
      </c>
      <c r="Z1345" s="6">
        <v>1160</v>
      </c>
    </row>
    <row r="1346" spans="1:28" ht="21.75" customHeight="1" x14ac:dyDescent="0.2">
      <c r="A1346" s="7" t="s">
        <v>1914</v>
      </c>
      <c r="B1346" s="7" t="s">
        <v>1920</v>
      </c>
      <c r="C1346" s="7" t="s">
        <v>1924</v>
      </c>
      <c r="D1346" s="7">
        <v>4</v>
      </c>
      <c r="E1346" s="7" t="s">
        <v>398</v>
      </c>
      <c r="F1346" s="7" t="s">
        <v>62</v>
      </c>
      <c r="H1346" s="1" t="s">
        <v>1918</v>
      </c>
      <c r="I1346" s="2">
        <v>2.8</v>
      </c>
      <c r="J1346" s="2" t="s">
        <v>4367</v>
      </c>
      <c r="K1346" s="2" t="s">
        <v>4410</v>
      </c>
      <c r="L1346" s="7">
        <v>160</v>
      </c>
      <c r="Q1346" s="7">
        <v>2.7</v>
      </c>
      <c r="R1346" s="7" t="s">
        <v>1929</v>
      </c>
      <c r="X1346" s="5">
        <f>-(45+24/60+18/3600)</f>
        <v>-45.405000000000001</v>
      </c>
      <c r="Y1346" s="5">
        <f>-(70+17/60+31/3600)</f>
        <v>-70.291944444444439</v>
      </c>
      <c r="Z1346" s="6">
        <v>700</v>
      </c>
    </row>
    <row r="1347" spans="1:28" ht="21.75" customHeight="1" x14ac:dyDescent="0.2">
      <c r="A1347" s="7" t="s">
        <v>1914</v>
      </c>
      <c r="B1347" s="7" t="s">
        <v>1920</v>
      </c>
      <c r="C1347" s="7" t="s">
        <v>1925</v>
      </c>
      <c r="D1347" s="7">
        <v>5</v>
      </c>
      <c r="E1347" s="7" t="s">
        <v>398</v>
      </c>
      <c r="F1347" s="7" t="s">
        <v>4054</v>
      </c>
      <c r="G1347" s="7" t="s">
        <v>4053</v>
      </c>
      <c r="H1347" s="1" t="s">
        <v>1919</v>
      </c>
      <c r="I1347" s="2">
        <v>2.8</v>
      </c>
      <c r="J1347" s="2" t="s">
        <v>4367</v>
      </c>
      <c r="K1347" s="2" t="s">
        <v>4410</v>
      </c>
      <c r="L1347" s="7">
        <v>125</v>
      </c>
      <c r="Q1347" s="7">
        <v>2.8</v>
      </c>
      <c r="R1347" s="7" t="s">
        <v>1930</v>
      </c>
      <c r="X1347" s="5">
        <f>-(45+27/60+4/3600)</f>
        <v>-45.451111111111111</v>
      </c>
      <c r="Y1347" s="5">
        <f>-(69+49/60+32/3600)</f>
        <v>-69.825555555555553</v>
      </c>
      <c r="Z1347" s="6">
        <v>540</v>
      </c>
    </row>
    <row r="1348" spans="1:28" s="8" customFormat="1" ht="21.75" customHeight="1" x14ac:dyDescent="0.2">
      <c r="A1348" s="8" t="s">
        <v>6821</v>
      </c>
      <c r="B1348" s="8" t="s">
        <v>6822</v>
      </c>
      <c r="C1348" s="8" t="s">
        <v>46</v>
      </c>
      <c r="E1348" s="8" t="s">
        <v>275</v>
      </c>
      <c r="F1348" s="8" t="s">
        <v>6049</v>
      </c>
      <c r="H1348" s="3" t="s">
        <v>6824</v>
      </c>
      <c r="I1348" s="4">
        <v>0.05</v>
      </c>
      <c r="J1348" s="4"/>
      <c r="K1348" s="4" t="s">
        <v>5713</v>
      </c>
      <c r="M1348" s="14"/>
      <c r="N1348" s="14"/>
      <c r="O1348" s="110"/>
      <c r="P1348" s="4"/>
      <c r="X1348" s="13">
        <v>31.743099999999998</v>
      </c>
      <c r="Y1348" s="13">
        <v>35.463799999999999</v>
      </c>
      <c r="Z1348" s="14">
        <v>-369</v>
      </c>
      <c r="AA1348" s="132" t="s">
        <v>6848</v>
      </c>
      <c r="AB1348" s="8" t="s">
        <v>6852</v>
      </c>
    </row>
    <row r="1349" spans="1:28" s="8" customFormat="1" ht="21.75" customHeight="1" x14ac:dyDescent="0.2">
      <c r="A1349" s="8" t="s">
        <v>6821</v>
      </c>
      <c r="B1349" s="8" t="s">
        <v>6822</v>
      </c>
      <c r="C1349" s="8" t="s">
        <v>46</v>
      </c>
      <c r="E1349" s="8" t="s">
        <v>275</v>
      </c>
      <c r="F1349" s="8" t="s">
        <v>6049</v>
      </c>
      <c r="H1349" s="3" t="s">
        <v>6823</v>
      </c>
      <c r="I1349" s="4">
        <v>7.0000000000000007E-2</v>
      </c>
      <c r="J1349" s="4"/>
      <c r="K1349" s="4" t="s">
        <v>5713</v>
      </c>
      <c r="M1349" s="14"/>
      <c r="N1349" s="14"/>
      <c r="O1349" s="110"/>
      <c r="P1349" s="4"/>
      <c r="R1349" s="22"/>
      <c r="X1349" s="13">
        <v>31.743099999999998</v>
      </c>
      <c r="Y1349" s="13">
        <v>35.463799999999999</v>
      </c>
      <c r="Z1349" s="14">
        <v>-369</v>
      </c>
      <c r="AA1349" s="137"/>
      <c r="AB1349" s="8" t="s">
        <v>6437</v>
      </c>
    </row>
    <row r="1350" spans="1:28" s="8" customFormat="1" ht="21.75" customHeight="1" x14ac:dyDescent="0.2">
      <c r="A1350" s="8" t="s">
        <v>6821</v>
      </c>
      <c r="B1350" s="8" t="s">
        <v>6822</v>
      </c>
      <c r="C1350" s="8" t="s">
        <v>46</v>
      </c>
      <c r="E1350" s="8" t="s">
        <v>275</v>
      </c>
      <c r="F1350" s="8" t="s">
        <v>6839</v>
      </c>
      <c r="H1350" s="3" t="s">
        <v>6825</v>
      </c>
      <c r="I1350" s="4">
        <v>0.03</v>
      </c>
      <c r="J1350" s="4"/>
      <c r="K1350" s="4" t="s">
        <v>5713</v>
      </c>
      <c r="M1350" s="14"/>
      <c r="N1350" s="14"/>
      <c r="O1350" s="110"/>
      <c r="P1350" s="4"/>
      <c r="R1350" s="22"/>
      <c r="X1350" s="13">
        <v>31.743099999999998</v>
      </c>
      <c r="Y1350" s="13">
        <v>35.463799999999999</v>
      </c>
      <c r="Z1350" s="14">
        <v>-369</v>
      </c>
      <c r="AA1350" s="133"/>
      <c r="AB1350" s="8" t="s">
        <v>6437</v>
      </c>
    </row>
    <row r="1351" spans="1:28" s="8" customFormat="1" ht="21.75" customHeight="1" x14ac:dyDescent="0.2">
      <c r="A1351" s="8" t="s">
        <v>6821</v>
      </c>
      <c r="B1351" s="8" t="s">
        <v>6822</v>
      </c>
      <c r="C1351" s="8" t="s">
        <v>46</v>
      </c>
      <c r="E1351" s="8" t="s">
        <v>398</v>
      </c>
      <c r="F1351" s="8" t="s">
        <v>6839</v>
      </c>
      <c r="G1351" s="8" t="s">
        <v>6840</v>
      </c>
      <c r="H1351" s="3" t="s">
        <v>6826</v>
      </c>
      <c r="I1351" s="4">
        <v>0.09</v>
      </c>
      <c r="J1351" s="4"/>
      <c r="K1351" s="4" t="s">
        <v>5713</v>
      </c>
      <c r="M1351" s="14"/>
      <c r="N1351" s="14"/>
      <c r="O1351" s="110" t="s">
        <v>6845</v>
      </c>
      <c r="P1351" s="4"/>
      <c r="R1351" s="22"/>
      <c r="X1351" s="13">
        <v>31.743099999999998</v>
      </c>
      <c r="Y1351" s="13">
        <v>35.463799999999999</v>
      </c>
      <c r="Z1351" s="14">
        <v>-369</v>
      </c>
      <c r="AA1351" s="8" t="s">
        <v>6827</v>
      </c>
      <c r="AB1351" s="8" t="s">
        <v>6437</v>
      </c>
    </row>
    <row r="1352" spans="1:28" s="8" customFormat="1" ht="21.75" customHeight="1" x14ac:dyDescent="0.2">
      <c r="A1352" s="8" t="s">
        <v>6821</v>
      </c>
      <c r="B1352" s="8" t="s">
        <v>6822</v>
      </c>
      <c r="C1352" s="8" t="s">
        <v>46</v>
      </c>
      <c r="E1352" s="8" t="s">
        <v>398</v>
      </c>
      <c r="F1352" s="8" t="s">
        <v>214</v>
      </c>
      <c r="H1352" s="3" t="s">
        <v>6828</v>
      </c>
      <c r="I1352" s="4">
        <v>1.68</v>
      </c>
      <c r="J1352" s="4"/>
      <c r="K1352" s="4" t="s">
        <v>5713</v>
      </c>
      <c r="M1352" s="14"/>
      <c r="N1352" s="14"/>
      <c r="O1352" s="110" t="s">
        <v>6829</v>
      </c>
      <c r="P1352" s="4"/>
      <c r="R1352" s="22"/>
      <c r="X1352" s="13">
        <v>31.741700000000002</v>
      </c>
      <c r="Y1352" s="13">
        <v>36.447299999999998</v>
      </c>
      <c r="Z1352" s="14">
        <v>-127</v>
      </c>
      <c r="AA1352" s="8" t="s">
        <v>6830</v>
      </c>
      <c r="AB1352" s="8" t="s">
        <v>6849</v>
      </c>
    </row>
    <row r="1353" spans="1:28" s="8" customFormat="1" ht="21.75" customHeight="1" x14ac:dyDescent="0.2">
      <c r="A1353" s="8" t="s">
        <v>6821</v>
      </c>
      <c r="B1353" s="8" t="s">
        <v>6822</v>
      </c>
      <c r="C1353" s="8" t="s">
        <v>46</v>
      </c>
      <c r="E1353" s="8" t="s">
        <v>398</v>
      </c>
      <c r="F1353" s="8" t="s">
        <v>214</v>
      </c>
      <c r="H1353" s="3" t="s">
        <v>6841</v>
      </c>
      <c r="I1353" s="4">
        <v>0.3</v>
      </c>
      <c r="J1353" s="4"/>
      <c r="K1353" s="4" t="s">
        <v>5713</v>
      </c>
      <c r="M1353" s="14"/>
      <c r="N1353" s="14"/>
      <c r="O1353" s="110"/>
      <c r="P1353" s="4"/>
      <c r="R1353" s="22"/>
      <c r="X1353" s="13">
        <v>31.735700000000001</v>
      </c>
      <c r="Y1353" s="13">
        <v>35.467599999999997</v>
      </c>
      <c r="Z1353" s="14">
        <v>-391</v>
      </c>
      <c r="AA1353" s="132" t="s">
        <v>6832</v>
      </c>
      <c r="AB1353" s="8" t="s">
        <v>6851</v>
      </c>
    </row>
    <row r="1354" spans="1:28" s="8" customFormat="1" ht="21.75" customHeight="1" x14ac:dyDescent="0.2">
      <c r="A1354" s="8" t="s">
        <v>6821</v>
      </c>
      <c r="B1354" s="8" t="s">
        <v>6822</v>
      </c>
      <c r="C1354" s="8" t="s">
        <v>46</v>
      </c>
      <c r="E1354" s="8" t="s">
        <v>398</v>
      </c>
      <c r="F1354" s="8" t="s">
        <v>214</v>
      </c>
      <c r="H1354" s="3" t="s">
        <v>6831</v>
      </c>
      <c r="I1354" s="4">
        <v>0.3</v>
      </c>
      <c r="J1354" s="4"/>
      <c r="K1354" s="4" t="s">
        <v>5713</v>
      </c>
      <c r="M1354" s="14"/>
      <c r="N1354" s="14"/>
      <c r="O1354" s="110"/>
      <c r="P1354" s="4"/>
      <c r="R1354" s="22"/>
      <c r="X1354" s="13">
        <v>31.735700000000001</v>
      </c>
      <c r="Y1354" s="13">
        <v>35.467599999999997</v>
      </c>
      <c r="Z1354" s="14">
        <v>-391</v>
      </c>
      <c r="AA1354" s="137"/>
      <c r="AB1354" s="8" t="s">
        <v>6851</v>
      </c>
    </row>
    <row r="1355" spans="1:28" s="8" customFormat="1" ht="21.75" customHeight="1" x14ac:dyDescent="0.2">
      <c r="A1355" s="8" t="s">
        <v>6821</v>
      </c>
      <c r="B1355" s="8" t="s">
        <v>6822</v>
      </c>
      <c r="C1355" s="8" t="s">
        <v>46</v>
      </c>
      <c r="E1355" s="8" t="s">
        <v>398</v>
      </c>
      <c r="F1355" s="8" t="s">
        <v>6049</v>
      </c>
      <c r="G1355" s="8" t="s">
        <v>6842</v>
      </c>
      <c r="H1355" s="3" t="s">
        <v>6833</v>
      </c>
      <c r="I1355" s="4">
        <v>0.2</v>
      </c>
      <c r="J1355" s="4"/>
      <c r="K1355" s="4" t="s">
        <v>5713</v>
      </c>
      <c r="M1355" s="14"/>
      <c r="N1355" s="14"/>
      <c r="O1355" s="110"/>
      <c r="P1355" s="4"/>
      <c r="R1355" s="22"/>
      <c r="X1355" s="13">
        <v>31.735700000000001</v>
      </c>
      <c r="Y1355" s="13">
        <v>35.467599999999997</v>
      </c>
      <c r="Z1355" s="14">
        <v>-391</v>
      </c>
      <c r="AA1355" s="137"/>
      <c r="AB1355" s="8" t="s">
        <v>6851</v>
      </c>
    </row>
    <row r="1356" spans="1:28" s="8" customFormat="1" ht="21.75" customHeight="1" x14ac:dyDescent="0.2">
      <c r="A1356" s="8" t="s">
        <v>6821</v>
      </c>
      <c r="B1356" s="8" t="s">
        <v>6822</v>
      </c>
      <c r="C1356" s="8" t="s">
        <v>46</v>
      </c>
      <c r="E1356" s="8" t="s">
        <v>398</v>
      </c>
      <c r="F1356" s="8" t="s">
        <v>214</v>
      </c>
      <c r="H1356" s="3" t="s">
        <v>6834</v>
      </c>
      <c r="I1356" s="4">
        <v>0.35</v>
      </c>
      <c r="J1356" s="4"/>
      <c r="K1356" s="4" t="s">
        <v>5713</v>
      </c>
      <c r="M1356" s="14"/>
      <c r="N1356" s="14"/>
      <c r="O1356" s="110"/>
      <c r="P1356" s="4"/>
      <c r="R1356" s="22"/>
      <c r="X1356" s="13">
        <v>31.735700000000001</v>
      </c>
      <c r="Y1356" s="13">
        <v>35.467599999999997</v>
      </c>
      <c r="Z1356" s="14">
        <v>-391</v>
      </c>
      <c r="AA1356" s="61" t="s">
        <v>6835</v>
      </c>
      <c r="AB1356" s="8" t="s">
        <v>6851</v>
      </c>
    </row>
    <row r="1357" spans="1:28" s="8" customFormat="1" ht="21.75" customHeight="1" x14ac:dyDescent="0.2">
      <c r="A1357" s="8" t="s">
        <v>6821</v>
      </c>
      <c r="B1357" s="8" t="s">
        <v>6822</v>
      </c>
      <c r="C1357" s="8" t="s">
        <v>46</v>
      </c>
      <c r="E1357" s="8" t="s">
        <v>398</v>
      </c>
      <c r="F1357" s="8" t="s">
        <v>214</v>
      </c>
      <c r="H1357" s="3" t="s">
        <v>6836</v>
      </c>
      <c r="I1357" s="4">
        <v>1.2</v>
      </c>
      <c r="J1357" s="4"/>
      <c r="K1357" s="4" t="s">
        <v>5713</v>
      </c>
      <c r="M1357" s="14"/>
      <c r="N1357" s="14"/>
      <c r="O1357" s="110" t="s">
        <v>6846</v>
      </c>
      <c r="P1357" s="4"/>
      <c r="R1357" s="22"/>
      <c r="X1357" s="13">
        <v>31.746200000000002</v>
      </c>
      <c r="Y1357" s="13">
        <v>35.4955</v>
      </c>
      <c r="Z1357" s="14">
        <v>-411</v>
      </c>
      <c r="AA1357" s="8" t="s">
        <v>6837</v>
      </c>
      <c r="AB1357" s="8" t="s">
        <v>6850</v>
      </c>
    </row>
    <row r="1358" spans="1:28" s="8" customFormat="1" ht="21.75" customHeight="1" x14ac:dyDescent="0.2">
      <c r="A1358" s="8" t="s">
        <v>6821</v>
      </c>
      <c r="B1358" s="8" t="s">
        <v>6822</v>
      </c>
      <c r="C1358" s="8" t="s">
        <v>46</v>
      </c>
      <c r="E1358" s="8" t="s">
        <v>398</v>
      </c>
      <c r="F1358" s="8" t="s">
        <v>214</v>
      </c>
      <c r="G1358" s="8" t="s">
        <v>6844</v>
      </c>
      <c r="H1358" s="3" t="s">
        <v>6843</v>
      </c>
      <c r="I1358" s="4">
        <v>0.54</v>
      </c>
      <c r="J1358" s="4"/>
      <c r="K1358" s="4" t="s">
        <v>5713</v>
      </c>
      <c r="M1358" s="14"/>
      <c r="N1358" s="14"/>
      <c r="O1358" s="110" t="s">
        <v>6847</v>
      </c>
      <c r="P1358" s="4"/>
      <c r="R1358" s="22"/>
      <c r="X1358" s="13">
        <v>31.746200000000002</v>
      </c>
      <c r="Y1358" s="13">
        <v>35.4955</v>
      </c>
      <c r="Z1358" s="14">
        <v>-411</v>
      </c>
      <c r="AA1358" s="8" t="s">
        <v>6838</v>
      </c>
      <c r="AB1358" s="8" t="s">
        <v>6850</v>
      </c>
    </row>
    <row r="1359" spans="1:28" ht="21.75" customHeight="1" x14ac:dyDescent="0.2">
      <c r="A1359" s="7" t="s">
        <v>5256</v>
      </c>
      <c r="B1359" s="7" t="s">
        <v>5257</v>
      </c>
      <c r="C1359" s="7" t="s">
        <v>5258</v>
      </c>
      <c r="D1359" s="7">
        <v>1</v>
      </c>
      <c r="E1359" s="7" t="s">
        <v>280</v>
      </c>
      <c r="F1359" s="7" t="s">
        <v>212</v>
      </c>
      <c r="G1359" s="7" t="s">
        <v>409</v>
      </c>
      <c r="H1359" s="1" t="s">
        <v>5275</v>
      </c>
      <c r="I1359" s="2">
        <v>1.2191999999999998</v>
      </c>
      <c r="J1359" s="2" t="s">
        <v>5269</v>
      </c>
      <c r="K1359" s="2" t="s">
        <v>4410</v>
      </c>
      <c r="L1359" s="7">
        <v>798</v>
      </c>
      <c r="M1359" s="6" t="s">
        <v>5270</v>
      </c>
      <c r="O1359" s="45" t="s">
        <v>5259</v>
      </c>
      <c r="R1359" s="42" t="s">
        <v>5268</v>
      </c>
      <c r="U1359" s="7" t="s">
        <v>5271</v>
      </c>
      <c r="V1359" s="2">
        <v>1.2191999999999998</v>
      </c>
      <c r="X1359" s="5">
        <v>42.585799999999999</v>
      </c>
      <c r="Y1359" s="5">
        <v>-88.454300000000003</v>
      </c>
      <c r="Z1359" s="6">
        <v>292.9128</v>
      </c>
      <c r="AA1359" s="7" t="s">
        <v>5294</v>
      </c>
      <c r="AB1359" s="7" t="s">
        <v>5295</v>
      </c>
    </row>
    <row r="1360" spans="1:28" ht="21.75" customHeight="1" x14ac:dyDescent="0.2">
      <c r="A1360" s="7" t="s">
        <v>5256</v>
      </c>
      <c r="B1360" s="7" t="s">
        <v>5257</v>
      </c>
      <c r="C1360" s="7" t="s">
        <v>5258</v>
      </c>
      <c r="D1360" s="7">
        <v>5</v>
      </c>
      <c r="E1360" s="7" t="s">
        <v>280</v>
      </c>
      <c r="F1360" s="7" t="s">
        <v>5284</v>
      </c>
      <c r="G1360" s="7" t="s">
        <v>5286</v>
      </c>
      <c r="H1360" s="1" t="s">
        <v>5276</v>
      </c>
      <c r="I1360" s="2">
        <v>1.2445999999999999</v>
      </c>
      <c r="J1360" s="2" t="s">
        <v>5269</v>
      </c>
      <c r="K1360" s="2" t="s">
        <v>4410</v>
      </c>
      <c r="L1360" s="7">
        <v>798</v>
      </c>
      <c r="M1360" s="6" t="s">
        <v>5270</v>
      </c>
      <c r="O1360" s="45" t="s">
        <v>5260</v>
      </c>
      <c r="R1360" s="42" t="s">
        <v>5268</v>
      </c>
      <c r="U1360" s="7" t="s">
        <v>5271</v>
      </c>
      <c r="V1360" s="2">
        <v>1.2445999999999999</v>
      </c>
      <c r="X1360" s="5">
        <v>42.582299999999996</v>
      </c>
      <c r="Y1360" s="5">
        <v>-88.464799999999997</v>
      </c>
      <c r="Z1360" s="6">
        <v>310.59120000000001</v>
      </c>
      <c r="AA1360" s="7" t="s">
        <v>5296</v>
      </c>
      <c r="AB1360" s="7" t="s">
        <v>5730</v>
      </c>
    </row>
    <row r="1361" spans="1:29" ht="21.75" customHeight="1" x14ac:dyDescent="0.2">
      <c r="A1361" s="7" t="s">
        <v>5256</v>
      </c>
      <c r="B1361" s="7" t="s">
        <v>5257</v>
      </c>
      <c r="C1361" s="7" t="s">
        <v>5258</v>
      </c>
      <c r="D1361" s="7">
        <v>7</v>
      </c>
      <c r="E1361" s="7" t="s">
        <v>280</v>
      </c>
      <c r="F1361" s="7" t="s">
        <v>5288</v>
      </c>
      <c r="G1361" s="7" t="s">
        <v>5287</v>
      </c>
      <c r="H1361" s="1" t="s">
        <v>5277</v>
      </c>
      <c r="I1361" s="2">
        <v>1.1175999999999999</v>
      </c>
      <c r="J1361" s="2" t="s">
        <v>5269</v>
      </c>
      <c r="K1361" s="2" t="s">
        <v>4410</v>
      </c>
      <c r="L1361" s="7">
        <v>798</v>
      </c>
      <c r="M1361" s="6" t="s">
        <v>5270</v>
      </c>
      <c r="O1361" s="45" t="s">
        <v>5261</v>
      </c>
      <c r="R1361" s="42" t="s">
        <v>5268</v>
      </c>
      <c r="U1361" s="7" t="s">
        <v>5271</v>
      </c>
      <c r="V1361" s="2">
        <v>1.1175999999999999</v>
      </c>
      <c r="X1361" s="5">
        <v>42.582599999999999</v>
      </c>
      <c r="Y1361" s="5">
        <v>-88.469399999999993</v>
      </c>
      <c r="Z1361" s="6">
        <v>309.98160000000001</v>
      </c>
      <c r="AA1361" s="7" t="s">
        <v>5297</v>
      </c>
      <c r="AB1361" s="7" t="s">
        <v>5272</v>
      </c>
    </row>
    <row r="1362" spans="1:29" ht="21.75" customHeight="1" x14ac:dyDescent="0.2">
      <c r="A1362" s="7" t="s">
        <v>5256</v>
      </c>
      <c r="B1362" s="7" t="s">
        <v>5257</v>
      </c>
      <c r="C1362" s="7" t="s">
        <v>5258</v>
      </c>
      <c r="D1362" s="7">
        <v>8</v>
      </c>
      <c r="E1362" s="7" t="s">
        <v>280</v>
      </c>
      <c r="F1362" s="7" t="s">
        <v>212</v>
      </c>
      <c r="G1362" s="7" t="s">
        <v>5285</v>
      </c>
      <c r="H1362" s="1" t="s">
        <v>5278</v>
      </c>
      <c r="I1362" s="2">
        <v>1.1683999999999999</v>
      </c>
      <c r="J1362" s="2" t="s">
        <v>5269</v>
      </c>
      <c r="K1362" s="2" t="s">
        <v>4410</v>
      </c>
      <c r="L1362" s="7">
        <v>798</v>
      </c>
      <c r="M1362" s="6" t="s">
        <v>5270</v>
      </c>
      <c r="O1362" s="45" t="s">
        <v>5260</v>
      </c>
      <c r="R1362" s="42" t="s">
        <v>5268</v>
      </c>
      <c r="U1362" s="7" t="s">
        <v>5271</v>
      </c>
      <c r="V1362" s="2">
        <v>1.1683999999999999</v>
      </c>
      <c r="X1362" s="5">
        <v>42.574199999999998</v>
      </c>
      <c r="Y1362" s="5">
        <v>-88.474500000000006</v>
      </c>
      <c r="Z1362" s="6">
        <v>277.06319999999999</v>
      </c>
      <c r="AA1362" s="7" t="s">
        <v>5298</v>
      </c>
      <c r="AB1362" s="7" t="s">
        <v>5273</v>
      </c>
    </row>
    <row r="1363" spans="1:29" ht="21.75" customHeight="1" x14ac:dyDescent="0.2">
      <c r="A1363" s="7" t="s">
        <v>5256</v>
      </c>
      <c r="B1363" s="7" t="s">
        <v>5257</v>
      </c>
      <c r="C1363" s="7" t="s">
        <v>5258</v>
      </c>
      <c r="D1363" s="7">
        <v>11</v>
      </c>
      <c r="E1363" s="7" t="s">
        <v>280</v>
      </c>
      <c r="F1363" s="7" t="s">
        <v>212</v>
      </c>
      <c r="G1363" s="7" t="s">
        <v>5290</v>
      </c>
      <c r="H1363" s="1" t="s">
        <v>5289</v>
      </c>
      <c r="I1363" s="2">
        <v>1.0668</v>
      </c>
      <c r="J1363" s="2" t="s">
        <v>5269</v>
      </c>
      <c r="K1363" s="2" t="s">
        <v>4410</v>
      </c>
      <c r="L1363" s="7">
        <v>798</v>
      </c>
      <c r="M1363" s="6" t="s">
        <v>5270</v>
      </c>
      <c r="O1363" s="45" t="s">
        <v>5262</v>
      </c>
      <c r="R1363" s="42" t="s">
        <v>5268</v>
      </c>
      <c r="U1363" s="7" t="s">
        <v>5271</v>
      </c>
      <c r="V1363" s="2">
        <v>1.0668</v>
      </c>
      <c r="X1363" s="5">
        <v>42.587400000000002</v>
      </c>
      <c r="Y1363" s="5">
        <v>-88.498599999999996</v>
      </c>
      <c r="Z1363" s="6">
        <v>308</v>
      </c>
      <c r="AA1363" s="7" t="s">
        <v>5299</v>
      </c>
      <c r="AB1363" s="7" t="s">
        <v>5274</v>
      </c>
    </row>
    <row r="1364" spans="1:29" ht="21.75" customHeight="1" x14ac:dyDescent="0.2">
      <c r="A1364" s="7" t="s">
        <v>5256</v>
      </c>
      <c r="B1364" s="7" t="s">
        <v>5257</v>
      </c>
      <c r="C1364" s="7" t="s">
        <v>5258</v>
      </c>
      <c r="D1364" s="7">
        <v>12</v>
      </c>
      <c r="E1364" s="7" t="s">
        <v>280</v>
      </c>
      <c r="F1364" s="7" t="s">
        <v>212</v>
      </c>
      <c r="G1364" s="7" t="s">
        <v>5290</v>
      </c>
      <c r="H1364" s="1" t="s">
        <v>5279</v>
      </c>
      <c r="I1364" s="2">
        <v>1.1683999999999999</v>
      </c>
      <c r="J1364" s="2" t="s">
        <v>5269</v>
      </c>
      <c r="K1364" s="2" t="s">
        <v>4410</v>
      </c>
      <c r="L1364" s="7">
        <v>798</v>
      </c>
      <c r="M1364" s="6" t="s">
        <v>5270</v>
      </c>
      <c r="O1364" s="45" t="s">
        <v>5263</v>
      </c>
      <c r="R1364" s="42" t="s">
        <v>5268</v>
      </c>
      <c r="U1364" s="7" t="s">
        <v>5271</v>
      </c>
      <c r="V1364" s="2">
        <v>1.1683999999999999</v>
      </c>
      <c r="X1364" s="5">
        <v>42.591799999999999</v>
      </c>
      <c r="Y1364" s="5">
        <v>-88.488500000000002</v>
      </c>
      <c r="Z1364" s="6">
        <v>292.608</v>
      </c>
      <c r="AA1364" s="7" t="s">
        <v>5300</v>
      </c>
    </row>
    <row r="1365" spans="1:29" ht="21.75" customHeight="1" x14ac:dyDescent="0.2">
      <c r="A1365" s="7" t="s">
        <v>5256</v>
      </c>
      <c r="B1365" s="7" t="s">
        <v>5257</v>
      </c>
      <c r="C1365" s="7" t="s">
        <v>5258</v>
      </c>
      <c r="D1365" s="7">
        <v>13</v>
      </c>
      <c r="E1365" s="7" t="s">
        <v>280</v>
      </c>
      <c r="F1365" s="7" t="s">
        <v>5288</v>
      </c>
      <c r="G1365" s="7" t="s">
        <v>5291</v>
      </c>
      <c r="H1365" s="1" t="s">
        <v>5280</v>
      </c>
      <c r="I1365" s="2">
        <v>0.91439999999999999</v>
      </c>
      <c r="J1365" s="2" t="s">
        <v>5269</v>
      </c>
      <c r="K1365" s="2" t="s">
        <v>4410</v>
      </c>
      <c r="L1365" s="7">
        <v>798</v>
      </c>
      <c r="M1365" s="6" t="s">
        <v>5270</v>
      </c>
      <c r="O1365" s="45" t="s">
        <v>5265</v>
      </c>
      <c r="R1365" s="42" t="s">
        <v>5268</v>
      </c>
      <c r="U1365" s="7" t="s">
        <v>5271</v>
      </c>
      <c r="V1365" s="2">
        <v>0.91439999999999999</v>
      </c>
      <c r="X1365" s="5">
        <v>42.597499999999997</v>
      </c>
      <c r="Y1365" s="5">
        <v>-88.459500000000006</v>
      </c>
      <c r="Z1365" s="6">
        <v>307.54320000000001</v>
      </c>
      <c r="AA1365" s="7" t="s">
        <v>5301</v>
      </c>
    </row>
    <row r="1366" spans="1:29" ht="21.75" customHeight="1" x14ac:dyDescent="0.2">
      <c r="A1366" s="7" t="s">
        <v>5256</v>
      </c>
      <c r="B1366" s="7" t="s">
        <v>5257</v>
      </c>
      <c r="C1366" s="7" t="s">
        <v>5258</v>
      </c>
      <c r="D1366" s="7">
        <v>14</v>
      </c>
      <c r="E1366" s="7" t="s">
        <v>280</v>
      </c>
      <c r="F1366" s="7" t="s">
        <v>212</v>
      </c>
      <c r="G1366" s="7" t="s">
        <v>5293</v>
      </c>
      <c r="H1366" s="1" t="s">
        <v>5281</v>
      </c>
      <c r="I1366" s="2">
        <v>0.99059999999999993</v>
      </c>
      <c r="J1366" s="2" t="s">
        <v>5269</v>
      </c>
      <c r="K1366" s="2" t="s">
        <v>4410</v>
      </c>
      <c r="L1366" s="7">
        <v>798</v>
      </c>
      <c r="M1366" s="6" t="s">
        <v>5270</v>
      </c>
      <c r="O1366" s="45" t="s">
        <v>5264</v>
      </c>
      <c r="R1366" s="42" t="s">
        <v>5268</v>
      </c>
      <c r="U1366" s="7" t="s">
        <v>5271</v>
      </c>
      <c r="V1366" s="2">
        <v>0.99059999999999993</v>
      </c>
      <c r="X1366" s="5">
        <v>42.5946</v>
      </c>
      <c r="Y1366" s="5">
        <v>-88.453400000000002</v>
      </c>
      <c r="Z1366" s="6">
        <v>304.19040000000001</v>
      </c>
    </row>
    <row r="1367" spans="1:29" ht="21.75" customHeight="1" x14ac:dyDescent="0.2">
      <c r="A1367" s="7" t="s">
        <v>5256</v>
      </c>
      <c r="B1367" s="7" t="s">
        <v>5257</v>
      </c>
      <c r="C1367" s="7" t="s">
        <v>5258</v>
      </c>
      <c r="D1367" s="7">
        <v>15</v>
      </c>
      <c r="E1367" s="7" t="s">
        <v>280</v>
      </c>
      <c r="F1367" s="7" t="s">
        <v>212</v>
      </c>
      <c r="G1367" s="7" t="s">
        <v>5292</v>
      </c>
      <c r="H1367" s="1" t="s">
        <v>5282</v>
      </c>
      <c r="I1367" s="2">
        <v>1.0413999999999999</v>
      </c>
      <c r="J1367" s="2" t="s">
        <v>5269</v>
      </c>
      <c r="K1367" s="2" t="s">
        <v>4410</v>
      </c>
      <c r="L1367" s="7">
        <v>798</v>
      </c>
      <c r="M1367" s="6" t="s">
        <v>5270</v>
      </c>
      <c r="O1367" s="45" t="s">
        <v>5266</v>
      </c>
      <c r="R1367" s="42" t="s">
        <v>5268</v>
      </c>
      <c r="U1367" s="7" t="s">
        <v>5271</v>
      </c>
      <c r="V1367" s="2">
        <v>1.0413999999999999</v>
      </c>
      <c r="X1367" s="5">
        <v>42.581099999999999</v>
      </c>
      <c r="Y1367" s="5">
        <v>-88.498999999999995</v>
      </c>
      <c r="Z1367" s="6">
        <v>296.26560000000001</v>
      </c>
    </row>
    <row r="1368" spans="1:29" ht="21.75" customHeight="1" x14ac:dyDescent="0.2">
      <c r="A1368" s="7" t="s">
        <v>5256</v>
      </c>
      <c r="B1368" s="7" t="s">
        <v>5257</v>
      </c>
      <c r="C1368" s="7" t="s">
        <v>5258</v>
      </c>
      <c r="D1368" s="7">
        <v>16</v>
      </c>
      <c r="E1368" s="7" t="s">
        <v>280</v>
      </c>
      <c r="F1368" s="7" t="s">
        <v>212</v>
      </c>
      <c r="G1368" s="7" t="s">
        <v>409</v>
      </c>
      <c r="H1368" s="1" t="s">
        <v>5283</v>
      </c>
      <c r="I1368" s="2">
        <v>1.0413999999999999</v>
      </c>
      <c r="J1368" s="2" t="s">
        <v>5269</v>
      </c>
      <c r="K1368" s="2" t="s">
        <v>4410</v>
      </c>
      <c r="L1368" s="7">
        <v>798</v>
      </c>
      <c r="M1368" s="6" t="s">
        <v>5270</v>
      </c>
      <c r="O1368" s="45" t="s">
        <v>5267</v>
      </c>
      <c r="R1368" s="23" t="s">
        <v>5268</v>
      </c>
      <c r="U1368" s="7" t="s">
        <v>5271</v>
      </c>
      <c r="V1368" s="2">
        <v>1.0413999999999999</v>
      </c>
      <c r="X1368" s="5">
        <v>42.574800000000003</v>
      </c>
      <c r="Y1368" s="5">
        <v>-88.518699999999995</v>
      </c>
      <c r="Z1368" s="6">
        <v>289.8648</v>
      </c>
    </row>
    <row r="1369" spans="1:29" s="8" customFormat="1" ht="21.75" customHeight="1" x14ac:dyDescent="0.2">
      <c r="A1369" s="8" t="s">
        <v>5226</v>
      </c>
      <c r="B1369" s="8" t="s">
        <v>5229</v>
      </c>
      <c r="C1369" s="8" t="s">
        <v>5228</v>
      </c>
      <c r="D1369" s="8" t="s">
        <v>5230</v>
      </c>
      <c r="E1369" s="8" t="s">
        <v>280</v>
      </c>
      <c r="F1369" s="8" t="s">
        <v>5244</v>
      </c>
      <c r="G1369" s="8" t="s">
        <v>5243</v>
      </c>
      <c r="H1369" s="3" t="s">
        <v>5239</v>
      </c>
      <c r="I1369" s="8">
        <v>1.5</v>
      </c>
      <c r="J1369" s="4" t="s">
        <v>5240</v>
      </c>
      <c r="K1369" s="4" t="s">
        <v>4410</v>
      </c>
      <c r="L1369" s="8" t="s">
        <v>1208</v>
      </c>
      <c r="M1369" s="14" t="s">
        <v>5227</v>
      </c>
      <c r="N1369" s="14"/>
      <c r="O1369" s="110" t="s">
        <v>2648</v>
      </c>
      <c r="P1369" s="4"/>
      <c r="R1369" s="8" t="s">
        <v>5233</v>
      </c>
      <c r="X1369" s="8">
        <v>10.3081</v>
      </c>
      <c r="Y1369" s="13">
        <v>14.413399999999999</v>
      </c>
      <c r="Z1369" s="14">
        <v>419</v>
      </c>
      <c r="AA1369" s="8" t="s">
        <v>5246</v>
      </c>
      <c r="AB1369" s="8" t="s">
        <v>5250</v>
      </c>
      <c r="AC1369" s="8" t="s">
        <v>5254</v>
      </c>
    </row>
    <row r="1370" spans="1:29" s="8" customFormat="1" ht="21.75" customHeight="1" x14ac:dyDescent="0.2">
      <c r="A1370" s="8" t="s">
        <v>5226</v>
      </c>
      <c r="B1370" s="8" t="s">
        <v>5229</v>
      </c>
      <c r="C1370" s="8" t="s">
        <v>5228</v>
      </c>
      <c r="D1370" s="8" t="s">
        <v>5230</v>
      </c>
      <c r="E1370" s="8" t="s">
        <v>275</v>
      </c>
      <c r="F1370" s="8" t="s">
        <v>62</v>
      </c>
      <c r="H1370" s="3" t="s">
        <v>5252</v>
      </c>
      <c r="I1370" s="4">
        <v>0.33</v>
      </c>
      <c r="J1370" s="4" t="s">
        <v>5240</v>
      </c>
      <c r="K1370" s="4" t="s">
        <v>4410</v>
      </c>
      <c r="L1370" s="8" t="s">
        <v>1208</v>
      </c>
      <c r="M1370" s="14" t="s">
        <v>5227</v>
      </c>
      <c r="N1370" s="14"/>
      <c r="O1370" s="110" t="s">
        <v>2648</v>
      </c>
      <c r="P1370" s="4"/>
      <c r="R1370" s="8" t="s">
        <v>5233</v>
      </c>
      <c r="X1370" s="8">
        <v>10.3081</v>
      </c>
      <c r="Y1370" s="13">
        <v>14.413399999999999</v>
      </c>
      <c r="Z1370" s="14">
        <v>419</v>
      </c>
      <c r="AA1370" s="8" t="s">
        <v>5242</v>
      </c>
      <c r="AB1370" s="8" t="s">
        <v>5255</v>
      </c>
      <c r="AC1370" s="8" t="s">
        <v>5254</v>
      </c>
    </row>
    <row r="1371" spans="1:29" s="8" customFormat="1" ht="21.75" customHeight="1" x14ac:dyDescent="0.2">
      <c r="A1371" s="8" t="s">
        <v>5226</v>
      </c>
      <c r="B1371" s="8" t="s">
        <v>5229</v>
      </c>
      <c r="C1371" s="8" t="s">
        <v>5228</v>
      </c>
      <c r="D1371" s="8" t="s">
        <v>5231</v>
      </c>
      <c r="E1371" s="8" t="s">
        <v>280</v>
      </c>
      <c r="F1371" s="8" t="s">
        <v>214</v>
      </c>
      <c r="H1371" s="3" t="s">
        <v>5236</v>
      </c>
      <c r="I1371" s="4">
        <v>0.6</v>
      </c>
      <c r="J1371" s="4" t="s">
        <v>5240</v>
      </c>
      <c r="K1371" s="4" t="s">
        <v>4410</v>
      </c>
      <c r="L1371" s="8" t="s">
        <v>1208</v>
      </c>
      <c r="M1371" s="14" t="s">
        <v>5227</v>
      </c>
      <c r="N1371" s="14"/>
      <c r="O1371" s="110" t="s">
        <v>2648</v>
      </c>
      <c r="P1371" s="4"/>
      <c r="R1371" s="8" t="s">
        <v>5234</v>
      </c>
      <c r="W1371" s="8" t="s">
        <v>5235</v>
      </c>
      <c r="X1371" s="13">
        <v>10.3161</v>
      </c>
      <c r="Y1371" s="13">
        <v>14.399100000000001</v>
      </c>
      <c r="Z1371" s="14">
        <v>419</v>
      </c>
      <c r="AA1371" s="8" t="s">
        <v>5247</v>
      </c>
      <c r="AB1371" s="8" t="s">
        <v>5253</v>
      </c>
      <c r="AC1371" s="8" t="s">
        <v>5254</v>
      </c>
    </row>
    <row r="1372" spans="1:29" s="8" customFormat="1" ht="21.75" customHeight="1" x14ac:dyDescent="0.2">
      <c r="A1372" s="8" t="s">
        <v>5226</v>
      </c>
      <c r="B1372" s="8" t="s">
        <v>5229</v>
      </c>
      <c r="C1372" s="8" t="s">
        <v>5228</v>
      </c>
      <c r="D1372" s="8" t="s">
        <v>5231</v>
      </c>
      <c r="E1372" s="8" t="s">
        <v>275</v>
      </c>
      <c r="F1372" s="8" t="s">
        <v>62</v>
      </c>
      <c r="H1372" s="3" t="s">
        <v>5252</v>
      </c>
      <c r="I1372" s="4">
        <v>0.2</v>
      </c>
      <c r="J1372" s="4" t="s">
        <v>5240</v>
      </c>
      <c r="K1372" s="4" t="s">
        <v>4410</v>
      </c>
      <c r="L1372" s="8" t="s">
        <v>1208</v>
      </c>
      <c r="M1372" s="14" t="s">
        <v>5227</v>
      </c>
      <c r="N1372" s="14"/>
      <c r="O1372" s="110" t="s">
        <v>2648</v>
      </c>
      <c r="P1372" s="4"/>
      <c r="R1372" s="8" t="s">
        <v>5234</v>
      </c>
      <c r="W1372" s="8" t="s">
        <v>5235</v>
      </c>
      <c r="X1372" s="13">
        <v>10.3161</v>
      </c>
      <c r="Y1372" s="13">
        <v>14.399100000000001</v>
      </c>
      <c r="Z1372" s="14">
        <v>419</v>
      </c>
      <c r="AA1372" s="8" t="s">
        <v>5249</v>
      </c>
      <c r="AC1372" s="8" t="s">
        <v>5254</v>
      </c>
    </row>
    <row r="1373" spans="1:29" s="8" customFormat="1" ht="21.75" customHeight="1" x14ac:dyDescent="0.2">
      <c r="A1373" s="8" t="s">
        <v>5226</v>
      </c>
      <c r="B1373" s="8" t="s">
        <v>5229</v>
      </c>
      <c r="C1373" s="8" t="s">
        <v>5228</v>
      </c>
      <c r="D1373" s="8" t="s">
        <v>5232</v>
      </c>
      <c r="E1373" s="8" t="s">
        <v>280</v>
      </c>
      <c r="F1373" s="8" t="s">
        <v>5244</v>
      </c>
      <c r="G1373" s="8" t="s">
        <v>5245</v>
      </c>
      <c r="H1373" s="3" t="s">
        <v>5238</v>
      </c>
      <c r="I1373" s="4">
        <v>2</v>
      </c>
      <c r="J1373" s="4" t="s">
        <v>5240</v>
      </c>
      <c r="K1373" s="4" t="s">
        <v>4410</v>
      </c>
      <c r="L1373" s="8" t="s">
        <v>1208</v>
      </c>
      <c r="M1373" s="14" t="s">
        <v>5227</v>
      </c>
      <c r="N1373" s="14"/>
      <c r="O1373" s="110" t="s">
        <v>3886</v>
      </c>
      <c r="P1373" s="4"/>
      <c r="R1373" s="8" t="s">
        <v>5237</v>
      </c>
      <c r="X1373" s="13">
        <v>10.290900000000001</v>
      </c>
      <c r="Y1373" s="13">
        <v>14.3978</v>
      </c>
      <c r="Z1373" s="14">
        <v>431</v>
      </c>
      <c r="AA1373" s="8" t="s">
        <v>5248</v>
      </c>
      <c r="AB1373" s="8" t="s">
        <v>5241</v>
      </c>
      <c r="AC1373" s="8" t="s">
        <v>5254</v>
      </c>
    </row>
    <row r="1374" spans="1:29" s="8" customFormat="1" ht="21.75" customHeight="1" x14ac:dyDescent="0.2">
      <c r="A1374" s="8" t="s">
        <v>5226</v>
      </c>
      <c r="B1374" s="8" t="s">
        <v>5229</v>
      </c>
      <c r="C1374" s="8" t="s">
        <v>5228</v>
      </c>
      <c r="D1374" s="8" t="s">
        <v>5232</v>
      </c>
      <c r="E1374" s="8" t="s">
        <v>275</v>
      </c>
      <c r="F1374" s="8" t="s">
        <v>62</v>
      </c>
      <c r="H1374" s="3" t="s">
        <v>5252</v>
      </c>
      <c r="I1374" s="4">
        <v>0.3</v>
      </c>
      <c r="J1374" s="4" t="s">
        <v>5240</v>
      </c>
      <c r="K1374" s="4" t="s">
        <v>4410</v>
      </c>
      <c r="L1374" s="8" t="s">
        <v>1208</v>
      </c>
      <c r="M1374" s="14" t="s">
        <v>5227</v>
      </c>
      <c r="N1374" s="14"/>
      <c r="O1374" s="110" t="s">
        <v>3886</v>
      </c>
      <c r="P1374" s="4"/>
      <c r="R1374" s="8" t="s">
        <v>5237</v>
      </c>
      <c r="X1374" s="13">
        <v>10.290900000000001</v>
      </c>
      <c r="Y1374" s="13">
        <v>14.3978</v>
      </c>
      <c r="Z1374" s="14">
        <v>431</v>
      </c>
      <c r="AA1374" s="8" t="s">
        <v>5251</v>
      </c>
      <c r="AC1374" s="8" t="s">
        <v>5254</v>
      </c>
    </row>
    <row r="1375" spans="1:29" ht="21.75" customHeight="1" x14ac:dyDescent="0.2">
      <c r="A1375" s="7" t="s">
        <v>2024</v>
      </c>
      <c r="B1375" s="7" t="s">
        <v>2025</v>
      </c>
      <c r="C1375" s="7" t="s">
        <v>1925</v>
      </c>
      <c r="D1375" s="7" t="s">
        <v>2026</v>
      </c>
      <c r="E1375" s="7" t="s">
        <v>280</v>
      </c>
      <c r="F1375" s="7" t="s">
        <v>212</v>
      </c>
      <c r="G1375" s="7" t="s">
        <v>2029</v>
      </c>
      <c r="H1375" s="1" t="s">
        <v>2030</v>
      </c>
      <c r="I1375" s="2">
        <v>1.4</v>
      </c>
      <c r="J1375" s="2" t="s">
        <v>4367</v>
      </c>
      <c r="K1375" s="2" t="s">
        <v>5713</v>
      </c>
      <c r="L1375" s="7">
        <v>130</v>
      </c>
      <c r="O1375" s="45" t="s">
        <v>2033</v>
      </c>
      <c r="Q1375" s="7">
        <v>1.5</v>
      </c>
      <c r="R1375" s="7" t="s">
        <v>5731</v>
      </c>
      <c r="X1375" s="5">
        <v>34.28</v>
      </c>
      <c r="Y1375" s="5">
        <v>-114.05629999999999</v>
      </c>
      <c r="Z1375" s="6">
        <v>145</v>
      </c>
      <c r="AA1375" s="7" t="s">
        <v>2034</v>
      </c>
      <c r="AB1375" s="139" t="s">
        <v>2036</v>
      </c>
    </row>
    <row r="1376" spans="1:29" ht="21.75" customHeight="1" x14ac:dyDescent="0.2">
      <c r="A1376" s="7" t="s">
        <v>2024</v>
      </c>
      <c r="B1376" s="7" t="s">
        <v>2025</v>
      </c>
      <c r="C1376" s="7" t="s">
        <v>1925</v>
      </c>
      <c r="D1376" s="7" t="s">
        <v>2027</v>
      </c>
      <c r="E1376" s="7" t="s">
        <v>280</v>
      </c>
      <c r="F1376" s="7" t="s">
        <v>212</v>
      </c>
      <c r="G1376" s="7" t="s">
        <v>2029</v>
      </c>
      <c r="H1376" s="1" t="s">
        <v>2030</v>
      </c>
      <c r="I1376" s="2">
        <v>0.65</v>
      </c>
      <c r="J1376" s="2" t="s">
        <v>4367</v>
      </c>
      <c r="K1376" s="2" t="s">
        <v>5713</v>
      </c>
      <c r="L1376" s="7">
        <v>175</v>
      </c>
      <c r="O1376" s="45" t="s">
        <v>2033</v>
      </c>
      <c r="Q1376" s="7">
        <v>0.8</v>
      </c>
      <c r="R1376" s="7" t="s">
        <v>2031</v>
      </c>
      <c r="X1376" s="5">
        <v>34.223300000000002</v>
      </c>
      <c r="Y1376" s="5">
        <v>-113.8329</v>
      </c>
      <c r="Z1376" s="6">
        <v>219</v>
      </c>
      <c r="AA1376" s="7" t="s">
        <v>2035</v>
      </c>
      <c r="AB1376" s="139"/>
    </row>
    <row r="1377" spans="1:29" ht="21.75" customHeight="1" x14ac:dyDescent="0.2">
      <c r="A1377" s="7" t="s">
        <v>2024</v>
      </c>
      <c r="B1377" s="7" t="s">
        <v>2025</v>
      </c>
      <c r="C1377" s="7" t="s">
        <v>1925</v>
      </c>
      <c r="D1377" s="7" t="s">
        <v>2028</v>
      </c>
      <c r="E1377" s="7" t="s">
        <v>280</v>
      </c>
      <c r="F1377" s="7" t="s">
        <v>212</v>
      </c>
      <c r="G1377" s="7" t="s">
        <v>2029</v>
      </c>
      <c r="H1377" s="1" t="s">
        <v>2030</v>
      </c>
      <c r="I1377" s="2">
        <v>0.2</v>
      </c>
      <c r="J1377" s="2" t="s">
        <v>4367</v>
      </c>
      <c r="K1377" s="2" t="s">
        <v>5713</v>
      </c>
      <c r="L1377" s="7">
        <v>220</v>
      </c>
      <c r="O1377" s="45" t="s">
        <v>2033</v>
      </c>
      <c r="Q1377" s="7">
        <v>0.4</v>
      </c>
      <c r="R1377" s="7" t="s">
        <v>2032</v>
      </c>
      <c r="X1377" s="5">
        <v>34.211300000000001</v>
      </c>
      <c r="Y1377" s="5">
        <v>-113.705</v>
      </c>
      <c r="Z1377" s="6">
        <v>261</v>
      </c>
      <c r="AB1377" s="139"/>
    </row>
    <row r="1378" spans="1:29" s="8" customFormat="1" ht="21.75" customHeight="1" x14ac:dyDescent="0.2">
      <c r="A1378" s="8" t="s">
        <v>6368</v>
      </c>
      <c r="B1378" s="8" t="s">
        <v>6369</v>
      </c>
      <c r="C1378" s="8" t="s">
        <v>6370</v>
      </c>
      <c r="D1378" s="8" t="s">
        <v>6377</v>
      </c>
      <c r="E1378" s="8" t="s">
        <v>6378</v>
      </c>
      <c r="F1378" s="8" t="s">
        <v>62</v>
      </c>
      <c r="G1378" s="8" t="s">
        <v>6372</v>
      </c>
      <c r="H1378" s="3" t="s">
        <v>6371</v>
      </c>
      <c r="I1378" s="4">
        <v>0.27</v>
      </c>
      <c r="J1378" s="4" t="s">
        <v>6379</v>
      </c>
      <c r="K1378" s="4" t="s">
        <v>4410</v>
      </c>
      <c r="M1378" s="14"/>
      <c r="N1378" s="14"/>
      <c r="O1378" s="110" t="s">
        <v>6380</v>
      </c>
      <c r="P1378" s="4"/>
      <c r="X1378" s="13">
        <v>71.294499999999999</v>
      </c>
      <c r="Y1378" s="13">
        <v>-156.685</v>
      </c>
      <c r="Z1378" s="14">
        <v>7</v>
      </c>
      <c r="AA1378" s="132" t="s">
        <v>6381</v>
      </c>
      <c r="AB1378" s="8" t="s">
        <v>6382</v>
      </c>
    </row>
    <row r="1379" spans="1:29" s="8" customFormat="1" ht="21.75" customHeight="1" x14ac:dyDescent="0.2">
      <c r="A1379" s="8" t="s">
        <v>6368</v>
      </c>
      <c r="B1379" s="8" t="s">
        <v>6369</v>
      </c>
      <c r="C1379" s="8" t="s">
        <v>6370</v>
      </c>
      <c r="D1379" s="8" t="s">
        <v>6377</v>
      </c>
      <c r="E1379" s="8" t="s">
        <v>6378</v>
      </c>
      <c r="F1379" s="8" t="s">
        <v>1557</v>
      </c>
      <c r="G1379" s="8" t="s">
        <v>6374</v>
      </c>
      <c r="H1379" s="3" t="s">
        <v>6373</v>
      </c>
      <c r="I1379" s="4">
        <v>0.25</v>
      </c>
      <c r="J1379" s="4" t="s">
        <v>6379</v>
      </c>
      <c r="K1379" s="4" t="s">
        <v>5713</v>
      </c>
      <c r="M1379" s="14"/>
      <c r="N1379" s="14"/>
      <c r="O1379" s="110" t="s">
        <v>6380</v>
      </c>
      <c r="P1379" s="4"/>
      <c r="X1379" s="13">
        <v>71.294499999999999</v>
      </c>
      <c r="Y1379" s="13">
        <v>-156.685</v>
      </c>
      <c r="Z1379" s="14">
        <v>7</v>
      </c>
      <c r="AA1379" s="137"/>
      <c r="AB1379" s="8" t="s">
        <v>6384</v>
      </c>
    </row>
    <row r="1380" spans="1:29" s="8" customFormat="1" ht="21.75" customHeight="1" x14ac:dyDescent="0.2">
      <c r="A1380" s="8" t="s">
        <v>6368</v>
      </c>
      <c r="B1380" s="8" t="s">
        <v>6369</v>
      </c>
      <c r="C1380" s="8" t="s">
        <v>6370</v>
      </c>
      <c r="D1380" s="8" t="s">
        <v>6377</v>
      </c>
      <c r="E1380" s="8" t="s">
        <v>6378</v>
      </c>
      <c r="F1380" s="8" t="s">
        <v>62</v>
      </c>
      <c r="G1380" s="8" t="s">
        <v>6375</v>
      </c>
      <c r="H1380" s="3" t="s">
        <v>6376</v>
      </c>
      <c r="I1380" s="4">
        <v>0.33</v>
      </c>
      <c r="J1380" s="4" t="s">
        <v>6379</v>
      </c>
      <c r="K1380" s="4" t="s">
        <v>4410</v>
      </c>
      <c r="M1380" s="14"/>
      <c r="N1380" s="14"/>
      <c r="O1380" s="110" t="s">
        <v>6380</v>
      </c>
      <c r="P1380" s="4"/>
      <c r="X1380" s="13">
        <v>71.294499999999999</v>
      </c>
      <c r="Y1380" s="13">
        <v>-156.685</v>
      </c>
      <c r="Z1380" s="14">
        <v>7</v>
      </c>
      <c r="AA1380" s="133"/>
      <c r="AB1380" s="8" t="s">
        <v>6383</v>
      </c>
    </row>
    <row r="1381" spans="1:29" ht="21.75" customHeight="1" x14ac:dyDescent="0.2">
      <c r="A1381" s="7" t="s">
        <v>5456</v>
      </c>
      <c r="B1381" s="7" t="s">
        <v>5485</v>
      </c>
      <c r="C1381" s="7" t="s">
        <v>5484</v>
      </c>
      <c r="D1381" s="7" t="s">
        <v>5459</v>
      </c>
      <c r="E1381" s="7" t="s">
        <v>5488</v>
      </c>
      <c r="F1381" s="7" t="s">
        <v>5447</v>
      </c>
      <c r="G1381" s="7" t="s">
        <v>5487</v>
      </c>
      <c r="H1381" s="1" t="s">
        <v>5486</v>
      </c>
      <c r="I1381" s="2">
        <v>0.12</v>
      </c>
      <c r="J1381" s="2" t="s">
        <v>4367</v>
      </c>
      <c r="K1381" s="2" t="s">
        <v>5713</v>
      </c>
      <c r="L1381" s="7"/>
      <c r="O1381" s="45" t="s">
        <v>5521</v>
      </c>
      <c r="P1381" s="2" t="s">
        <v>5208</v>
      </c>
      <c r="Q1381" s="7">
        <v>0.25</v>
      </c>
      <c r="R1381" s="7" t="s">
        <v>5520</v>
      </c>
      <c r="X1381" s="5">
        <v>41.124699999999997</v>
      </c>
      <c r="Y1381" s="5">
        <v>-87.775300000000001</v>
      </c>
      <c r="Z1381" s="6">
        <v>190</v>
      </c>
      <c r="AA1381" s="7" t="s">
        <v>5526</v>
      </c>
      <c r="AB1381" s="7" t="s">
        <v>5528</v>
      </c>
      <c r="AC1381" s="7" t="s">
        <v>5536</v>
      </c>
    </row>
    <row r="1382" spans="1:29" ht="21.75" customHeight="1" x14ac:dyDescent="0.2">
      <c r="A1382" s="7" t="s">
        <v>5456</v>
      </c>
      <c r="B1382" s="7" t="s">
        <v>5485</v>
      </c>
      <c r="C1382" s="7" t="s">
        <v>5484</v>
      </c>
      <c r="D1382" s="7" t="s">
        <v>5459</v>
      </c>
      <c r="E1382" s="7" t="s">
        <v>398</v>
      </c>
      <c r="F1382" s="7" t="s">
        <v>217</v>
      </c>
      <c r="G1382" s="7" t="s">
        <v>5489</v>
      </c>
      <c r="H1382" s="1" t="s">
        <v>5457</v>
      </c>
      <c r="I1382" s="2">
        <v>0.1</v>
      </c>
      <c r="J1382" s="2" t="s">
        <v>4367</v>
      </c>
      <c r="K1382" s="2" t="s">
        <v>5713</v>
      </c>
      <c r="L1382" s="7"/>
      <c r="O1382" s="45" t="s">
        <v>5521</v>
      </c>
      <c r="P1382" s="2" t="s">
        <v>5208</v>
      </c>
      <c r="Q1382" s="7">
        <v>0.25</v>
      </c>
      <c r="R1382" s="7" t="s">
        <v>5520</v>
      </c>
      <c r="X1382" s="5">
        <v>41.124699999999997</v>
      </c>
      <c r="Y1382" s="5">
        <v>-87.775300000000001</v>
      </c>
      <c r="Z1382" s="6">
        <v>190</v>
      </c>
      <c r="AA1382" s="7" t="s">
        <v>5531</v>
      </c>
      <c r="AB1382" s="7" t="s">
        <v>5530</v>
      </c>
      <c r="AC1382" s="7" t="s">
        <v>5536</v>
      </c>
    </row>
    <row r="1383" spans="1:29" ht="21.75" customHeight="1" x14ac:dyDescent="0.2">
      <c r="A1383" s="7" t="s">
        <v>5456</v>
      </c>
      <c r="B1383" s="7" t="s">
        <v>5485</v>
      </c>
      <c r="C1383" s="7" t="s">
        <v>5484</v>
      </c>
      <c r="D1383" s="7" t="s">
        <v>5459</v>
      </c>
      <c r="E1383" s="7" t="s">
        <v>5491</v>
      </c>
      <c r="F1383" s="7" t="s">
        <v>217</v>
      </c>
      <c r="G1383" s="7" t="s">
        <v>5490</v>
      </c>
      <c r="H1383" s="1" t="s">
        <v>5458</v>
      </c>
      <c r="I1383" s="2">
        <v>0.15</v>
      </c>
      <c r="J1383" s="2" t="s">
        <v>4367</v>
      </c>
      <c r="K1383" s="2" t="s">
        <v>5713</v>
      </c>
      <c r="L1383" s="7"/>
      <c r="O1383" s="45" t="s">
        <v>5521</v>
      </c>
      <c r="P1383" s="2" t="s">
        <v>5208</v>
      </c>
      <c r="Q1383" s="7">
        <v>0.25</v>
      </c>
      <c r="R1383" s="7" t="s">
        <v>5520</v>
      </c>
      <c r="X1383" s="5">
        <v>41.124699999999997</v>
      </c>
      <c r="Y1383" s="5">
        <v>-87.775300000000001</v>
      </c>
      <c r="Z1383" s="6">
        <v>190</v>
      </c>
      <c r="AB1383" s="7" t="s">
        <v>5529</v>
      </c>
      <c r="AC1383" s="7" t="s">
        <v>5536</v>
      </c>
    </row>
    <row r="1384" spans="1:29" ht="21.75" customHeight="1" x14ac:dyDescent="0.2">
      <c r="A1384" s="7" t="s">
        <v>5456</v>
      </c>
      <c r="B1384" s="7" t="s">
        <v>5485</v>
      </c>
      <c r="C1384" s="7" t="s">
        <v>5484</v>
      </c>
      <c r="D1384" s="7" t="s">
        <v>5459</v>
      </c>
      <c r="E1384" s="7" t="s">
        <v>5488</v>
      </c>
      <c r="F1384" s="7" t="s">
        <v>5447</v>
      </c>
      <c r="G1384" s="7" t="s">
        <v>4134</v>
      </c>
      <c r="H1384" s="1" t="s">
        <v>5460</v>
      </c>
      <c r="I1384" s="2">
        <v>0.25</v>
      </c>
      <c r="J1384" s="2" t="s">
        <v>4367</v>
      </c>
      <c r="K1384" s="2" t="s">
        <v>5713</v>
      </c>
      <c r="L1384" s="7"/>
      <c r="O1384" s="45" t="s">
        <v>5521</v>
      </c>
      <c r="P1384" s="2" t="s">
        <v>5208</v>
      </c>
      <c r="Q1384" s="7">
        <v>0.25</v>
      </c>
      <c r="R1384" s="7" t="s">
        <v>5520</v>
      </c>
      <c r="X1384" s="5">
        <v>41.124699999999997</v>
      </c>
      <c r="Y1384" s="5">
        <v>-87.775300000000001</v>
      </c>
      <c r="Z1384" s="6">
        <v>190</v>
      </c>
      <c r="AA1384" s="7" t="s">
        <v>5532</v>
      </c>
      <c r="AB1384" s="7" t="s">
        <v>5533</v>
      </c>
      <c r="AC1384" s="7" t="s">
        <v>5536</v>
      </c>
    </row>
    <row r="1385" spans="1:29" ht="21.75" customHeight="1" x14ac:dyDescent="0.2">
      <c r="A1385" s="7" t="s">
        <v>5456</v>
      </c>
      <c r="B1385" s="7" t="s">
        <v>5485</v>
      </c>
      <c r="C1385" s="7" t="s">
        <v>5484</v>
      </c>
      <c r="D1385" s="7" t="s">
        <v>5459</v>
      </c>
      <c r="E1385" s="7" t="s">
        <v>5501</v>
      </c>
      <c r="F1385" s="7" t="s">
        <v>217</v>
      </c>
      <c r="G1385" s="7" t="s">
        <v>5493</v>
      </c>
      <c r="H1385" s="1" t="s">
        <v>5492</v>
      </c>
      <c r="I1385" s="2">
        <v>0.03</v>
      </c>
      <c r="J1385" s="2" t="s">
        <v>4367</v>
      </c>
      <c r="K1385" s="2" t="s">
        <v>5713</v>
      </c>
      <c r="L1385" s="7"/>
      <c r="O1385" s="45" t="s">
        <v>5521</v>
      </c>
      <c r="P1385" s="2" t="s">
        <v>5208</v>
      </c>
      <c r="Q1385" s="7">
        <v>0.25</v>
      </c>
      <c r="R1385" s="7" t="s">
        <v>5520</v>
      </c>
      <c r="X1385" s="5">
        <v>41.124699999999997</v>
      </c>
      <c r="Y1385" s="5">
        <v>-87.775300000000001</v>
      </c>
      <c r="Z1385" s="6">
        <v>190</v>
      </c>
      <c r="AA1385" s="7" t="s">
        <v>5462</v>
      </c>
      <c r="AB1385" s="7" t="s">
        <v>5534</v>
      </c>
      <c r="AC1385" s="7" t="s">
        <v>5536</v>
      </c>
    </row>
    <row r="1386" spans="1:29" ht="21.75" customHeight="1" x14ac:dyDescent="0.2">
      <c r="A1386" s="7" t="s">
        <v>5456</v>
      </c>
      <c r="B1386" s="7" t="s">
        <v>5485</v>
      </c>
      <c r="C1386" s="7" t="s">
        <v>5484</v>
      </c>
      <c r="D1386" s="7" t="s">
        <v>5459</v>
      </c>
      <c r="E1386" s="7" t="s">
        <v>398</v>
      </c>
      <c r="F1386" s="7" t="s">
        <v>217</v>
      </c>
      <c r="G1386" s="7" t="s">
        <v>5494</v>
      </c>
      <c r="H1386" s="1" t="s">
        <v>5467</v>
      </c>
      <c r="I1386" s="2">
        <v>7.0000000000000007E-2</v>
      </c>
      <c r="J1386" s="2" t="s">
        <v>4367</v>
      </c>
      <c r="K1386" s="2" t="s">
        <v>5713</v>
      </c>
      <c r="L1386" s="7"/>
      <c r="O1386" s="45" t="s">
        <v>5521</v>
      </c>
      <c r="P1386" s="2" t="s">
        <v>5208</v>
      </c>
      <c r="Q1386" s="7">
        <v>0.25</v>
      </c>
      <c r="R1386" s="7" t="s">
        <v>5520</v>
      </c>
      <c r="X1386" s="5">
        <v>41.124699999999997</v>
      </c>
      <c r="Y1386" s="5">
        <v>-87.775300000000001</v>
      </c>
      <c r="Z1386" s="6">
        <v>190</v>
      </c>
      <c r="AB1386" s="7" t="s">
        <v>5535</v>
      </c>
      <c r="AC1386" s="7" t="s">
        <v>5536</v>
      </c>
    </row>
    <row r="1387" spans="1:29" ht="21.75" customHeight="1" x14ac:dyDescent="0.2">
      <c r="A1387" s="7" t="s">
        <v>5456</v>
      </c>
      <c r="B1387" s="7" t="s">
        <v>5485</v>
      </c>
      <c r="C1387" s="7" t="s">
        <v>5484</v>
      </c>
      <c r="D1387" s="7" t="s">
        <v>5459</v>
      </c>
      <c r="E1387" s="7" t="s">
        <v>5488</v>
      </c>
      <c r="F1387" s="7" t="s">
        <v>217</v>
      </c>
      <c r="G1387" s="7" t="s">
        <v>5495</v>
      </c>
      <c r="H1387" s="1" t="s">
        <v>5461</v>
      </c>
      <c r="I1387" s="2">
        <v>0.25</v>
      </c>
      <c r="J1387" s="2" t="s">
        <v>4367</v>
      </c>
      <c r="K1387" s="2" t="s">
        <v>5713</v>
      </c>
      <c r="L1387" s="7"/>
      <c r="O1387" s="45" t="s">
        <v>5521</v>
      </c>
      <c r="P1387" s="2" t="s">
        <v>5208</v>
      </c>
      <c r="Q1387" s="7">
        <v>0.25</v>
      </c>
      <c r="R1387" s="7" t="s">
        <v>5520</v>
      </c>
      <c r="X1387" s="5">
        <v>41.124699999999997</v>
      </c>
      <c r="Y1387" s="5">
        <v>-87.775300000000001</v>
      </c>
      <c r="Z1387" s="6">
        <v>190</v>
      </c>
      <c r="AA1387" s="7" t="s">
        <v>5463</v>
      </c>
      <c r="AC1387" s="7" t="s">
        <v>5536</v>
      </c>
    </row>
    <row r="1388" spans="1:29" ht="21.75" customHeight="1" x14ac:dyDescent="0.2">
      <c r="A1388" s="7" t="s">
        <v>5456</v>
      </c>
      <c r="B1388" s="7" t="s">
        <v>5485</v>
      </c>
      <c r="C1388" s="7" t="s">
        <v>5484</v>
      </c>
      <c r="D1388" s="7" t="s">
        <v>5459</v>
      </c>
      <c r="E1388" s="7" t="s">
        <v>5488</v>
      </c>
      <c r="F1388" s="7" t="s">
        <v>217</v>
      </c>
      <c r="G1388" s="7" t="s">
        <v>5497</v>
      </c>
      <c r="H1388" s="1" t="s">
        <v>5496</v>
      </c>
      <c r="I1388" s="2">
        <v>0.25</v>
      </c>
      <c r="J1388" s="2" t="s">
        <v>4367</v>
      </c>
      <c r="K1388" s="2" t="s">
        <v>5713</v>
      </c>
      <c r="L1388" s="7"/>
      <c r="O1388" s="45" t="s">
        <v>5521</v>
      </c>
      <c r="P1388" s="2" t="s">
        <v>5208</v>
      </c>
      <c r="Q1388" s="7">
        <v>0.25</v>
      </c>
      <c r="R1388" s="7" t="s">
        <v>5520</v>
      </c>
      <c r="X1388" s="5">
        <v>41.124699999999997</v>
      </c>
      <c r="Y1388" s="5">
        <v>-87.775300000000001</v>
      </c>
      <c r="Z1388" s="6">
        <v>190</v>
      </c>
      <c r="AA1388" s="7" t="s">
        <v>5464</v>
      </c>
      <c r="AC1388" s="7" t="s">
        <v>5536</v>
      </c>
    </row>
    <row r="1389" spans="1:29" ht="21.75" customHeight="1" x14ac:dyDescent="0.2">
      <c r="A1389" s="7" t="s">
        <v>5456</v>
      </c>
      <c r="B1389" s="7" t="s">
        <v>5485</v>
      </c>
      <c r="C1389" s="7" t="s">
        <v>5484</v>
      </c>
      <c r="D1389" s="7" t="s">
        <v>5459</v>
      </c>
      <c r="E1389" s="7" t="s">
        <v>398</v>
      </c>
      <c r="F1389" s="7" t="s">
        <v>217</v>
      </c>
      <c r="G1389" s="7" t="s">
        <v>5498</v>
      </c>
      <c r="H1389" s="1" t="s">
        <v>5465</v>
      </c>
      <c r="I1389" s="2">
        <v>0.02</v>
      </c>
      <c r="J1389" s="2" t="s">
        <v>4367</v>
      </c>
      <c r="K1389" s="2" t="s">
        <v>5713</v>
      </c>
      <c r="L1389" s="7"/>
      <c r="O1389" s="45" t="s">
        <v>5521</v>
      </c>
      <c r="P1389" s="2" t="s">
        <v>5208</v>
      </c>
      <c r="Q1389" s="7">
        <v>0.25</v>
      </c>
      <c r="R1389" s="7" t="s">
        <v>5520</v>
      </c>
      <c r="X1389" s="5">
        <v>41.124699999999997</v>
      </c>
      <c r="Y1389" s="5">
        <v>-87.775300000000001</v>
      </c>
      <c r="Z1389" s="6">
        <v>190</v>
      </c>
      <c r="AA1389" s="7" t="s">
        <v>5466</v>
      </c>
      <c r="AC1389" s="7" t="s">
        <v>5536</v>
      </c>
    </row>
    <row r="1390" spans="1:29" ht="21.75" customHeight="1" x14ac:dyDescent="0.2">
      <c r="A1390" s="7" t="s">
        <v>5456</v>
      </c>
      <c r="B1390" s="7" t="s">
        <v>5485</v>
      </c>
      <c r="C1390" s="7" t="s">
        <v>5484</v>
      </c>
      <c r="D1390" s="7" t="s">
        <v>5468</v>
      </c>
      <c r="E1390" s="7" t="s">
        <v>5501</v>
      </c>
      <c r="F1390" s="7" t="s">
        <v>217</v>
      </c>
      <c r="G1390" s="7" t="s">
        <v>5500</v>
      </c>
      <c r="H1390" s="1" t="s">
        <v>5499</v>
      </c>
      <c r="I1390" s="2">
        <v>0.06</v>
      </c>
      <c r="J1390" s="2" t="s">
        <v>4367</v>
      </c>
      <c r="K1390" s="2" t="s">
        <v>5713</v>
      </c>
      <c r="L1390" s="7"/>
      <c r="O1390" s="45" t="s">
        <v>5522</v>
      </c>
      <c r="P1390" s="2" t="s">
        <v>5527</v>
      </c>
      <c r="Q1390" s="7">
        <v>0.25</v>
      </c>
      <c r="R1390" s="7" t="s">
        <v>5520</v>
      </c>
      <c r="W1390" s="7" t="s">
        <v>5524</v>
      </c>
      <c r="X1390" s="5">
        <v>42.121499999999997</v>
      </c>
      <c r="Y1390" s="5">
        <v>-87.778999999999996</v>
      </c>
      <c r="Z1390" s="6">
        <v>191</v>
      </c>
      <c r="AC1390" s="7" t="s">
        <v>5536</v>
      </c>
    </row>
    <row r="1391" spans="1:29" ht="21.75" customHeight="1" x14ac:dyDescent="0.2">
      <c r="A1391" s="7" t="s">
        <v>5456</v>
      </c>
      <c r="B1391" s="7" t="s">
        <v>5485</v>
      </c>
      <c r="C1391" s="7" t="s">
        <v>5484</v>
      </c>
      <c r="D1391" s="7" t="s">
        <v>5468</v>
      </c>
      <c r="E1391" s="7" t="s">
        <v>398</v>
      </c>
      <c r="F1391" s="7" t="s">
        <v>217</v>
      </c>
      <c r="G1391" s="7" t="s">
        <v>5502</v>
      </c>
      <c r="H1391" s="1" t="s">
        <v>5469</v>
      </c>
      <c r="I1391" s="2">
        <v>0.01</v>
      </c>
      <c r="J1391" s="2" t="s">
        <v>4367</v>
      </c>
      <c r="K1391" s="2" t="s">
        <v>5713</v>
      </c>
      <c r="L1391" s="7"/>
      <c r="O1391" s="45" t="s">
        <v>5522</v>
      </c>
      <c r="P1391" s="2" t="s">
        <v>5527</v>
      </c>
      <c r="Q1391" s="7">
        <v>0.25</v>
      </c>
      <c r="R1391" s="7" t="s">
        <v>5520</v>
      </c>
      <c r="W1391" s="7" t="s">
        <v>5524</v>
      </c>
      <c r="X1391" s="5">
        <v>42.121499999999997</v>
      </c>
      <c r="Y1391" s="5">
        <v>-87.778999999999996</v>
      </c>
      <c r="Z1391" s="6">
        <v>191</v>
      </c>
      <c r="AC1391" s="7" t="s">
        <v>5536</v>
      </c>
    </row>
    <row r="1392" spans="1:29" ht="21.75" customHeight="1" x14ac:dyDescent="0.2">
      <c r="A1392" s="7" t="s">
        <v>5456</v>
      </c>
      <c r="B1392" s="7" t="s">
        <v>5485</v>
      </c>
      <c r="C1392" s="7" t="s">
        <v>5484</v>
      </c>
      <c r="D1392" s="7" t="s">
        <v>5468</v>
      </c>
      <c r="E1392" s="7" t="s">
        <v>398</v>
      </c>
      <c r="F1392" s="7" t="s">
        <v>217</v>
      </c>
      <c r="G1392" s="7" t="s">
        <v>5503</v>
      </c>
      <c r="H1392" s="1" t="s">
        <v>5470</v>
      </c>
      <c r="I1392" s="2">
        <v>0.02</v>
      </c>
      <c r="J1392" s="2" t="s">
        <v>4367</v>
      </c>
      <c r="K1392" s="2" t="s">
        <v>5713</v>
      </c>
      <c r="L1392" s="7"/>
      <c r="O1392" s="45" t="s">
        <v>5522</v>
      </c>
      <c r="P1392" s="2" t="s">
        <v>5527</v>
      </c>
      <c r="Q1392" s="7">
        <v>0.25</v>
      </c>
      <c r="R1392" s="7" t="s">
        <v>5520</v>
      </c>
      <c r="W1392" s="7" t="s">
        <v>5524</v>
      </c>
      <c r="X1392" s="5">
        <v>42.121499999999997</v>
      </c>
      <c r="Y1392" s="5">
        <v>-87.778999999999996</v>
      </c>
      <c r="Z1392" s="6">
        <v>191</v>
      </c>
      <c r="AC1392" s="7" t="s">
        <v>5536</v>
      </c>
    </row>
    <row r="1393" spans="1:29" ht="21.75" customHeight="1" x14ac:dyDescent="0.2">
      <c r="A1393" s="7" t="s">
        <v>5456</v>
      </c>
      <c r="B1393" s="7" t="s">
        <v>5485</v>
      </c>
      <c r="C1393" s="7" t="s">
        <v>5484</v>
      </c>
      <c r="D1393" s="7" t="s">
        <v>5468</v>
      </c>
      <c r="E1393" s="7" t="s">
        <v>5505</v>
      </c>
      <c r="F1393" s="7" t="s">
        <v>217</v>
      </c>
      <c r="G1393" s="7" t="s">
        <v>5504</v>
      </c>
      <c r="H1393" s="1" t="s">
        <v>5471</v>
      </c>
      <c r="I1393" s="2">
        <v>0.01</v>
      </c>
      <c r="J1393" s="2" t="s">
        <v>4367</v>
      </c>
      <c r="K1393" s="2" t="s">
        <v>5713</v>
      </c>
      <c r="L1393" s="7"/>
      <c r="O1393" s="45" t="s">
        <v>5522</v>
      </c>
      <c r="P1393" s="2" t="s">
        <v>5527</v>
      </c>
      <c r="Q1393" s="7">
        <v>0.25</v>
      </c>
      <c r="R1393" s="7" t="s">
        <v>5520</v>
      </c>
      <c r="W1393" s="7" t="s">
        <v>5524</v>
      </c>
      <c r="X1393" s="5">
        <v>42.121499999999997</v>
      </c>
      <c r="Y1393" s="5">
        <v>-87.778999999999996</v>
      </c>
      <c r="Z1393" s="6">
        <v>191</v>
      </c>
      <c r="AC1393" s="7" t="s">
        <v>5536</v>
      </c>
    </row>
    <row r="1394" spans="1:29" ht="21.75" customHeight="1" x14ac:dyDescent="0.2">
      <c r="A1394" s="7" t="s">
        <v>5456</v>
      </c>
      <c r="B1394" s="7" t="s">
        <v>5485</v>
      </c>
      <c r="C1394" s="7" t="s">
        <v>5484</v>
      </c>
      <c r="D1394" s="7" t="s">
        <v>5468</v>
      </c>
      <c r="E1394" s="7" t="s">
        <v>5505</v>
      </c>
      <c r="F1394" s="7" t="s">
        <v>217</v>
      </c>
      <c r="G1394" s="7" t="s">
        <v>5507</v>
      </c>
      <c r="H1394" s="1" t="s">
        <v>5506</v>
      </c>
      <c r="I1394" s="2">
        <v>0.01</v>
      </c>
      <c r="J1394" s="2" t="s">
        <v>4367</v>
      </c>
      <c r="K1394" s="2" t="s">
        <v>5713</v>
      </c>
      <c r="L1394" s="7"/>
      <c r="O1394" s="45" t="s">
        <v>5522</v>
      </c>
      <c r="P1394" s="2" t="s">
        <v>5527</v>
      </c>
      <c r="Q1394" s="7">
        <v>0.25</v>
      </c>
      <c r="R1394" s="7" t="s">
        <v>5520</v>
      </c>
      <c r="W1394" s="7" t="s">
        <v>5524</v>
      </c>
      <c r="X1394" s="5">
        <v>42.121499999999997</v>
      </c>
      <c r="Y1394" s="5">
        <v>-87.778999999999996</v>
      </c>
      <c r="Z1394" s="6">
        <v>191</v>
      </c>
      <c r="AC1394" s="7" t="s">
        <v>5536</v>
      </c>
    </row>
    <row r="1395" spans="1:29" ht="21.75" customHeight="1" x14ac:dyDescent="0.2">
      <c r="A1395" s="7" t="s">
        <v>5456</v>
      </c>
      <c r="B1395" s="7" t="s">
        <v>5485</v>
      </c>
      <c r="C1395" s="7" t="s">
        <v>5484</v>
      </c>
      <c r="D1395" s="7" t="s">
        <v>5472</v>
      </c>
      <c r="E1395" s="7" t="s">
        <v>398</v>
      </c>
      <c r="F1395" s="7" t="s">
        <v>217</v>
      </c>
      <c r="G1395" s="7" t="s">
        <v>5508</v>
      </c>
      <c r="H1395" s="1" t="s">
        <v>5473</v>
      </c>
      <c r="I1395" s="2">
        <v>0.1</v>
      </c>
      <c r="J1395" s="2" t="s">
        <v>4367</v>
      </c>
      <c r="K1395" s="2" t="s">
        <v>5713</v>
      </c>
      <c r="L1395" s="7"/>
      <c r="O1395" s="45" t="s">
        <v>5525</v>
      </c>
      <c r="P1395" s="2" t="s">
        <v>5527</v>
      </c>
      <c r="Q1395" s="7">
        <v>0.25</v>
      </c>
      <c r="R1395" s="7" t="s">
        <v>5520</v>
      </c>
      <c r="X1395" s="5">
        <v>42.1297</v>
      </c>
      <c r="Y1395" s="5">
        <v>-87.771100000000004</v>
      </c>
      <c r="Z1395" s="6">
        <v>192</v>
      </c>
      <c r="AA1395" s="7" t="s">
        <v>5477</v>
      </c>
      <c r="AC1395" s="7" t="s">
        <v>5536</v>
      </c>
    </row>
    <row r="1396" spans="1:29" ht="21.75" customHeight="1" x14ac:dyDescent="0.2">
      <c r="A1396" s="7" t="s">
        <v>5456</v>
      </c>
      <c r="B1396" s="7" t="s">
        <v>5485</v>
      </c>
      <c r="C1396" s="7" t="s">
        <v>5484</v>
      </c>
      <c r="D1396" s="7" t="s">
        <v>5472</v>
      </c>
      <c r="E1396" s="7" t="s">
        <v>398</v>
      </c>
      <c r="F1396" s="7" t="s">
        <v>217</v>
      </c>
      <c r="G1396" s="7" t="s">
        <v>5509</v>
      </c>
      <c r="H1396" s="1" t="s">
        <v>5474</v>
      </c>
      <c r="I1396" s="2">
        <v>0.08</v>
      </c>
      <c r="J1396" s="2" t="s">
        <v>4367</v>
      </c>
      <c r="K1396" s="2" t="s">
        <v>5713</v>
      </c>
      <c r="L1396" s="7"/>
      <c r="O1396" s="45" t="s">
        <v>5525</v>
      </c>
      <c r="P1396" s="2" t="s">
        <v>5527</v>
      </c>
      <c r="Q1396" s="7">
        <v>0.25</v>
      </c>
      <c r="R1396" s="7" t="s">
        <v>5520</v>
      </c>
      <c r="X1396" s="5">
        <v>42.1297</v>
      </c>
      <c r="Y1396" s="5">
        <v>-87.771100000000004</v>
      </c>
      <c r="Z1396" s="6">
        <v>192</v>
      </c>
      <c r="AC1396" s="7" t="s">
        <v>5536</v>
      </c>
    </row>
    <row r="1397" spans="1:29" ht="21.75" customHeight="1" x14ac:dyDescent="0.2">
      <c r="A1397" s="7" t="s">
        <v>5456</v>
      </c>
      <c r="B1397" s="7" t="s">
        <v>5485</v>
      </c>
      <c r="C1397" s="7" t="s">
        <v>5484</v>
      </c>
      <c r="D1397" s="7" t="s">
        <v>5472</v>
      </c>
      <c r="E1397" s="7" t="s">
        <v>398</v>
      </c>
      <c r="F1397" s="7" t="s">
        <v>62</v>
      </c>
      <c r="G1397" s="7" t="s">
        <v>5511</v>
      </c>
      <c r="H1397" s="1" t="s">
        <v>5510</v>
      </c>
      <c r="I1397" s="2">
        <v>7.0000000000000007E-2</v>
      </c>
      <c r="J1397" s="2" t="s">
        <v>4367</v>
      </c>
      <c r="K1397" s="2" t="s">
        <v>5713</v>
      </c>
      <c r="L1397" s="7"/>
      <c r="O1397" s="45" t="s">
        <v>5525</v>
      </c>
      <c r="P1397" s="2" t="s">
        <v>5527</v>
      </c>
      <c r="Q1397" s="7">
        <v>0.25</v>
      </c>
      <c r="R1397" s="7" t="s">
        <v>5520</v>
      </c>
      <c r="X1397" s="5">
        <v>42.1297</v>
      </c>
      <c r="Y1397" s="5">
        <v>-87.771100000000004</v>
      </c>
      <c r="Z1397" s="6">
        <v>192</v>
      </c>
      <c r="AC1397" s="7" t="s">
        <v>5536</v>
      </c>
    </row>
    <row r="1398" spans="1:29" ht="21.75" customHeight="1" x14ac:dyDescent="0.2">
      <c r="A1398" s="7" t="s">
        <v>5456</v>
      </c>
      <c r="B1398" s="7" t="s">
        <v>5485</v>
      </c>
      <c r="C1398" s="7" t="s">
        <v>5484</v>
      </c>
      <c r="D1398" s="7" t="s">
        <v>5472</v>
      </c>
      <c r="E1398" s="7" t="s">
        <v>398</v>
      </c>
      <c r="F1398" s="7" t="s">
        <v>62</v>
      </c>
      <c r="G1398" s="7" t="s">
        <v>5513</v>
      </c>
      <c r="H1398" s="1" t="s">
        <v>5512</v>
      </c>
      <c r="I1398" s="2">
        <v>0.04</v>
      </c>
      <c r="J1398" s="2" t="s">
        <v>4367</v>
      </c>
      <c r="K1398" s="2" t="s">
        <v>5713</v>
      </c>
      <c r="L1398" s="7"/>
      <c r="O1398" s="45" t="s">
        <v>5525</v>
      </c>
      <c r="P1398" s="2" t="s">
        <v>5527</v>
      </c>
      <c r="Q1398" s="7">
        <v>0.25</v>
      </c>
      <c r="R1398" s="7" t="s">
        <v>5520</v>
      </c>
      <c r="X1398" s="5">
        <v>42.1297</v>
      </c>
      <c r="Y1398" s="5">
        <v>-87.771100000000004</v>
      </c>
      <c r="Z1398" s="6">
        <v>192</v>
      </c>
      <c r="AC1398" s="7" t="s">
        <v>5536</v>
      </c>
    </row>
    <row r="1399" spans="1:29" ht="21.75" customHeight="1" x14ac:dyDescent="0.2">
      <c r="A1399" s="7" t="s">
        <v>5456</v>
      </c>
      <c r="B1399" s="7" t="s">
        <v>5485</v>
      </c>
      <c r="C1399" s="7" t="s">
        <v>5484</v>
      </c>
      <c r="D1399" s="7" t="s">
        <v>5472</v>
      </c>
      <c r="E1399" s="7" t="s">
        <v>275</v>
      </c>
      <c r="F1399" s="7" t="s">
        <v>217</v>
      </c>
      <c r="G1399" s="7" t="s">
        <v>5514</v>
      </c>
      <c r="H1399" s="1" t="s">
        <v>5475</v>
      </c>
      <c r="I1399" s="2">
        <v>0.02</v>
      </c>
      <c r="J1399" s="2" t="s">
        <v>4367</v>
      </c>
      <c r="K1399" s="2" t="s">
        <v>5713</v>
      </c>
      <c r="L1399" s="7"/>
      <c r="O1399" s="45" t="s">
        <v>5525</v>
      </c>
      <c r="P1399" s="2" t="s">
        <v>5527</v>
      </c>
      <c r="Q1399" s="7">
        <v>0.25</v>
      </c>
      <c r="R1399" s="7" t="s">
        <v>5520</v>
      </c>
      <c r="X1399" s="5">
        <v>42.1297</v>
      </c>
      <c r="Y1399" s="5">
        <v>-87.771100000000004</v>
      </c>
      <c r="Z1399" s="6">
        <v>192</v>
      </c>
      <c r="AC1399" s="7" t="s">
        <v>5536</v>
      </c>
    </row>
    <row r="1400" spans="1:29" ht="21.75" customHeight="1" x14ac:dyDescent="0.2">
      <c r="A1400" s="7" t="s">
        <v>5456</v>
      </c>
      <c r="B1400" s="7" t="s">
        <v>5485</v>
      </c>
      <c r="C1400" s="7" t="s">
        <v>5484</v>
      </c>
      <c r="D1400" s="7" t="s">
        <v>5472</v>
      </c>
      <c r="E1400" s="7" t="s">
        <v>398</v>
      </c>
      <c r="F1400" s="7" t="s">
        <v>62</v>
      </c>
      <c r="G1400" s="7" t="s">
        <v>5515</v>
      </c>
      <c r="H1400" s="1" t="s">
        <v>5476</v>
      </c>
      <c r="I1400" s="2">
        <v>0.03</v>
      </c>
      <c r="J1400" s="2" t="s">
        <v>4367</v>
      </c>
      <c r="K1400" s="2" t="s">
        <v>5713</v>
      </c>
      <c r="L1400" s="7"/>
      <c r="O1400" s="45" t="s">
        <v>5525</v>
      </c>
      <c r="P1400" s="2" t="s">
        <v>5527</v>
      </c>
      <c r="Q1400" s="7">
        <v>0.25</v>
      </c>
      <c r="R1400" s="7" t="s">
        <v>5520</v>
      </c>
      <c r="X1400" s="5">
        <v>42.1297</v>
      </c>
      <c r="Y1400" s="5">
        <v>-87.771100000000004</v>
      </c>
      <c r="Z1400" s="6">
        <v>192</v>
      </c>
      <c r="AC1400" s="7" t="s">
        <v>5536</v>
      </c>
    </row>
    <row r="1401" spans="1:29" ht="21.75" customHeight="1" x14ac:dyDescent="0.2">
      <c r="A1401" s="7" t="s">
        <v>5456</v>
      </c>
      <c r="B1401" s="7" t="s">
        <v>5485</v>
      </c>
      <c r="C1401" s="7" t="s">
        <v>5484</v>
      </c>
      <c r="D1401" s="7" t="s">
        <v>5478</v>
      </c>
      <c r="E1401" s="7" t="s">
        <v>398</v>
      </c>
      <c r="F1401" s="7" t="s">
        <v>217</v>
      </c>
      <c r="G1401" s="7" t="s">
        <v>5516</v>
      </c>
      <c r="H1401" s="1" t="s">
        <v>5480</v>
      </c>
      <c r="I1401" s="2">
        <v>0.03</v>
      </c>
      <c r="J1401" s="2" t="s">
        <v>4367</v>
      </c>
      <c r="K1401" s="2" t="s">
        <v>5713</v>
      </c>
      <c r="L1401" s="7"/>
      <c r="O1401" s="45" t="s">
        <v>5523</v>
      </c>
      <c r="P1401" s="2" t="s">
        <v>5527</v>
      </c>
      <c r="Q1401" s="7">
        <v>0.25</v>
      </c>
      <c r="R1401" s="7" t="s">
        <v>5520</v>
      </c>
      <c r="X1401" s="5">
        <v>42.106499999999997</v>
      </c>
      <c r="Y1401" s="5">
        <v>-87.766499999999994</v>
      </c>
      <c r="Z1401" s="6">
        <v>189</v>
      </c>
      <c r="AA1401" s="7" t="s">
        <v>5479</v>
      </c>
      <c r="AC1401" s="7" t="s">
        <v>5536</v>
      </c>
    </row>
    <row r="1402" spans="1:29" ht="21.75" customHeight="1" x14ac:dyDescent="0.2">
      <c r="A1402" s="7" t="s">
        <v>5456</v>
      </c>
      <c r="B1402" s="7" t="s">
        <v>5485</v>
      </c>
      <c r="C1402" s="7" t="s">
        <v>5484</v>
      </c>
      <c r="D1402" s="7" t="s">
        <v>5478</v>
      </c>
      <c r="E1402" s="7" t="s">
        <v>398</v>
      </c>
      <c r="F1402" s="7" t="s">
        <v>217</v>
      </c>
      <c r="G1402" s="7" t="s">
        <v>5517</v>
      </c>
      <c r="H1402" s="1" t="s">
        <v>5481</v>
      </c>
      <c r="I1402" s="2">
        <v>7.0000000000000007E-2</v>
      </c>
      <c r="J1402" s="2" t="s">
        <v>4367</v>
      </c>
      <c r="K1402" s="2" t="s">
        <v>5713</v>
      </c>
      <c r="L1402" s="7"/>
      <c r="O1402" s="45" t="s">
        <v>5523</v>
      </c>
      <c r="P1402" s="2" t="s">
        <v>5527</v>
      </c>
      <c r="Q1402" s="7">
        <v>0.25</v>
      </c>
      <c r="R1402" s="7" t="s">
        <v>5520</v>
      </c>
      <c r="X1402" s="5">
        <v>42.106499999999997</v>
      </c>
      <c r="Y1402" s="5">
        <v>-87.766499999999994</v>
      </c>
      <c r="Z1402" s="6">
        <v>189</v>
      </c>
      <c r="AC1402" s="7" t="s">
        <v>5536</v>
      </c>
    </row>
    <row r="1403" spans="1:29" ht="21.75" customHeight="1" x14ac:dyDescent="0.2">
      <c r="A1403" s="7" t="s">
        <v>5456</v>
      </c>
      <c r="B1403" s="7" t="s">
        <v>5485</v>
      </c>
      <c r="C1403" s="7" t="s">
        <v>5484</v>
      </c>
      <c r="D1403" s="7" t="s">
        <v>5478</v>
      </c>
      <c r="E1403" s="7" t="s">
        <v>398</v>
      </c>
      <c r="F1403" s="7" t="s">
        <v>217</v>
      </c>
      <c r="G1403" s="7" t="s">
        <v>5518</v>
      </c>
      <c r="H1403" s="1" t="s">
        <v>5482</v>
      </c>
      <c r="I1403" s="2">
        <v>0.06</v>
      </c>
      <c r="J1403" s="2" t="s">
        <v>4367</v>
      </c>
      <c r="K1403" s="2" t="s">
        <v>5713</v>
      </c>
      <c r="L1403" s="7"/>
      <c r="O1403" s="45" t="s">
        <v>5523</v>
      </c>
      <c r="P1403" s="2" t="s">
        <v>5527</v>
      </c>
      <c r="Q1403" s="7">
        <v>0.25</v>
      </c>
      <c r="R1403" s="7" t="s">
        <v>5520</v>
      </c>
      <c r="X1403" s="5">
        <v>42.106499999999997</v>
      </c>
      <c r="Y1403" s="5">
        <v>-87.766499999999994</v>
      </c>
      <c r="Z1403" s="6">
        <v>189</v>
      </c>
      <c r="AC1403" s="7" t="s">
        <v>5536</v>
      </c>
    </row>
    <row r="1404" spans="1:29" ht="21.75" customHeight="1" x14ac:dyDescent="0.2">
      <c r="A1404" s="7" t="s">
        <v>5456</v>
      </c>
      <c r="B1404" s="7" t="s">
        <v>5485</v>
      </c>
      <c r="C1404" s="7" t="s">
        <v>5484</v>
      </c>
      <c r="D1404" s="7" t="s">
        <v>5478</v>
      </c>
      <c r="E1404" s="7" t="s">
        <v>5488</v>
      </c>
      <c r="F1404" s="7" t="s">
        <v>217</v>
      </c>
      <c r="G1404" s="7" t="s">
        <v>5519</v>
      </c>
      <c r="H1404" s="1" t="s">
        <v>5483</v>
      </c>
      <c r="I1404" s="2">
        <v>0.1</v>
      </c>
      <c r="J1404" s="2" t="s">
        <v>4367</v>
      </c>
      <c r="K1404" s="2" t="s">
        <v>5713</v>
      </c>
      <c r="L1404" s="7"/>
      <c r="O1404" s="45" t="s">
        <v>5523</v>
      </c>
      <c r="P1404" s="2" t="s">
        <v>5527</v>
      </c>
      <c r="Q1404" s="7">
        <v>0.25</v>
      </c>
      <c r="R1404" s="7" t="s">
        <v>5520</v>
      </c>
      <c r="X1404" s="5">
        <v>42.106499999999997</v>
      </c>
      <c r="Y1404" s="5">
        <v>-87.766499999999994</v>
      </c>
      <c r="Z1404" s="6">
        <v>189</v>
      </c>
      <c r="AC1404" s="7" t="s">
        <v>5536</v>
      </c>
    </row>
    <row r="1405" spans="1:29" s="8" customFormat="1" ht="21.75" customHeight="1" x14ac:dyDescent="0.2">
      <c r="A1405" s="8" t="s">
        <v>2824</v>
      </c>
      <c r="B1405" s="8" t="s">
        <v>2826</v>
      </c>
      <c r="C1405" s="8" t="s">
        <v>2825</v>
      </c>
      <c r="D1405" s="8" t="s">
        <v>2827</v>
      </c>
      <c r="E1405" s="8" t="s">
        <v>398</v>
      </c>
      <c r="F1405" s="8" t="s">
        <v>470</v>
      </c>
      <c r="H1405" s="3" t="s">
        <v>2830</v>
      </c>
      <c r="I1405" s="4">
        <v>0.95</v>
      </c>
      <c r="J1405" s="4" t="s">
        <v>4367</v>
      </c>
      <c r="K1405" s="4" t="s">
        <v>5783</v>
      </c>
      <c r="L1405" s="8">
        <v>116</v>
      </c>
      <c r="M1405" s="14" t="s">
        <v>2957</v>
      </c>
      <c r="N1405" s="14"/>
      <c r="O1405" s="110"/>
      <c r="P1405" s="4"/>
      <c r="R1405" s="8" t="s">
        <v>2832</v>
      </c>
      <c r="S1405" s="8" t="s">
        <v>977</v>
      </c>
      <c r="T1405" s="8">
        <v>0.7</v>
      </c>
      <c r="X1405" s="13">
        <v>-30.249199999999998</v>
      </c>
      <c r="Y1405" s="13">
        <v>18.418299999999999</v>
      </c>
      <c r="Z1405" s="14">
        <v>921</v>
      </c>
      <c r="AA1405" s="8" t="s">
        <v>2833</v>
      </c>
      <c r="AB1405" s="8" t="s">
        <v>2836</v>
      </c>
    </row>
    <row r="1406" spans="1:29" s="8" customFormat="1" ht="21.75" customHeight="1" x14ac:dyDescent="0.2">
      <c r="A1406" s="8" t="s">
        <v>2824</v>
      </c>
      <c r="B1406" s="8" t="s">
        <v>2826</v>
      </c>
      <c r="C1406" s="8" t="s">
        <v>2825</v>
      </c>
      <c r="D1406" s="8" t="s">
        <v>2827</v>
      </c>
      <c r="E1406" s="8" t="s">
        <v>398</v>
      </c>
      <c r="F1406" s="8" t="s">
        <v>2831</v>
      </c>
      <c r="H1406" s="3" t="s">
        <v>2577</v>
      </c>
      <c r="I1406" s="4">
        <v>0.55000000000000004</v>
      </c>
      <c r="J1406" s="4" t="s">
        <v>4367</v>
      </c>
      <c r="K1406" s="4" t="s">
        <v>5783</v>
      </c>
      <c r="L1406" s="8">
        <v>116</v>
      </c>
      <c r="M1406" s="14" t="s">
        <v>2957</v>
      </c>
      <c r="N1406" s="14"/>
      <c r="O1406" s="110"/>
      <c r="P1406" s="4"/>
      <c r="R1406" s="8" t="s">
        <v>2832</v>
      </c>
      <c r="S1406" s="8" t="s">
        <v>977</v>
      </c>
      <c r="T1406" s="8">
        <v>0.7</v>
      </c>
      <c r="X1406" s="13">
        <v>-30.249199999999998</v>
      </c>
      <c r="Y1406" s="13">
        <v>18.418299999999999</v>
      </c>
      <c r="Z1406" s="14">
        <v>921</v>
      </c>
      <c r="AA1406" s="8" t="s">
        <v>2834</v>
      </c>
      <c r="AB1406" s="8" t="s">
        <v>2837</v>
      </c>
    </row>
    <row r="1407" spans="1:29" s="8" customFormat="1" ht="21.75" customHeight="1" x14ac:dyDescent="0.2">
      <c r="A1407" s="8" t="s">
        <v>2824</v>
      </c>
      <c r="B1407" s="8" t="s">
        <v>2826</v>
      </c>
      <c r="C1407" s="8" t="s">
        <v>2825</v>
      </c>
      <c r="D1407" s="8" t="s">
        <v>2828</v>
      </c>
      <c r="E1407" s="8" t="s">
        <v>398</v>
      </c>
      <c r="F1407" s="8" t="s">
        <v>2831</v>
      </c>
      <c r="H1407" s="3" t="s">
        <v>2829</v>
      </c>
      <c r="I1407" s="8">
        <v>0.2</v>
      </c>
      <c r="J1407" s="4" t="s">
        <v>4367</v>
      </c>
      <c r="K1407" s="4" t="s">
        <v>5783</v>
      </c>
      <c r="L1407" s="8">
        <v>150</v>
      </c>
      <c r="M1407" s="14" t="s">
        <v>2957</v>
      </c>
      <c r="N1407" s="14"/>
      <c r="O1407" s="110"/>
      <c r="P1407" s="4"/>
      <c r="R1407" s="8" t="s">
        <v>2832</v>
      </c>
      <c r="S1407" s="8" t="s">
        <v>977</v>
      </c>
      <c r="T1407" s="8">
        <v>0.7</v>
      </c>
      <c r="X1407" s="13">
        <v>-29.700800000000001</v>
      </c>
      <c r="Y1407" s="13">
        <v>17.980599999999999</v>
      </c>
      <c r="Z1407" s="14">
        <v>935</v>
      </c>
      <c r="AA1407" s="8" t="s">
        <v>2835</v>
      </c>
      <c r="AB1407" s="8" t="s">
        <v>2838</v>
      </c>
    </row>
    <row r="1408" spans="1:29" ht="21.75" customHeight="1" x14ac:dyDescent="0.2">
      <c r="A1408" s="7" t="s">
        <v>6782</v>
      </c>
      <c r="B1408" s="7" t="s">
        <v>6789</v>
      </c>
      <c r="C1408" s="7" t="s">
        <v>6783</v>
      </c>
      <c r="E1408" s="7" t="s">
        <v>263</v>
      </c>
      <c r="F1408" s="7" t="s">
        <v>212</v>
      </c>
      <c r="H1408" s="1" t="s">
        <v>6785</v>
      </c>
      <c r="I1408" s="2" t="s">
        <v>6788</v>
      </c>
      <c r="J1408" s="2" t="s">
        <v>4367</v>
      </c>
      <c r="K1408" s="2" t="s">
        <v>4480</v>
      </c>
      <c r="L1408" s="7">
        <v>2078</v>
      </c>
      <c r="R1408" s="7" t="s">
        <v>6784</v>
      </c>
      <c r="X1408" s="5">
        <f>6+45/60+37/3600</f>
        <v>6.7602777777777776</v>
      </c>
      <c r="Y1408" s="5">
        <f>-(75+6/60+28/3600)</f>
        <v>-75.10777777777777</v>
      </c>
      <c r="Z1408" s="6">
        <v>925</v>
      </c>
      <c r="AA1408" s="7" t="s">
        <v>6786</v>
      </c>
      <c r="AB1408" s="7" t="s">
        <v>6787</v>
      </c>
    </row>
    <row r="1409" spans="1:28" s="54" customFormat="1" ht="21.75" customHeight="1" x14ac:dyDescent="0.2">
      <c r="A1409" s="54" t="s">
        <v>4161</v>
      </c>
      <c r="B1409" s="54" t="s">
        <v>4021</v>
      </c>
      <c r="C1409" s="54" t="s">
        <v>4047</v>
      </c>
      <c r="D1409" s="54" t="s">
        <v>4022</v>
      </c>
      <c r="E1409" s="54" t="s">
        <v>398</v>
      </c>
      <c r="F1409" s="54" t="s">
        <v>217</v>
      </c>
      <c r="G1409" s="54" t="s">
        <v>4163</v>
      </c>
      <c r="H1409" s="55" t="s">
        <v>59</v>
      </c>
      <c r="I1409" s="54">
        <v>0.7</v>
      </c>
      <c r="J1409" s="54" t="s">
        <v>5815</v>
      </c>
      <c r="K1409" s="54" t="s">
        <v>4410</v>
      </c>
      <c r="L1409" s="54">
        <v>798</v>
      </c>
      <c r="M1409" s="57" t="s">
        <v>4024</v>
      </c>
      <c r="N1409" s="57"/>
      <c r="O1409" s="112"/>
      <c r="P1409" s="56"/>
      <c r="R1409" s="54" t="s">
        <v>4023</v>
      </c>
      <c r="X1409" s="58">
        <v>38.953800000000001</v>
      </c>
      <c r="Y1409" s="58">
        <v>-9.2852999999999994</v>
      </c>
      <c r="Z1409" s="57">
        <v>234</v>
      </c>
      <c r="AB1409" s="138" t="s">
        <v>4166</v>
      </c>
    </row>
    <row r="1410" spans="1:28" s="8" customFormat="1" ht="21.75" customHeight="1" x14ac:dyDescent="0.2">
      <c r="A1410" s="8" t="s">
        <v>4161</v>
      </c>
      <c r="B1410" s="8" t="s">
        <v>4021</v>
      </c>
      <c r="C1410" s="8" t="s">
        <v>4047</v>
      </c>
      <c r="D1410" s="8" t="s">
        <v>4022</v>
      </c>
      <c r="E1410" s="8" t="s">
        <v>398</v>
      </c>
      <c r="F1410" s="8" t="s">
        <v>214</v>
      </c>
      <c r="G1410" s="8" t="s">
        <v>4164</v>
      </c>
      <c r="H1410" s="3" t="s">
        <v>4162</v>
      </c>
      <c r="I1410" s="8">
        <v>1.1000000000000001</v>
      </c>
      <c r="J1410" s="8" t="s">
        <v>5815</v>
      </c>
      <c r="K1410" s="8" t="s">
        <v>4410</v>
      </c>
      <c r="L1410" s="8">
        <v>798</v>
      </c>
      <c r="M1410" s="14" t="s">
        <v>4024</v>
      </c>
      <c r="N1410" s="14"/>
      <c r="O1410" s="110"/>
      <c r="P1410" s="4"/>
      <c r="R1410" s="8" t="s">
        <v>4023</v>
      </c>
      <c r="X1410" s="13">
        <v>38.953800000000001</v>
      </c>
      <c r="Y1410" s="13">
        <v>-9.2852999999999994</v>
      </c>
      <c r="Z1410" s="14">
        <v>234</v>
      </c>
      <c r="AB1410" s="138"/>
    </row>
    <row r="1411" spans="1:28" ht="21.75" customHeight="1" x14ac:dyDescent="0.2">
      <c r="A1411" s="7" t="s">
        <v>4020</v>
      </c>
      <c r="B1411" s="7" t="s">
        <v>4021</v>
      </c>
      <c r="C1411" s="7" t="s">
        <v>4047</v>
      </c>
      <c r="D1411" s="7" t="s">
        <v>4022</v>
      </c>
      <c r="E1411" s="7" t="s">
        <v>263</v>
      </c>
      <c r="F1411" s="7" t="s">
        <v>174</v>
      </c>
      <c r="H1411" s="1" t="s">
        <v>4030</v>
      </c>
      <c r="I1411" s="7">
        <v>0.44</v>
      </c>
      <c r="J1411" s="7" t="s">
        <v>4367</v>
      </c>
      <c r="K1411" s="7" t="s">
        <v>4480</v>
      </c>
      <c r="L1411" s="7">
        <v>798</v>
      </c>
      <c r="M1411" s="6" t="s">
        <v>4024</v>
      </c>
      <c r="R1411" s="7" t="s">
        <v>4023</v>
      </c>
      <c r="X1411" s="5">
        <v>38.953800000000001</v>
      </c>
      <c r="Y1411" s="5">
        <v>-9.2852999999999994</v>
      </c>
      <c r="Z1411" s="6">
        <v>234</v>
      </c>
      <c r="AB1411" s="7" t="s">
        <v>4048</v>
      </c>
    </row>
    <row r="1412" spans="1:28" ht="21.75" customHeight="1" x14ac:dyDescent="0.2">
      <c r="A1412" s="7" t="s">
        <v>4020</v>
      </c>
      <c r="B1412" s="7" t="s">
        <v>4021</v>
      </c>
      <c r="C1412" s="7" t="s">
        <v>4047</v>
      </c>
      <c r="D1412" s="7" t="s">
        <v>4022</v>
      </c>
      <c r="E1412" s="7" t="s">
        <v>263</v>
      </c>
      <c r="F1412" s="7" t="s">
        <v>174</v>
      </c>
      <c r="H1412" s="1" t="s">
        <v>4032</v>
      </c>
      <c r="I1412" s="7">
        <v>0.47</v>
      </c>
      <c r="J1412" s="7" t="s">
        <v>4367</v>
      </c>
      <c r="K1412" s="7" t="s">
        <v>4480</v>
      </c>
      <c r="L1412" s="7">
        <v>798</v>
      </c>
      <c r="M1412" s="6" t="s">
        <v>4024</v>
      </c>
      <c r="R1412" s="7" t="s">
        <v>4023</v>
      </c>
      <c r="X1412" s="5">
        <v>38.953800000000001</v>
      </c>
      <c r="Y1412" s="5">
        <v>-9.2852999999999994</v>
      </c>
      <c r="Z1412" s="6">
        <v>234</v>
      </c>
      <c r="AB1412" s="7" t="s">
        <v>4033</v>
      </c>
    </row>
    <row r="1413" spans="1:28" ht="21.75" customHeight="1" x14ac:dyDescent="0.2">
      <c r="A1413" s="7" t="s">
        <v>4020</v>
      </c>
      <c r="B1413" s="7" t="s">
        <v>4021</v>
      </c>
      <c r="C1413" s="7" t="s">
        <v>4047</v>
      </c>
      <c r="D1413" s="7" t="s">
        <v>4022</v>
      </c>
      <c r="E1413" s="7" t="s">
        <v>280</v>
      </c>
      <c r="F1413" s="7" t="s">
        <v>1302</v>
      </c>
      <c r="G1413" s="7" t="s">
        <v>4055</v>
      </c>
      <c r="H1413" s="1" t="s">
        <v>4034</v>
      </c>
      <c r="I1413" s="7">
        <v>0.73</v>
      </c>
      <c r="J1413" s="7" t="s">
        <v>4367</v>
      </c>
      <c r="K1413" s="7" t="s">
        <v>4480</v>
      </c>
      <c r="L1413" s="7">
        <v>798</v>
      </c>
      <c r="M1413" s="6" t="s">
        <v>4024</v>
      </c>
      <c r="R1413" s="7" t="s">
        <v>4023</v>
      </c>
      <c r="X1413" s="5">
        <v>38.953800000000001</v>
      </c>
      <c r="Y1413" s="5">
        <v>-9.2852999999999994</v>
      </c>
      <c r="Z1413" s="6">
        <v>234</v>
      </c>
      <c r="AB1413" s="7" t="s">
        <v>4033</v>
      </c>
    </row>
    <row r="1414" spans="1:28" ht="21.75" customHeight="1" x14ac:dyDescent="0.2">
      <c r="A1414" s="7" t="s">
        <v>4020</v>
      </c>
      <c r="B1414" s="7" t="s">
        <v>4021</v>
      </c>
      <c r="C1414" s="7" t="s">
        <v>4047</v>
      </c>
      <c r="D1414" s="7" t="s">
        <v>4022</v>
      </c>
      <c r="E1414" s="7" t="s">
        <v>263</v>
      </c>
      <c r="F1414" s="7" t="s">
        <v>214</v>
      </c>
      <c r="G1414" s="7" t="s">
        <v>4056</v>
      </c>
      <c r="H1414" s="1" t="s">
        <v>4037</v>
      </c>
      <c r="I1414" s="7">
        <v>1.52</v>
      </c>
      <c r="J1414" s="7" t="s">
        <v>4367</v>
      </c>
      <c r="K1414" s="7" t="s">
        <v>4480</v>
      </c>
      <c r="L1414" s="7">
        <v>798</v>
      </c>
      <c r="M1414" s="6" t="s">
        <v>4024</v>
      </c>
      <c r="R1414" s="7" t="s">
        <v>4023</v>
      </c>
      <c r="X1414" s="5">
        <v>38.953800000000001</v>
      </c>
      <c r="Y1414" s="5">
        <v>-9.2852999999999994</v>
      </c>
      <c r="Z1414" s="6">
        <v>234</v>
      </c>
      <c r="AB1414" s="7" t="s">
        <v>4033</v>
      </c>
    </row>
    <row r="1415" spans="1:28" ht="21.75" customHeight="1" x14ac:dyDescent="0.2">
      <c r="A1415" s="7" t="s">
        <v>4020</v>
      </c>
      <c r="B1415" s="7" t="s">
        <v>4021</v>
      </c>
      <c r="C1415" s="7" t="s">
        <v>4047</v>
      </c>
      <c r="D1415" s="7" t="s">
        <v>4022</v>
      </c>
      <c r="E1415" s="7" t="s">
        <v>263</v>
      </c>
      <c r="F1415" s="7" t="s">
        <v>214</v>
      </c>
      <c r="G1415" s="7" t="s">
        <v>4057</v>
      </c>
      <c r="H1415" s="1" t="s">
        <v>4039</v>
      </c>
      <c r="I1415" s="7">
        <v>1.5</v>
      </c>
      <c r="J1415" s="7" t="s">
        <v>4367</v>
      </c>
      <c r="K1415" s="7" t="s">
        <v>4480</v>
      </c>
      <c r="L1415" s="7">
        <v>798</v>
      </c>
      <c r="M1415" s="6" t="s">
        <v>4024</v>
      </c>
      <c r="R1415" s="7" t="s">
        <v>4023</v>
      </c>
      <c r="X1415" s="5">
        <v>38.953800000000001</v>
      </c>
      <c r="Y1415" s="5">
        <v>-9.2852999999999994</v>
      </c>
      <c r="Z1415" s="6">
        <v>234</v>
      </c>
    </row>
    <row r="1416" spans="1:28" ht="21.75" customHeight="1" x14ac:dyDescent="0.2">
      <c r="A1416" s="7" t="s">
        <v>4020</v>
      </c>
      <c r="B1416" s="7" t="s">
        <v>4021</v>
      </c>
      <c r="C1416" s="7" t="s">
        <v>4047</v>
      </c>
      <c r="D1416" s="7" t="s">
        <v>4022</v>
      </c>
      <c r="E1416" s="7" t="s">
        <v>263</v>
      </c>
      <c r="F1416" s="7" t="s">
        <v>214</v>
      </c>
      <c r="H1416" s="1" t="s">
        <v>4040</v>
      </c>
      <c r="I1416" s="7">
        <v>0.9</v>
      </c>
      <c r="J1416" s="7" t="s">
        <v>4367</v>
      </c>
      <c r="K1416" s="7" t="s">
        <v>4480</v>
      </c>
      <c r="L1416" s="7">
        <v>798</v>
      </c>
      <c r="M1416" s="6" t="s">
        <v>4024</v>
      </c>
      <c r="R1416" s="7" t="s">
        <v>4023</v>
      </c>
      <c r="X1416" s="5">
        <v>38.953800000000001</v>
      </c>
      <c r="Y1416" s="5">
        <v>-9.2852999999999994</v>
      </c>
      <c r="Z1416" s="6">
        <v>234</v>
      </c>
      <c r="AB1416" s="7" t="s">
        <v>4028</v>
      </c>
    </row>
    <row r="1417" spans="1:28" ht="21.75" customHeight="1" x14ac:dyDescent="0.2">
      <c r="A1417" s="7" t="s">
        <v>4020</v>
      </c>
      <c r="B1417" s="7" t="s">
        <v>4021</v>
      </c>
      <c r="C1417" s="7" t="s">
        <v>4047</v>
      </c>
      <c r="D1417" s="7" t="s">
        <v>4022</v>
      </c>
      <c r="E1417" s="7" t="s">
        <v>263</v>
      </c>
      <c r="F1417" s="7" t="s">
        <v>214</v>
      </c>
      <c r="G1417" s="7" t="s">
        <v>4058</v>
      </c>
      <c r="H1417" s="1" t="s">
        <v>4042</v>
      </c>
      <c r="I1417" s="7">
        <v>0.31</v>
      </c>
      <c r="J1417" s="7" t="s">
        <v>4367</v>
      </c>
      <c r="K1417" s="7" t="s">
        <v>4480</v>
      </c>
      <c r="L1417" s="7">
        <v>798</v>
      </c>
      <c r="M1417" s="6" t="s">
        <v>4024</v>
      </c>
      <c r="R1417" s="7" t="s">
        <v>4023</v>
      </c>
      <c r="X1417" s="5">
        <v>38.953800000000001</v>
      </c>
      <c r="Y1417" s="5">
        <v>-9.2852999999999994</v>
      </c>
      <c r="Z1417" s="6">
        <v>234</v>
      </c>
      <c r="AB1417" s="7" t="s">
        <v>4043</v>
      </c>
    </row>
    <row r="1418" spans="1:28" ht="21.75" customHeight="1" x14ac:dyDescent="0.2">
      <c r="A1418" s="7" t="s">
        <v>4020</v>
      </c>
      <c r="B1418" s="7" t="s">
        <v>4021</v>
      </c>
      <c r="C1418" s="7" t="s">
        <v>4047</v>
      </c>
      <c r="D1418" s="7" t="s">
        <v>4022</v>
      </c>
      <c r="E1418" s="7" t="s">
        <v>263</v>
      </c>
      <c r="F1418" s="7" t="s">
        <v>214</v>
      </c>
      <c r="G1418" s="7" t="s">
        <v>4059</v>
      </c>
      <c r="H1418" s="1" t="s">
        <v>4044</v>
      </c>
      <c r="I1418" s="7">
        <v>1.1000000000000001</v>
      </c>
      <c r="J1418" s="7" t="s">
        <v>4367</v>
      </c>
      <c r="K1418" s="7" t="s">
        <v>4480</v>
      </c>
      <c r="L1418" s="7">
        <v>798</v>
      </c>
      <c r="M1418" s="6" t="s">
        <v>4024</v>
      </c>
      <c r="R1418" s="7" t="s">
        <v>4023</v>
      </c>
      <c r="X1418" s="5">
        <v>38.953800000000001</v>
      </c>
      <c r="Y1418" s="5">
        <v>-9.2852999999999994</v>
      </c>
      <c r="Z1418" s="6">
        <v>234</v>
      </c>
    </row>
    <row r="1419" spans="1:28" ht="21.75" customHeight="1" x14ac:dyDescent="0.2">
      <c r="A1419" s="7" t="s">
        <v>4020</v>
      </c>
      <c r="B1419" s="7" t="s">
        <v>4021</v>
      </c>
      <c r="C1419" s="7" t="s">
        <v>4047</v>
      </c>
      <c r="D1419" s="7" t="s">
        <v>4022</v>
      </c>
      <c r="E1419" s="7" t="s">
        <v>263</v>
      </c>
      <c r="F1419" s="7" t="s">
        <v>213</v>
      </c>
      <c r="G1419" s="7" t="s">
        <v>2609</v>
      </c>
      <c r="H1419" s="1" t="s">
        <v>2608</v>
      </c>
      <c r="I1419" s="7">
        <v>0.5</v>
      </c>
      <c r="J1419" s="7" t="s">
        <v>4367</v>
      </c>
      <c r="K1419" s="7" t="s">
        <v>4480</v>
      </c>
      <c r="L1419" s="7">
        <v>798</v>
      </c>
      <c r="M1419" s="6" t="s">
        <v>4024</v>
      </c>
      <c r="R1419" s="7" t="s">
        <v>4023</v>
      </c>
      <c r="X1419" s="5">
        <v>38.953800000000001</v>
      </c>
      <c r="Y1419" s="5">
        <v>-9.2852999999999994</v>
      </c>
      <c r="Z1419" s="6">
        <v>234</v>
      </c>
    </row>
    <row r="1420" spans="1:28" ht="21.75" customHeight="1" x14ac:dyDescent="0.2">
      <c r="A1420" s="7" t="s">
        <v>4020</v>
      </c>
      <c r="B1420" s="7" t="s">
        <v>4021</v>
      </c>
      <c r="C1420" s="7" t="s">
        <v>4047</v>
      </c>
      <c r="D1420" s="7" t="s">
        <v>4022</v>
      </c>
      <c r="E1420" s="7" t="s">
        <v>398</v>
      </c>
      <c r="F1420" s="7" t="s">
        <v>4060</v>
      </c>
      <c r="H1420" s="1" t="s">
        <v>4046</v>
      </c>
      <c r="I1420" s="7">
        <v>1.5</v>
      </c>
      <c r="J1420" s="7" t="s">
        <v>4367</v>
      </c>
      <c r="K1420" s="7" t="s">
        <v>4480</v>
      </c>
      <c r="L1420" s="7">
        <v>798</v>
      </c>
      <c r="M1420" s="6" t="s">
        <v>4024</v>
      </c>
      <c r="R1420" s="7" t="s">
        <v>4023</v>
      </c>
      <c r="X1420" s="5">
        <v>38.953800000000001</v>
      </c>
      <c r="Y1420" s="5">
        <v>-9.2852999999999994</v>
      </c>
      <c r="Z1420" s="6">
        <v>234</v>
      </c>
      <c r="AB1420" s="7" t="s">
        <v>4165</v>
      </c>
    </row>
    <row r="1421" spans="1:28" ht="21.75" customHeight="1" x14ac:dyDescent="0.2">
      <c r="A1421" s="7" t="s">
        <v>4020</v>
      </c>
      <c r="B1421" s="7" t="s">
        <v>4021</v>
      </c>
      <c r="C1421" s="7" t="s">
        <v>4047</v>
      </c>
      <c r="D1421" s="7" t="s">
        <v>4025</v>
      </c>
      <c r="E1421" s="7" t="s">
        <v>263</v>
      </c>
      <c r="F1421" s="7" t="s">
        <v>213</v>
      </c>
      <c r="G1421" s="7" t="s">
        <v>4061</v>
      </c>
      <c r="H1421" s="1" t="s">
        <v>4027</v>
      </c>
      <c r="I1421" s="7">
        <v>0.3</v>
      </c>
      <c r="J1421" s="7" t="s">
        <v>4367</v>
      </c>
      <c r="K1421" s="7" t="s">
        <v>4480</v>
      </c>
      <c r="L1421" s="7">
        <v>812</v>
      </c>
      <c r="M1421" s="6" t="s">
        <v>4024</v>
      </c>
      <c r="R1421" s="7" t="s">
        <v>4026</v>
      </c>
      <c r="X1421" s="5">
        <v>40.278100000000002</v>
      </c>
      <c r="Y1421" s="5">
        <v>-7.0282999999999998</v>
      </c>
      <c r="Z1421" s="6">
        <v>1005</v>
      </c>
      <c r="AB1421" s="7" t="s">
        <v>4028</v>
      </c>
    </row>
    <row r="1422" spans="1:28" ht="21.75" customHeight="1" x14ac:dyDescent="0.2">
      <c r="A1422" s="7" t="s">
        <v>4020</v>
      </c>
      <c r="B1422" s="7" t="s">
        <v>4021</v>
      </c>
      <c r="C1422" s="7" t="s">
        <v>4047</v>
      </c>
      <c r="D1422" s="7" t="s">
        <v>4025</v>
      </c>
      <c r="E1422" s="7" t="s">
        <v>398</v>
      </c>
      <c r="F1422" s="7" t="s">
        <v>4062</v>
      </c>
      <c r="H1422" s="1" t="s">
        <v>4029</v>
      </c>
      <c r="I1422" s="7">
        <v>0.4</v>
      </c>
      <c r="J1422" s="7" t="s">
        <v>4367</v>
      </c>
      <c r="K1422" s="7" t="s">
        <v>4480</v>
      </c>
      <c r="L1422" s="7">
        <v>812</v>
      </c>
      <c r="M1422" s="6" t="s">
        <v>4024</v>
      </c>
      <c r="R1422" s="7" t="s">
        <v>4026</v>
      </c>
      <c r="X1422" s="5">
        <v>40.278100000000002</v>
      </c>
      <c r="Y1422" s="5">
        <v>-7.0282999999999998</v>
      </c>
      <c r="Z1422" s="6">
        <v>1005</v>
      </c>
    </row>
    <row r="1423" spans="1:28" ht="21.75" customHeight="1" x14ac:dyDescent="0.2">
      <c r="A1423" s="7" t="s">
        <v>4020</v>
      </c>
      <c r="B1423" s="7" t="s">
        <v>4021</v>
      </c>
      <c r="C1423" s="7" t="s">
        <v>4047</v>
      </c>
      <c r="D1423" s="7" t="s">
        <v>4025</v>
      </c>
      <c r="E1423" s="7" t="s">
        <v>263</v>
      </c>
      <c r="F1423" s="7" t="s">
        <v>214</v>
      </c>
      <c r="G1423" s="7" t="s">
        <v>4063</v>
      </c>
      <c r="H1423" s="1" t="s">
        <v>4031</v>
      </c>
      <c r="I1423" s="7">
        <v>0.1</v>
      </c>
      <c r="J1423" s="7" t="s">
        <v>4367</v>
      </c>
      <c r="K1423" s="7" t="s">
        <v>4480</v>
      </c>
      <c r="L1423" s="7">
        <v>812</v>
      </c>
      <c r="M1423" s="6" t="s">
        <v>4024</v>
      </c>
      <c r="R1423" s="7" t="s">
        <v>4026</v>
      </c>
      <c r="X1423" s="5">
        <v>40.278100000000002</v>
      </c>
      <c r="Y1423" s="5">
        <v>-7.0282999999999998</v>
      </c>
      <c r="Z1423" s="6">
        <v>1005</v>
      </c>
    </row>
    <row r="1424" spans="1:28" ht="21.75" customHeight="1" x14ac:dyDescent="0.2">
      <c r="A1424" s="7" t="s">
        <v>4020</v>
      </c>
      <c r="B1424" s="7" t="s">
        <v>4021</v>
      </c>
      <c r="C1424" s="7" t="s">
        <v>4047</v>
      </c>
      <c r="D1424" s="7" t="s">
        <v>4025</v>
      </c>
      <c r="E1424" s="7" t="s">
        <v>398</v>
      </c>
      <c r="F1424" s="7" t="s">
        <v>214</v>
      </c>
      <c r="G1424" s="7" t="s">
        <v>4064</v>
      </c>
      <c r="H1424" s="1" t="s">
        <v>4035</v>
      </c>
      <c r="I1424" s="7">
        <v>0.6</v>
      </c>
      <c r="J1424" s="7" t="s">
        <v>4367</v>
      </c>
      <c r="K1424" s="7" t="s">
        <v>4480</v>
      </c>
      <c r="L1424" s="7">
        <v>812</v>
      </c>
      <c r="M1424" s="6" t="s">
        <v>4024</v>
      </c>
      <c r="R1424" s="7" t="s">
        <v>4026</v>
      </c>
      <c r="X1424" s="5">
        <v>40.278100000000002</v>
      </c>
      <c r="Y1424" s="5">
        <v>-7.0282999999999998</v>
      </c>
      <c r="Z1424" s="6">
        <v>1005</v>
      </c>
      <c r="AB1424" s="7" t="s">
        <v>4065</v>
      </c>
    </row>
    <row r="1425" spans="1:29" ht="21.75" customHeight="1" x14ac:dyDescent="0.2">
      <c r="A1425" s="7" t="s">
        <v>4020</v>
      </c>
      <c r="B1425" s="7" t="s">
        <v>4021</v>
      </c>
      <c r="C1425" s="7" t="s">
        <v>4047</v>
      </c>
      <c r="D1425" s="7" t="s">
        <v>4025</v>
      </c>
      <c r="E1425" s="7" t="s">
        <v>398</v>
      </c>
      <c r="F1425" s="7" t="s">
        <v>214</v>
      </c>
      <c r="G1425" s="7" t="s">
        <v>4066</v>
      </c>
      <c r="H1425" s="1" t="s">
        <v>4036</v>
      </c>
      <c r="I1425" s="7">
        <v>0.35</v>
      </c>
      <c r="J1425" s="7" t="s">
        <v>4367</v>
      </c>
      <c r="K1425" s="7" t="s">
        <v>4480</v>
      </c>
      <c r="L1425" s="7">
        <v>812</v>
      </c>
      <c r="M1425" s="6" t="s">
        <v>4024</v>
      </c>
      <c r="R1425" s="7" t="s">
        <v>4026</v>
      </c>
      <c r="X1425" s="5">
        <v>40.278100000000002</v>
      </c>
      <c r="Y1425" s="5">
        <v>-7.0282999999999998</v>
      </c>
      <c r="Z1425" s="6">
        <v>1005</v>
      </c>
      <c r="AB1425" s="7" t="s">
        <v>4065</v>
      </c>
    </row>
    <row r="1426" spans="1:29" ht="21.75" customHeight="1" x14ac:dyDescent="0.2">
      <c r="A1426" s="7" t="s">
        <v>4020</v>
      </c>
      <c r="B1426" s="7" t="s">
        <v>4021</v>
      </c>
      <c r="C1426" s="7" t="s">
        <v>4047</v>
      </c>
      <c r="D1426" s="7" t="s">
        <v>4025</v>
      </c>
      <c r="E1426" s="7" t="s">
        <v>263</v>
      </c>
      <c r="F1426" s="7" t="s">
        <v>214</v>
      </c>
      <c r="H1426" s="1" t="s">
        <v>4038</v>
      </c>
      <c r="I1426" s="7">
        <v>0.35</v>
      </c>
      <c r="J1426" s="7" t="s">
        <v>4367</v>
      </c>
      <c r="K1426" s="7" t="s">
        <v>4480</v>
      </c>
      <c r="L1426" s="7">
        <v>812</v>
      </c>
      <c r="M1426" s="6" t="s">
        <v>4024</v>
      </c>
      <c r="R1426" s="7" t="s">
        <v>4026</v>
      </c>
      <c r="X1426" s="5">
        <v>40.278100000000002</v>
      </c>
      <c r="Y1426" s="5">
        <v>-7.0282999999999998</v>
      </c>
      <c r="Z1426" s="6">
        <v>1005</v>
      </c>
    </row>
    <row r="1427" spans="1:29" ht="21.75" customHeight="1" x14ac:dyDescent="0.2">
      <c r="A1427" s="7" t="s">
        <v>4020</v>
      </c>
      <c r="B1427" s="7" t="s">
        <v>4021</v>
      </c>
      <c r="C1427" s="7" t="s">
        <v>4047</v>
      </c>
      <c r="D1427" s="7" t="s">
        <v>4025</v>
      </c>
      <c r="E1427" s="7" t="s">
        <v>263</v>
      </c>
      <c r="F1427" s="7" t="s">
        <v>214</v>
      </c>
      <c r="H1427" s="1" t="s">
        <v>4041</v>
      </c>
      <c r="I1427" s="7">
        <v>0.2</v>
      </c>
      <c r="J1427" s="7" t="s">
        <v>4367</v>
      </c>
      <c r="K1427" s="7" t="s">
        <v>4480</v>
      </c>
      <c r="L1427" s="7">
        <v>812</v>
      </c>
      <c r="M1427" s="6" t="s">
        <v>4024</v>
      </c>
      <c r="R1427" s="7" t="s">
        <v>4026</v>
      </c>
      <c r="X1427" s="5">
        <v>40.278100000000002</v>
      </c>
      <c r="Y1427" s="5">
        <v>-7.0282999999999998</v>
      </c>
      <c r="Z1427" s="6">
        <v>1005</v>
      </c>
    </row>
    <row r="1428" spans="1:29" ht="21.75" customHeight="1" x14ac:dyDescent="0.2">
      <c r="A1428" s="7" t="s">
        <v>4020</v>
      </c>
      <c r="B1428" s="7" t="s">
        <v>4021</v>
      </c>
      <c r="C1428" s="7" t="s">
        <v>4047</v>
      </c>
      <c r="D1428" s="7" t="s">
        <v>4025</v>
      </c>
      <c r="E1428" s="7" t="s">
        <v>280</v>
      </c>
      <c r="F1428" s="7" t="s">
        <v>212</v>
      </c>
      <c r="G1428" s="7" t="s">
        <v>4067</v>
      </c>
      <c r="H1428" s="1" t="s">
        <v>4045</v>
      </c>
      <c r="I1428" s="7">
        <v>0.6</v>
      </c>
      <c r="J1428" s="7" t="s">
        <v>4367</v>
      </c>
      <c r="K1428" s="7" t="s">
        <v>4480</v>
      </c>
      <c r="L1428" s="7">
        <v>812</v>
      </c>
      <c r="M1428" s="6" t="s">
        <v>4024</v>
      </c>
      <c r="R1428" s="7" t="s">
        <v>4026</v>
      </c>
      <c r="X1428" s="5">
        <v>40.278100000000002</v>
      </c>
      <c r="Y1428" s="5">
        <v>-7.0282999999999998</v>
      </c>
      <c r="Z1428" s="6">
        <v>1005</v>
      </c>
    </row>
    <row r="1429" spans="1:29" s="8" customFormat="1" ht="21.75" customHeight="1" x14ac:dyDescent="0.2">
      <c r="A1429" s="8" t="s">
        <v>6719</v>
      </c>
      <c r="B1429" s="8" t="s">
        <v>6720</v>
      </c>
      <c r="C1429" s="8" t="s">
        <v>4451</v>
      </c>
      <c r="E1429" s="8" t="s">
        <v>280</v>
      </c>
      <c r="F1429" s="8" t="s">
        <v>212</v>
      </c>
      <c r="G1429" s="8" t="s">
        <v>6727</v>
      </c>
      <c r="H1429" s="3" t="s">
        <v>6725</v>
      </c>
      <c r="I1429" s="8" t="s">
        <v>6726</v>
      </c>
      <c r="J1429" s="8" t="s">
        <v>6545</v>
      </c>
      <c r="K1429" s="8" t="s">
        <v>4480</v>
      </c>
      <c r="L1429" s="8" t="s">
        <v>6722</v>
      </c>
      <c r="M1429" s="14"/>
      <c r="N1429" s="14"/>
      <c r="O1429" s="110" t="s">
        <v>6721</v>
      </c>
      <c r="P1429" s="4"/>
      <c r="R1429" s="8" t="s">
        <v>6723</v>
      </c>
      <c r="X1429" s="13">
        <v>48.303199999999997</v>
      </c>
      <c r="Y1429" s="13">
        <v>17.894300000000001</v>
      </c>
      <c r="Z1429" s="14">
        <v>195</v>
      </c>
      <c r="AA1429" s="8" t="s">
        <v>6728</v>
      </c>
      <c r="AB1429" s="22" t="s">
        <v>6724</v>
      </c>
    </row>
    <row r="1430" spans="1:29" ht="21.75" customHeight="1" x14ac:dyDescent="0.2">
      <c r="A1430" s="7" t="s">
        <v>5200</v>
      </c>
      <c r="B1430" s="7" t="s">
        <v>5221</v>
      </c>
      <c r="C1430" s="7" t="s">
        <v>253</v>
      </c>
      <c r="D1430" s="7" t="s">
        <v>5204</v>
      </c>
      <c r="E1430" s="7" t="s">
        <v>263</v>
      </c>
      <c r="F1430" s="7" t="s">
        <v>214</v>
      </c>
      <c r="G1430" s="7" t="s">
        <v>5202</v>
      </c>
      <c r="H1430" s="1" t="s">
        <v>5201</v>
      </c>
      <c r="I1430" s="7" t="s">
        <v>5193</v>
      </c>
      <c r="J1430" s="7" t="s">
        <v>5219</v>
      </c>
      <c r="K1430" s="7" t="s">
        <v>4480</v>
      </c>
      <c r="L1430" s="7"/>
      <c r="O1430" s="45" t="s">
        <v>5205</v>
      </c>
      <c r="P1430" s="2" t="s">
        <v>5207</v>
      </c>
      <c r="Q1430" s="7">
        <v>1.9</v>
      </c>
      <c r="R1430" s="7" t="s">
        <v>5206</v>
      </c>
      <c r="W1430" s="7" t="s">
        <v>5224</v>
      </c>
      <c r="X1430" s="5">
        <v>-35.465400000000002</v>
      </c>
      <c r="Y1430" s="5">
        <v>144.4247</v>
      </c>
      <c r="Z1430" s="6">
        <v>88</v>
      </c>
      <c r="AA1430" s="7" t="s">
        <v>5220</v>
      </c>
      <c r="AB1430" s="134" t="s">
        <v>5225</v>
      </c>
      <c r="AC1430" s="7" t="s">
        <v>5203</v>
      </c>
    </row>
    <row r="1431" spans="1:29" ht="21.75" customHeight="1" x14ac:dyDescent="0.2">
      <c r="A1431" s="7" t="s">
        <v>5200</v>
      </c>
      <c r="B1431" s="7" t="s">
        <v>5221</v>
      </c>
      <c r="C1431" s="7" t="s">
        <v>253</v>
      </c>
      <c r="D1431" s="7" t="s">
        <v>5214</v>
      </c>
      <c r="E1431" s="7" t="s">
        <v>263</v>
      </c>
      <c r="F1431" s="7" t="s">
        <v>214</v>
      </c>
      <c r="G1431" s="7" t="s">
        <v>5202</v>
      </c>
      <c r="H1431" s="1" t="s">
        <v>5201</v>
      </c>
      <c r="I1431" s="7">
        <v>0.5</v>
      </c>
      <c r="J1431" s="7" t="s">
        <v>5219</v>
      </c>
      <c r="K1431" s="7" t="s">
        <v>4480</v>
      </c>
      <c r="L1431" s="7"/>
      <c r="O1431" s="45" t="s">
        <v>5217</v>
      </c>
      <c r="P1431" s="2" t="s">
        <v>49</v>
      </c>
      <c r="R1431" s="7" t="s">
        <v>5210</v>
      </c>
      <c r="W1431" s="7" t="s">
        <v>5224</v>
      </c>
      <c r="X1431" s="5">
        <v>-35.435000000000002</v>
      </c>
      <c r="Y1431" s="5">
        <v>144.4359</v>
      </c>
      <c r="Z1431" s="6">
        <v>84</v>
      </c>
      <c r="AA1431" s="7" t="s">
        <v>5222</v>
      </c>
      <c r="AB1431" s="136"/>
      <c r="AC1431" s="7" t="s">
        <v>5203</v>
      </c>
    </row>
    <row r="1432" spans="1:29" ht="21.75" customHeight="1" x14ac:dyDescent="0.2">
      <c r="A1432" s="7" t="s">
        <v>5200</v>
      </c>
      <c r="B1432" s="7" t="s">
        <v>5221</v>
      </c>
      <c r="C1432" s="7" t="s">
        <v>253</v>
      </c>
      <c r="D1432" s="7" t="s">
        <v>5215</v>
      </c>
      <c r="E1432" s="7" t="s">
        <v>263</v>
      </c>
      <c r="F1432" s="7" t="s">
        <v>214</v>
      </c>
      <c r="G1432" s="7" t="s">
        <v>5202</v>
      </c>
      <c r="H1432" s="1" t="s">
        <v>5201</v>
      </c>
      <c r="I1432" s="7">
        <v>0.5</v>
      </c>
      <c r="J1432" s="7" t="s">
        <v>5219</v>
      </c>
      <c r="K1432" s="7" t="s">
        <v>4480</v>
      </c>
      <c r="L1432" s="7"/>
      <c r="O1432" s="45" t="s">
        <v>5218</v>
      </c>
      <c r="P1432" s="2" t="s">
        <v>5209</v>
      </c>
      <c r="R1432" s="7" t="s">
        <v>5211</v>
      </c>
      <c r="W1432" s="7" t="s">
        <v>5224</v>
      </c>
      <c r="X1432" s="5">
        <v>-35.435000000000002</v>
      </c>
      <c r="Y1432" s="5">
        <v>144.43389999999999</v>
      </c>
      <c r="Z1432" s="6">
        <v>83</v>
      </c>
      <c r="AA1432" s="134" t="s">
        <v>5223</v>
      </c>
      <c r="AB1432" s="136"/>
      <c r="AC1432" s="7" t="s">
        <v>5203</v>
      </c>
    </row>
    <row r="1433" spans="1:29" ht="21.75" customHeight="1" x14ac:dyDescent="0.2">
      <c r="A1433" s="7" t="s">
        <v>5200</v>
      </c>
      <c r="B1433" s="7" t="s">
        <v>5221</v>
      </c>
      <c r="C1433" s="7" t="s">
        <v>253</v>
      </c>
      <c r="D1433" s="7" t="s">
        <v>5216</v>
      </c>
      <c r="E1433" s="7" t="s">
        <v>263</v>
      </c>
      <c r="F1433" s="7" t="s">
        <v>214</v>
      </c>
      <c r="G1433" s="7" t="s">
        <v>5202</v>
      </c>
      <c r="H1433" s="1" t="s">
        <v>5201</v>
      </c>
      <c r="I1433" s="7">
        <v>0.5</v>
      </c>
      <c r="J1433" s="7" t="s">
        <v>5219</v>
      </c>
      <c r="K1433" s="7" t="s">
        <v>4480</v>
      </c>
      <c r="L1433" s="7"/>
      <c r="O1433" s="45" t="s">
        <v>5213</v>
      </c>
      <c r="P1433" s="2" t="s">
        <v>5208</v>
      </c>
      <c r="R1433" s="7" t="s">
        <v>5212</v>
      </c>
      <c r="W1433" s="7" t="s">
        <v>5224</v>
      </c>
      <c r="X1433" s="5">
        <v>-35.435499999999998</v>
      </c>
      <c r="Y1433" s="5">
        <v>144.43180000000001</v>
      </c>
      <c r="Z1433" s="6">
        <v>80</v>
      </c>
      <c r="AA1433" s="135"/>
      <c r="AB1433" s="135"/>
      <c r="AC1433" s="7" t="s">
        <v>5203</v>
      </c>
    </row>
    <row r="1434" spans="1:29" s="8" customFormat="1" ht="21.75" customHeight="1" x14ac:dyDescent="0.2">
      <c r="A1434" s="8" t="s">
        <v>6478</v>
      </c>
      <c r="B1434" s="8" t="s">
        <v>6483</v>
      </c>
      <c r="C1434" s="8" t="s">
        <v>861</v>
      </c>
      <c r="E1434" s="8" t="s">
        <v>398</v>
      </c>
      <c r="F1434" s="8" t="s">
        <v>806</v>
      </c>
      <c r="G1434" s="8" t="s">
        <v>6482</v>
      </c>
      <c r="H1434" s="3" t="s">
        <v>6481</v>
      </c>
      <c r="I1434" s="8">
        <v>6.36</v>
      </c>
      <c r="J1434" s="8" t="s">
        <v>4367</v>
      </c>
      <c r="K1434" s="8" t="s">
        <v>5713</v>
      </c>
      <c r="L1434" s="8" t="s">
        <v>6480</v>
      </c>
      <c r="M1434" s="14"/>
      <c r="N1434" s="14"/>
      <c r="O1434" s="110" t="s">
        <v>6487</v>
      </c>
      <c r="P1434" s="4"/>
      <c r="R1434" s="8" t="s">
        <v>6486</v>
      </c>
      <c r="W1434" s="8" t="s">
        <v>6490</v>
      </c>
      <c r="X1434" s="13">
        <v>48.230800000000002</v>
      </c>
      <c r="Y1434" s="13">
        <v>16.300999999999998</v>
      </c>
      <c r="Z1434" s="14">
        <v>250</v>
      </c>
      <c r="AA1434" s="19" t="s">
        <v>6484</v>
      </c>
      <c r="AB1434" s="19" t="s">
        <v>6491</v>
      </c>
    </row>
    <row r="1435" spans="1:29" s="8" customFormat="1" ht="21.75" customHeight="1" x14ac:dyDescent="0.2">
      <c r="A1435" s="8" t="s">
        <v>6478</v>
      </c>
      <c r="B1435" s="8" t="s">
        <v>6479</v>
      </c>
      <c r="C1435" s="8" t="s">
        <v>861</v>
      </c>
      <c r="E1435" s="8" t="s">
        <v>398</v>
      </c>
      <c r="F1435" s="8" t="s">
        <v>806</v>
      </c>
      <c r="G1435" s="8" t="s">
        <v>6482</v>
      </c>
      <c r="H1435" s="3" t="s">
        <v>6481</v>
      </c>
      <c r="I1435" s="8">
        <v>4.0999999999999996</v>
      </c>
      <c r="J1435" s="8" t="s">
        <v>4367</v>
      </c>
      <c r="K1435" s="8" t="s">
        <v>5713</v>
      </c>
      <c r="L1435" s="8" t="s">
        <v>6480</v>
      </c>
      <c r="M1435" s="14"/>
      <c r="N1435" s="14"/>
      <c r="O1435" s="110" t="s">
        <v>6488</v>
      </c>
      <c r="P1435" s="4"/>
      <c r="R1435" s="8" t="s">
        <v>6489</v>
      </c>
      <c r="X1435" s="13">
        <v>45.706299999999999</v>
      </c>
      <c r="Y1435" s="13">
        <v>7.2065000000000001</v>
      </c>
      <c r="Z1435" s="14">
        <v>780</v>
      </c>
      <c r="AA1435" s="19" t="s">
        <v>6485</v>
      </c>
      <c r="AB1435" s="19" t="s">
        <v>6491</v>
      </c>
    </row>
    <row r="1436" spans="1:29" ht="21.75" customHeight="1" x14ac:dyDescent="0.2">
      <c r="A1436" s="7" t="s">
        <v>5176</v>
      </c>
      <c r="B1436" s="7" t="s">
        <v>5179</v>
      </c>
      <c r="C1436" s="7" t="s">
        <v>5178</v>
      </c>
      <c r="D1436" s="7" t="s">
        <v>5180</v>
      </c>
      <c r="E1436" s="7" t="s">
        <v>263</v>
      </c>
      <c r="F1436" s="7" t="s">
        <v>1302</v>
      </c>
      <c r="H1436" s="1" t="s">
        <v>5183</v>
      </c>
      <c r="I1436" s="7">
        <v>0.45</v>
      </c>
      <c r="J1436" s="7" t="s">
        <v>4367</v>
      </c>
      <c r="K1436" s="7" t="s">
        <v>4410</v>
      </c>
      <c r="L1436" s="7"/>
      <c r="O1436" s="45" t="s">
        <v>5195</v>
      </c>
      <c r="Q1436" s="7">
        <v>0.6</v>
      </c>
      <c r="R1436" s="7" t="s">
        <v>5196</v>
      </c>
      <c r="V1436" s="7">
        <v>0.7</v>
      </c>
      <c r="X1436" s="5">
        <v>-4.1017000000000001</v>
      </c>
      <c r="Y1436" s="5">
        <v>-79.165800000000004</v>
      </c>
      <c r="Z1436" s="6">
        <v>3000</v>
      </c>
      <c r="AA1436" s="7" t="s">
        <v>5189</v>
      </c>
      <c r="AB1436" s="7" t="s">
        <v>5182</v>
      </c>
    </row>
    <row r="1437" spans="1:29" ht="21.75" customHeight="1" x14ac:dyDescent="0.2">
      <c r="A1437" s="7" t="s">
        <v>5176</v>
      </c>
      <c r="B1437" s="7" t="s">
        <v>5179</v>
      </c>
      <c r="C1437" s="7" t="s">
        <v>5178</v>
      </c>
      <c r="D1437" s="7" t="s">
        <v>5180</v>
      </c>
      <c r="E1437" s="7" t="s">
        <v>263</v>
      </c>
      <c r="F1437" s="7" t="s">
        <v>1302</v>
      </c>
      <c r="H1437" s="1" t="s">
        <v>5184</v>
      </c>
      <c r="I1437" s="7">
        <v>0.65</v>
      </c>
      <c r="J1437" s="7" t="s">
        <v>4367</v>
      </c>
      <c r="K1437" s="7" t="s">
        <v>4410</v>
      </c>
      <c r="L1437" s="7"/>
      <c r="O1437" s="45" t="s">
        <v>5195</v>
      </c>
      <c r="Q1437" s="7">
        <v>0.6</v>
      </c>
      <c r="R1437" s="7" t="s">
        <v>5196</v>
      </c>
      <c r="V1437" s="7">
        <v>0.7</v>
      </c>
      <c r="X1437" s="5">
        <v>-4.1017000000000001</v>
      </c>
      <c r="Y1437" s="5">
        <v>-79.165800000000004</v>
      </c>
      <c r="Z1437" s="6">
        <v>3000</v>
      </c>
      <c r="AA1437" s="44" t="s">
        <v>5190</v>
      </c>
      <c r="AB1437" s="7" t="s">
        <v>5199</v>
      </c>
    </row>
    <row r="1438" spans="1:29" ht="21.75" customHeight="1" x14ac:dyDescent="0.2">
      <c r="A1438" s="7" t="s">
        <v>5176</v>
      </c>
      <c r="B1438" s="7" t="s">
        <v>5179</v>
      </c>
      <c r="C1438" s="7" t="s">
        <v>5178</v>
      </c>
      <c r="D1438" s="7" t="s">
        <v>5180</v>
      </c>
      <c r="E1438" s="7" t="s">
        <v>263</v>
      </c>
      <c r="F1438" s="7" t="s">
        <v>1302</v>
      </c>
      <c r="H1438" s="1" t="s">
        <v>5185</v>
      </c>
      <c r="I1438" s="7">
        <v>0.55000000000000004</v>
      </c>
      <c r="J1438" s="7" t="s">
        <v>4367</v>
      </c>
      <c r="K1438" s="7" t="s">
        <v>4410</v>
      </c>
      <c r="L1438" s="7"/>
      <c r="O1438" s="45" t="s">
        <v>5195</v>
      </c>
      <c r="Q1438" s="7">
        <v>0.6</v>
      </c>
      <c r="R1438" s="7" t="s">
        <v>5196</v>
      </c>
      <c r="V1438" s="7">
        <v>0.7</v>
      </c>
      <c r="X1438" s="5">
        <v>-4.1017000000000001</v>
      </c>
      <c r="Y1438" s="5">
        <v>-79.165800000000004</v>
      </c>
      <c r="Z1438" s="6">
        <v>3000</v>
      </c>
      <c r="AA1438" s="44"/>
      <c r="AB1438" s="44"/>
    </row>
    <row r="1439" spans="1:29" ht="21.75" customHeight="1" x14ac:dyDescent="0.2">
      <c r="A1439" s="7" t="s">
        <v>5176</v>
      </c>
      <c r="B1439" s="7" t="s">
        <v>5179</v>
      </c>
      <c r="C1439" s="7" t="s">
        <v>5177</v>
      </c>
      <c r="D1439" s="7" t="s">
        <v>5181</v>
      </c>
      <c r="E1439" s="7" t="s">
        <v>263</v>
      </c>
      <c r="F1439" s="7" t="s">
        <v>1302</v>
      </c>
      <c r="H1439" s="1" t="s">
        <v>5186</v>
      </c>
      <c r="I1439" s="7">
        <v>0.9</v>
      </c>
      <c r="J1439" s="7" t="s">
        <v>4367</v>
      </c>
      <c r="K1439" s="7" t="s">
        <v>4410</v>
      </c>
      <c r="L1439" s="7"/>
      <c r="O1439" s="45" t="s">
        <v>5194</v>
      </c>
      <c r="R1439" s="7" t="s">
        <v>5197</v>
      </c>
      <c r="V1439" s="7">
        <v>1.05</v>
      </c>
      <c r="X1439" s="5">
        <v>-3.9712999999999998</v>
      </c>
      <c r="Y1439" s="5">
        <v>-79.059700000000007</v>
      </c>
      <c r="Z1439" s="6">
        <v>1900</v>
      </c>
      <c r="AA1439" s="44" t="s">
        <v>5191</v>
      </c>
      <c r="AB1439" s="44" t="s">
        <v>5198</v>
      </c>
    </row>
    <row r="1440" spans="1:29" ht="21.75" customHeight="1" x14ac:dyDescent="0.2">
      <c r="A1440" s="7" t="s">
        <v>5176</v>
      </c>
      <c r="B1440" s="7" t="s">
        <v>5179</v>
      </c>
      <c r="C1440" s="7" t="s">
        <v>5177</v>
      </c>
      <c r="D1440" s="7" t="s">
        <v>5181</v>
      </c>
      <c r="E1440" s="7" t="s">
        <v>263</v>
      </c>
      <c r="F1440" s="7" t="s">
        <v>1302</v>
      </c>
      <c r="H1440" s="1" t="s">
        <v>5187</v>
      </c>
      <c r="I1440" s="7">
        <v>1</v>
      </c>
      <c r="J1440" s="7" t="s">
        <v>4367</v>
      </c>
      <c r="K1440" s="7" t="s">
        <v>4410</v>
      </c>
      <c r="L1440" s="7"/>
      <c r="O1440" s="45" t="s">
        <v>5194</v>
      </c>
      <c r="R1440" s="7" t="s">
        <v>5197</v>
      </c>
      <c r="V1440" s="7">
        <v>1.05</v>
      </c>
      <c r="X1440" s="5">
        <v>-3.9712999999999998</v>
      </c>
      <c r="Y1440" s="5">
        <v>-79.059700000000007</v>
      </c>
      <c r="Z1440" s="6">
        <v>1900</v>
      </c>
      <c r="AA1440" s="44"/>
      <c r="AB1440" s="44"/>
    </row>
    <row r="1441" spans="1:28" ht="21.75" customHeight="1" x14ac:dyDescent="0.2">
      <c r="A1441" s="7" t="s">
        <v>5176</v>
      </c>
      <c r="B1441" s="7" t="s">
        <v>5179</v>
      </c>
      <c r="C1441" s="7" t="s">
        <v>5177</v>
      </c>
      <c r="D1441" s="7" t="s">
        <v>5181</v>
      </c>
      <c r="E1441" s="7" t="s">
        <v>263</v>
      </c>
      <c r="F1441" s="7" t="s">
        <v>1302</v>
      </c>
      <c r="H1441" s="1" t="s">
        <v>5188</v>
      </c>
      <c r="I1441" s="7">
        <v>1.05</v>
      </c>
      <c r="J1441" s="7" t="s">
        <v>4367</v>
      </c>
      <c r="K1441" s="7" t="s">
        <v>4410</v>
      </c>
      <c r="L1441" s="7"/>
      <c r="O1441" s="45" t="s">
        <v>5194</v>
      </c>
      <c r="R1441" s="7" t="s">
        <v>5197</v>
      </c>
      <c r="V1441" s="7">
        <v>1.05</v>
      </c>
      <c r="X1441" s="5">
        <v>-3.9712999999999998</v>
      </c>
      <c r="Y1441" s="5">
        <v>-79.059700000000007</v>
      </c>
      <c r="Z1441" s="6">
        <v>1900</v>
      </c>
      <c r="AA1441" s="44" t="s">
        <v>5192</v>
      </c>
      <c r="AB1441" s="44"/>
    </row>
    <row r="1442" spans="1:28" s="8" customFormat="1" ht="21.75" customHeight="1" x14ac:dyDescent="0.2">
      <c r="A1442" s="8" t="s">
        <v>6853</v>
      </c>
      <c r="B1442" s="8" t="s">
        <v>6854</v>
      </c>
      <c r="D1442" s="8" t="s">
        <v>6859</v>
      </c>
      <c r="E1442" s="8" t="s">
        <v>275</v>
      </c>
      <c r="F1442" s="8" t="s">
        <v>6878</v>
      </c>
      <c r="G1442" s="8" t="s">
        <v>6877</v>
      </c>
      <c r="H1442" s="3" t="s">
        <v>6876</v>
      </c>
      <c r="I1442" s="8">
        <v>6</v>
      </c>
      <c r="J1442" s="8" t="s">
        <v>6858</v>
      </c>
      <c r="K1442" s="8" t="s">
        <v>4410</v>
      </c>
      <c r="L1442" s="8" t="s">
        <v>6855</v>
      </c>
      <c r="M1442" s="14" t="s">
        <v>6856</v>
      </c>
      <c r="N1442" s="14"/>
      <c r="O1442" s="110"/>
      <c r="P1442" s="4"/>
      <c r="R1442" s="8" t="s">
        <v>6857</v>
      </c>
      <c r="W1442" s="8" t="s">
        <v>6860</v>
      </c>
      <c r="X1442" s="13">
        <v>-1.1798999999999999</v>
      </c>
      <c r="Y1442" s="13">
        <v>-47.505200000000002</v>
      </c>
      <c r="Z1442" s="14">
        <v>34</v>
      </c>
      <c r="AA1442" s="132" t="s">
        <v>6883</v>
      </c>
      <c r="AB1442" s="22" t="s">
        <v>6871</v>
      </c>
    </row>
    <row r="1443" spans="1:28" s="8" customFormat="1" ht="21.75" customHeight="1" x14ac:dyDescent="0.2">
      <c r="A1443" s="8" t="s">
        <v>6853</v>
      </c>
      <c r="B1443" s="8" t="s">
        <v>6854</v>
      </c>
      <c r="D1443" s="8" t="s">
        <v>6861</v>
      </c>
      <c r="E1443" s="8" t="s">
        <v>263</v>
      </c>
      <c r="F1443" s="8" t="s">
        <v>212</v>
      </c>
      <c r="H1443" s="3" t="s">
        <v>6884</v>
      </c>
      <c r="I1443" s="8">
        <v>7</v>
      </c>
      <c r="J1443" s="8" t="s">
        <v>6858</v>
      </c>
      <c r="K1443" s="8" t="s">
        <v>4410</v>
      </c>
      <c r="L1443" s="8" t="s">
        <v>6855</v>
      </c>
      <c r="M1443" s="14" t="s">
        <v>6856</v>
      </c>
      <c r="N1443" s="14"/>
      <c r="O1443" s="110"/>
      <c r="P1443" s="4"/>
      <c r="R1443" s="8" t="s">
        <v>6857</v>
      </c>
      <c r="W1443" s="8" t="s">
        <v>6862</v>
      </c>
      <c r="X1443" s="13">
        <v>-1.1780999999999999</v>
      </c>
      <c r="Y1443" s="13">
        <v>-47.3202</v>
      </c>
      <c r="Z1443" s="14">
        <v>29</v>
      </c>
      <c r="AA1443" s="137"/>
      <c r="AB1443" s="22" t="s">
        <v>6870</v>
      </c>
    </row>
    <row r="1444" spans="1:28" s="8" customFormat="1" ht="21.75" customHeight="1" x14ac:dyDescent="0.2">
      <c r="A1444" s="8" t="s">
        <v>6853</v>
      </c>
      <c r="B1444" s="8" t="s">
        <v>6854</v>
      </c>
      <c r="D1444" s="8" t="s">
        <v>6863</v>
      </c>
      <c r="E1444" s="8" t="s">
        <v>263</v>
      </c>
      <c r="F1444" s="8" t="s">
        <v>212</v>
      </c>
      <c r="H1444" s="3" t="s">
        <v>7393</v>
      </c>
      <c r="I1444" s="8">
        <v>7</v>
      </c>
      <c r="J1444" s="8" t="s">
        <v>6858</v>
      </c>
      <c r="K1444" s="8" t="s">
        <v>4410</v>
      </c>
      <c r="L1444" s="8" t="s">
        <v>6855</v>
      </c>
      <c r="M1444" s="14" t="s">
        <v>6856</v>
      </c>
      <c r="N1444" s="14"/>
      <c r="O1444" s="110" t="s">
        <v>6866</v>
      </c>
      <c r="P1444" s="4"/>
      <c r="R1444" s="8" t="s">
        <v>6857</v>
      </c>
      <c r="X1444" s="13">
        <v>-1.1115999999999999</v>
      </c>
      <c r="Y1444" s="13">
        <v>-47.427799999999998</v>
      </c>
      <c r="Z1444" s="14">
        <v>42</v>
      </c>
      <c r="AA1444" s="133"/>
      <c r="AB1444" s="22" t="s">
        <v>6874</v>
      </c>
    </row>
    <row r="1445" spans="1:28" s="8" customFormat="1" ht="21.75" customHeight="1" x14ac:dyDescent="0.2">
      <c r="A1445" s="8" t="s">
        <v>6853</v>
      </c>
      <c r="B1445" s="8" t="s">
        <v>6854</v>
      </c>
      <c r="D1445" s="8" t="s">
        <v>6864</v>
      </c>
      <c r="E1445" s="8" t="s">
        <v>263</v>
      </c>
      <c r="F1445" s="8" t="s">
        <v>1514</v>
      </c>
      <c r="G1445" s="8" t="s">
        <v>6879</v>
      </c>
      <c r="H1445" s="3" t="s">
        <v>6869</v>
      </c>
      <c r="I1445" s="8">
        <v>2.5</v>
      </c>
      <c r="J1445" s="8" t="s">
        <v>6858</v>
      </c>
      <c r="K1445" s="8" t="s">
        <v>4410</v>
      </c>
      <c r="L1445" s="8" t="s">
        <v>6855</v>
      </c>
      <c r="M1445" s="14" t="s">
        <v>6856</v>
      </c>
      <c r="N1445" s="14"/>
      <c r="O1445" s="110"/>
      <c r="P1445" s="4"/>
      <c r="R1445" s="8" t="s">
        <v>6857</v>
      </c>
      <c r="W1445" s="8" t="s">
        <v>6865</v>
      </c>
      <c r="X1445" s="13">
        <v>-1.2617</v>
      </c>
      <c r="Y1445" s="13">
        <v>-47.363</v>
      </c>
      <c r="Z1445" s="14">
        <v>49</v>
      </c>
      <c r="AA1445" s="132" t="s">
        <v>6882</v>
      </c>
      <c r="AB1445" s="22" t="s">
        <v>6881</v>
      </c>
    </row>
    <row r="1446" spans="1:28" s="8" customFormat="1" ht="21.75" customHeight="1" x14ac:dyDescent="0.2">
      <c r="A1446" s="8" t="s">
        <v>6853</v>
      </c>
      <c r="B1446" s="8" t="s">
        <v>6854</v>
      </c>
      <c r="D1446" s="8" t="s">
        <v>6867</v>
      </c>
      <c r="E1446" s="8" t="s">
        <v>263</v>
      </c>
      <c r="F1446" s="8" t="s">
        <v>1514</v>
      </c>
      <c r="G1446" s="8" t="s">
        <v>6880</v>
      </c>
      <c r="H1446" s="3" t="s">
        <v>6868</v>
      </c>
      <c r="I1446" s="8">
        <v>2.5</v>
      </c>
      <c r="J1446" s="8" t="s">
        <v>6858</v>
      </c>
      <c r="K1446" s="8" t="s">
        <v>4410</v>
      </c>
      <c r="L1446" s="8" t="s">
        <v>6855</v>
      </c>
      <c r="M1446" s="14" t="s">
        <v>6856</v>
      </c>
      <c r="N1446" s="14"/>
      <c r="O1446" s="110"/>
      <c r="P1446" s="4"/>
      <c r="R1446" s="8" t="s">
        <v>6857</v>
      </c>
      <c r="S1446" s="8" t="s">
        <v>6873</v>
      </c>
      <c r="T1446" s="8">
        <v>4</v>
      </c>
      <c r="W1446" s="8" t="s">
        <v>6872</v>
      </c>
      <c r="X1446" s="13">
        <v>-1.2481</v>
      </c>
      <c r="Y1446" s="13">
        <v>-47.336300000000001</v>
      </c>
      <c r="Z1446" s="14">
        <v>46</v>
      </c>
      <c r="AA1446" s="133"/>
      <c r="AB1446" s="22" t="s">
        <v>6875</v>
      </c>
    </row>
    <row r="1447" spans="1:28" s="77" customFormat="1" ht="21.75" customHeight="1" x14ac:dyDescent="0.2">
      <c r="A1447" s="77" t="s">
        <v>7852</v>
      </c>
      <c r="B1447" s="77" t="s">
        <v>7853</v>
      </c>
      <c r="C1447" s="77" t="s">
        <v>7786</v>
      </c>
      <c r="D1447" s="77" t="s">
        <v>7855</v>
      </c>
      <c r="E1447" s="77" t="s">
        <v>398</v>
      </c>
      <c r="F1447" s="77" t="s">
        <v>6049</v>
      </c>
      <c r="G1447" s="77" t="s">
        <v>2348</v>
      </c>
      <c r="H1447" s="78" t="s">
        <v>2349</v>
      </c>
      <c r="I1447" s="77">
        <v>1.8</v>
      </c>
      <c r="J1447" s="77" t="s">
        <v>4404</v>
      </c>
      <c r="K1447" s="77" t="s">
        <v>5713</v>
      </c>
      <c r="M1447" s="79"/>
      <c r="N1447" s="79"/>
      <c r="O1447" s="111" t="s">
        <v>7906</v>
      </c>
      <c r="P1447" s="80"/>
      <c r="R1447" s="77" t="s">
        <v>7907</v>
      </c>
      <c r="X1447" s="81">
        <v>43.606299999999997</v>
      </c>
      <c r="Y1447" s="81">
        <v>-115.9716</v>
      </c>
      <c r="Z1447" s="79">
        <f>4500*0.3048</f>
        <v>1371.6000000000001</v>
      </c>
      <c r="AA1447" s="140" t="s">
        <v>7905</v>
      </c>
      <c r="AB1447" s="87"/>
    </row>
    <row r="1448" spans="1:28" s="77" customFormat="1" ht="21.75" customHeight="1" x14ac:dyDescent="0.2">
      <c r="A1448" s="77" t="s">
        <v>7852</v>
      </c>
      <c r="B1448" s="77" t="s">
        <v>7853</v>
      </c>
      <c r="C1448" s="77" t="s">
        <v>7786</v>
      </c>
      <c r="D1448" s="77" t="s">
        <v>7854</v>
      </c>
      <c r="E1448" s="77" t="s">
        <v>398</v>
      </c>
      <c r="F1448" s="77" t="s">
        <v>6049</v>
      </c>
      <c r="G1448" s="77" t="s">
        <v>7874</v>
      </c>
      <c r="H1448" s="78" t="s">
        <v>7856</v>
      </c>
      <c r="I1448" s="77">
        <v>1.07</v>
      </c>
      <c r="J1448" s="77" t="s">
        <v>4404</v>
      </c>
      <c r="K1448" s="77" t="s">
        <v>5713</v>
      </c>
      <c r="M1448" s="79"/>
      <c r="N1448" s="79"/>
      <c r="O1448" s="111" t="s">
        <v>7908</v>
      </c>
      <c r="P1448" s="80"/>
      <c r="R1448" s="77" t="s">
        <v>7909</v>
      </c>
      <c r="X1448" s="81">
        <v>43.567100000000003</v>
      </c>
      <c r="Y1448" s="81">
        <v>-115.9644</v>
      </c>
      <c r="Z1448" s="79">
        <v>1355</v>
      </c>
      <c r="AA1448" s="141"/>
      <c r="AB1448" s="87"/>
    </row>
    <row r="1449" spans="1:28" s="77" customFormat="1" ht="21.75" customHeight="1" x14ac:dyDescent="0.2">
      <c r="A1449" s="77" t="s">
        <v>7852</v>
      </c>
      <c r="B1449" s="77" t="s">
        <v>7853</v>
      </c>
      <c r="C1449" s="77" t="s">
        <v>7786</v>
      </c>
      <c r="D1449" s="77" t="s">
        <v>7855</v>
      </c>
      <c r="E1449" s="77" t="s">
        <v>7845</v>
      </c>
      <c r="F1449" s="77" t="s">
        <v>6049</v>
      </c>
      <c r="G1449" s="77" t="s">
        <v>7876</v>
      </c>
      <c r="H1449" s="78" t="s">
        <v>7875</v>
      </c>
      <c r="I1449" s="77">
        <v>0.8</v>
      </c>
      <c r="J1449" s="77" t="s">
        <v>4404</v>
      </c>
      <c r="K1449" s="77" t="s">
        <v>5713</v>
      </c>
      <c r="M1449" s="79"/>
      <c r="N1449" s="79"/>
      <c r="O1449" s="111" t="s">
        <v>7906</v>
      </c>
      <c r="P1449" s="80"/>
      <c r="R1449" s="77" t="s">
        <v>7907</v>
      </c>
      <c r="X1449" s="81">
        <v>43.606299999999997</v>
      </c>
      <c r="Y1449" s="81">
        <v>-115.9716</v>
      </c>
      <c r="Z1449" s="79">
        <f t="shared" ref="Z1449" si="17">4500*0.3048</f>
        <v>1371.6000000000001</v>
      </c>
      <c r="AA1449" s="141"/>
      <c r="AB1449" s="87"/>
    </row>
    <row r="1450" spans="1:28" s="77" customFormat="1" ht="21.75" customHeight="1" x14ac:dyDescent="0.2">
      <c r="A1450" s="77" t="s">
        <v>7852</v>
      </c>
      <c r="B1450" s="77" t="s">
        <v>7853</v>
      </c>
      <c r="C1450" s="77" t="s">
        <v>7786</v>
      </c>
      <c r="D1450" s="77" t="s">
        <v>7858</v>
      </c>
      <c r="E1450" s="77" t="s">
        <v>398</v>
      </c>
      <c r="F1450" s="77" t="s">
        <v>62</v>
      </c>
      <c r="G1450" s="77" t="s">
        <v>7877</v>
      </c>
      <c r="H1450" s="78" t="s">
        <v>7857</v>
      </c>
      <c r="I1450" s="77">
        <v>0.46</v>
      </c>
      <c r="J1450" s="77" t="s">
        <v>4404</v>
      </c>
      <c r="K1450" s="77" t="s">
        <v>5713</v>
      </c>
      <c r="M1450" s="79"/>
      <c r="N1450" s="79"/>
      <c r="O1450" s="111" t="s">
        <v>7910</v>
      </c>
      <c r="P1450" s="80"/>
      <c r="R1450" s="77" t="s">
        <v>7911</v>
      </c>
      <c r="X1450" s="81">
        <v>46.8215</v>
      </c>
      <c r="Y1450" s="81">
        <v>-116.099</v>
      </c>
      <c r="Z1450" s="79">
        <v>1341</v>
      </c>
      <c r="AA1450" s="141"/>
      <c r="AB1450" s="87"/>
    </row>
    <row r="1451" spans="1:28" s="77" customFormat="1" ht="21.75" customHeight="1" x14ac:dyDescent="0.2">
      <c r="A1451" s="77" t="s">
        <v>7852</v>
      </c>
      <c r="B1451" s="77" t="s">
        <v>7853</v>
      </c>
      <c r="C1451" s="77" t="s">
        <v>7786</v>
      </c>
      <c r="D1451" s="77" t="s">
        <v>7870</v>
      </c>
      <c r="E1451" s="77" t="s">
        <v>398</v>
      </c>
      <c r="F1451" s="77" t="s">
        <v>62</v>
      </c>
      <c r="G1451" s="77" t="s">
        <v>7879</v>
      </c>
      <c r="H1451" s="78" t="s">
        <v>7878</v>
      </c>
      <c r="I1451" s="77">
        <v>1.05</v>
      </c>
      <c r="J1451" s="77" t="s">
        <v>4404</v>
      </c>
      <c r="K1451" s="77" t="s">
        <v>4480</v>
      </c>
      <c r="M1451" s="79"/>
      <c r="N1451" s="79"/>
      <c r="O1451" s="111" t="s">
        <v>7919</v>
      </c>
      <c r="P1451" s="80"/>
      <c r="R1451" s="77" t="s">
        <v>7920</v>
      </c>
      <c r="X1451" s="81">
        <v>46.604700000000001</v>
      </c>
      <c r="Y1451" s="81">
        <v>-115.89709999999999</v>
      </c>
      <c r="Z1451" s="79">
        <f>4000*0.3048</f>
        <v>1219.2</v>
      </c>
      <c r="AA1451" s="141"/>
      <c r="AB1451" s="87"/>
    </row>
    <row r="1452" spans="1:28" s="77" customFormat="1" ht="21.75" customHeight="1" x14ac:dyDescent="0.2">
      <c r="A1452" s="77" t="s">
        <v>7852</v>
      </c>
      <c r="B1452" s="77" t="s">
        <v>7853</v>
      </c>
      <c r="C1452" s="77" t="s">
        <v>7786</v>
      </c>
      <c r="D1452" s="77" t="s">
        <v>7854</v>
      </c>
      <c r="E1452" s="77" t="s">
        <v>398</v>
      </c>
      <c r="F1452" s="77" t="s">
        <v>62</v>
      </c>
      <c r="G1452" s="77" t="s">
        <v>7881</v>
      </c>
      <c r="H1452" s="78" t="s">
        <v>7880</v>
      </c>
      <c r="I1452" s="77">
        <v>1.6</v>
      </c>
      <c r="J1452" s="77" t="s">
        <v>4404</v>
      </c>
      <c r="K1452" s="77" t="s">
        <v>4480</v>
      </c>
      <c r="M1452" s="79"/>
      <c r="N1452" s="79"/>
      <c r="O1452" s="111" t="s">
        <v>7908</v>
      </c>
      <c r="P1452" s="80"/>
      <c r="R1452" s="77" t="s">
        <v>7909</v>
      </c>
      <c r="X1452" s="81">
        <v>43.567100000000003</v>
      </c>
      <c r="Y1452" s="81">
        <v>-115.9644</v>
      </c>
      <c r="Z1452" s="79">
        <v>1355</v>
      </c>
      <c r="AA1452" s="141"/>
      <c r="AB1452" s="87"/>
    </row>
    <row r="1453" spans="1:28" s="77" customFormat="1" ht="21.75" customHeight="1" x14ac:dyDescent="0.2">
      <c r="A1453" s="77" t="s">
        <v>7852</v>
      </c>
      <c r="B1453" s="77" t="s">
        <v>7853</v>
      </c>
      <c r="C1453" s="77" t="s">
        <v>7786</v>
      </c>
      <c r="D1453" s="77" t="s">
        <v>7870</v>
      </c>
      <c r="E1453" s="77" t="s">
        <v>398</v>
      </c>
      <c r="F1453" s="77" t="s">
        <v>62</v>
      </c>
      <c r="G1453" s="77" t="s">
        <v>7882</v>
      </c>
      <c r="H1453" s="78" t="s">
        <v>7859</v>
      </c>
      <c r="I1453" s="77">
        <v>0.4</v>
      </c>
      <c r="J1453" s="77" t="s">
        <v>4404</v>
      </c>
      <c r="K1453" s="77" t="s">
        <v>4480</v>
      </c>
      <c r="M1453" s="79"/>
      <c r="N1453" s="79"/>
      <c r="O1453" s="111" t="s">
        <v>7919</v>
      </c>
      <c r="P1453" s="80"/>
      <c r="R1453" s="77" t="s">
        <v>7920</v>
      </c>
      <c r="X1453" s="81">
        <v>46.604700000000001</v>
      </c>
      <c r="Y1453" s="81">
        <v>-115.89709999999999</v>
      </c>
      <c r="Z1453" s="79">
        <f>4000*0.3048</f>
        <v>1219.2</v>
      </c>
      <c r="AA1453" s="141"/>
      <c r="AB1453" s="87"/>
    </row>
    <row r="1454" spans="1:28" s="77" customFormat="1" ht="21.75" customHeight="1" x14ac:dyDescent="0.2">
      <c r="A1454" s="77" t="s">
        <v>7852</v>
      </c>
      <c r="B1454" s="77" t="s">
        <v>7853</v>
      </c>
      <c r="C1454" s="77" t="s">
        <v>7786</v>
      </c>
      <c r="D1454" s="77" t="s">
        <v>7871</v>
      </c>
      <c r="E1454" s="77" t="s">
        <v>398</v>
      </c>
      <c r="F1454" s="77" t="s">
        <v>62</v>
      </c>
      <c r="G1454" s="77" t="s">
        <v>7884</v>
      </c>
      <c r="H1454" s="78" t="s">
        <v>7883</v>
      </c>
      <c r="I1454" s="77">
        <v>0.8</v>
      </c>
      <c r="J1454" s="77" t="s">
        <v>4404</v>
      </c>
      <c r="K1454" s="77" t="s">
        <v>4480</v>
      </c>
      <c r="M1454" s="79"/>
      <c r="N1454" s="79"/>
      <c r="O1454" s="111" t="s">
        <v>7912</v>
      </c>
      <c r="P1454" s="80"/>
      <c r="R1454" s="77" t="s">
        <v>7913</v>
      </c>
      <c r="X1454" s="81">
        <v>43.642499999999998</v>
      </c>
      <c r="Y1454" s="81">
        <v>-115.4252</v>
      </c>
      <c r="Z1454" s="79">
        <v>2370</v>
      </c>
      <c r="AA1454" s="141"/>
      <c r="AB1454" s="87"/>
    </row>
    <row r="1455" spans="1:28" s="77" customFormat="1" ht="21.75" customHeight="1" x14ac:dyDescent="0.2">
      <c r="A1455" s="77" t="s">
        <v>7852</v>
      </c>
      <c r="B1455" s="77" t="s">
        <v>7853</v>
      </c>
      <c r="C1455" s="77" t="s">
        <v>7786</v>
      </c>
      <c r="D1455" s="77" t="s">
        <v>7869</v>
      </c>
      <c r="E1455" s="77" t="s">
        <v>275</v>
      </c>
      <c r="F1455" s="77" t="s">
        <v>884</v>
      </c>
      <c r="G1455" s="77" t="s">
        <v>7810</v>
      </c>
      <c r="H1455" s="78" t="s">
        <v>7809</v>
      </c>
      <c r="I1455" s="77">
        <v>0.3</v>
      </c>
      <c r="J1455" s="77" t="s">
        <v>4404</v>
      </c>
      <c r="K1455" s="77" t="s">
        <v>4480</v>
      </c>
      <c r="M1455" s="79"/>
      <c r="N1455" s="79"/>
      <c r="O1455" s="111" t="s">
        <v>7914</v>
      </c>
      <c r="P1455" s="80"/>
      <c r="R1455" s="77" t="s">
        <v>7913</v>
      </c>
      <c r="X1455" s="81">
        <v>45.201599999999999</v>
      </c>
      <c r="Y1455" s="81">
        <v>-113.9144</v>
      </c>
      <c r="Z1455" s="79">
        <v>1218</v>
      </c>
      <c r="AA1455" s="141"/>
      <c r="AB1455" s="140" t="s">
        <v>7921</v>
      </c>
    </row>
    <row r="1456" spans="1:28" s="77" customFormat="1" ht="21.75" customHeight="1" x14ac:dyDescent="0.2">
      <c r="A1456" s="77" t="s">
        <v>7852</v>
      </c>
      <c r="B1456" s="77" t="s">
        <v>7853</v>
      </c>
      <c r="C1456" s="77" t="s">
        <v>7786</v>
      </c>
      <c r="D1456" s="77" t="s">
        <v>7854</v>
      </c>
      <c r="E1456" s="77" t="s">
        <v>398</v>
      </c>
      <c r="F1456" s="77" t="s">
        <v>7886</v>
      </c>
      <c r="G1456" s="77" t="s">
        <v>7885</v>
      </c>
      <c r="H1456" s="78" t="s">
        <v>7860</v>
      </c>
      <c r="I1456" s="77">
        <v>1.6</v>
      </c>
      <c r="J1456" s="77" t="s">
        <v>4404</v>
      </c>
      <c r="K1456" s="77" t="s">
        <v>4480</v>
      </c>
      <c r="M1456" s="79"/>
      <c r="N1456" s="79"/>
      <c r="O1456" s="111" t="s">
        <v>7908</v>
      </c>
      <c r="P1456" s="80"/>
      <c r="R1456" s="77" t="s">
        <v>7909</v>
      </c>
      <c r="X1456" s="81">
        <v>43.567100000000003</v>
      </c>
      <c r="Y1456" s="81">
        <v>-115.9644</v>
      </c>
      <c r="Z1456" s="79">
        <v>1355</v>
      </c>
      <c r="AA1456" s="141"/>
      <c r="AB1456" s="141"/>
    </row>
    <row r="1457" spans="1:28" s="77" customFormat="1" ht="21.75" customHeight="1" x14ac:dyDescent="0.2">
      <c r="A1457" s="77" t="s">
        <v>7852</v>
      </c>
      <c r="B1457" s="77" t="s">
        <v>7853</v>
      </c>
      <c r="C1457" s="77" t="s">
        <v>7786</v>
      </c>
      <c r="D1457" s="77" t="s">
        <v>7854</v>
      </c>
      <c r="E1457" s="77" t="s">
        <v>398</v>
      </c>
      <c r="F1457" s="77" t="s">
        <v>6049</v>
      </c>
      <c r="G1457" s="77" t="s">
        <v>7887</v>
      </c>
      <c r="H1457" s="78" t="s">
        <v>2368</v>
      </c>
      <c r="I1457" s="77">
        <v>1.9</v>
      </c>
      <c r="J1457" s="77" t="s">
        <v>4404</v>
      </c>
      <c r="K1457" s="77" t="s">
        <v>4480</v>
      </c>
      <c r="M1457" s="79"/>
      <c r="N1457" s="79"/>
      <c r="O1457" s="111" t="s">
        <v>7908</v>
      </c>
      <c r="P1457" s="80"/>
      <c r="R1457" s="77" t="s">
        <v>7909</v>
      </c>
      <c r="X1457" s="81">
        <v>43.567100000000003</v>
      </c>
      <c r="Y1457" s="81">
        <v>-115.9644</v>
      </c>
      <c r="Z1457" s="79">
        <v>1355</v>
      </c>
      <c r="AA1457" s="141"/>
      <c r="AB1457" s="141"/>
    </row>
    <row r="1458" spans="1:28" s="77" customFormat="1" ht="21.75" customHeight="1" x14ac:dyDescent="0.2">
      <c r="A1458" s="77" t="s">
        <v>7852</v>
      </c>
      <c r="B1458" s="77" t="s">
        <v>7853</v>
      </c>
      <c r="C1458" s="77" t="s">
        <v>7786</v>
      </c>
      <c r="D1458" s="77" t="s">
        <v>7854</v>
      </c>
      <c r="E1458" s="77" t="s">
        <v>398</v>
      </c>
      <c r="F1458" s="77" t="s">
        <v>6049</v>
      </c>
      <c r="G1458" s="77" t="s">
        <v>7888</v>
      </c>
      <c r="H1458" s="78" t="s">
        <v>7862</v>
      </c>
      <c r="I1458" s="77">
        <v>1.4</v>
      </c>
      <c r="J1458" s="77" t="s">
        <v>4404</v>
      </c>
      <c r="K1458" s="77" t="s">
        <v>4480</v>
      </c>
      <c r="M1458" s="79"/>
      <c r="N1458" s="79"/>
      <c r="O1458" s="111" t="s">
        <v>7908</v>
      </c>
      <c r="P1458" s="80"/>
      <c r="R1458" s="77" t="s">
        <v>7909</v>
      </c>
      <c r="X1458" s="81">
        <v>43.567100000000003</v>
      </c>
      <c r="Y1458" s="81">
        <v>-115.9644</v>
      </c>
      <c r="Z1458" s="79">
        <v>1355</v>
      </c>
      <c r="AA1458" s="141"/>
      <c r="AB1458" s="141"/>
    </row>
    <row r="1459" spans="1:28" s="77" customFormat="1" ht="21.75" customHeight="1" x14ac:dyDescent="0.2">
      <c r="A1459" s="77" t="s">
        <v>7852</v>
      </c>
      <c r="B1459" s="77" t="s">
        <v>7853</v>
      </c>
      <c r="C1459" s="77" t="s">
        <v>7786</v>
      </c>
      <c r="D1459" s="77" t="s">
        <v>7854</v>
      </c>
      <c r="E1459" s="77" t="s">
        <v>398</v>
      </c>
      <c r="F1459" s="77" t="s">
        <v>7890</v>
      </c>
      <c r="G1459" s="77" t="s">
        <v>7889</v>
      </c>
      <c r="H1459" s="78" t="s">
        <v>7861</v>
      </c>
      <c r="I1459" s="77">
        <v>1.4</v>
      </c>
      <c r="J1459" s="77" t="s">
        <v>4404</v>
      </c>
      <c r="K1459" s="77" t="s">
        <v>4480</v>
      </c>
      <c r="M1459" s="79"/>
      <c r="N1459" s="79"/>
      <c r="O1459" s="111" t="s">
        <v>7908</v>
      </c>
      <c r="P1459" s="80"/>
      <c r="R1459" s="77" t="s">
        <v>7909</v>
      </c>
      <c r="X1459" s="81">
        <v>43.567100000000003</v>
      </c>
      <c r="Y1459" s="81">
        <v>-115.9644</v>
      </c>
      <c r="Z1459" s="79">
        <v>1355</v>
      </c>
      <c r="AA1459" s="141"/>
      <c r="AB1459" s="141"/>
    </row>
    <row r="1460" spans="1:28" s="77" customFormat="1" ht="21.75" customHeight="1" x14ac:dyDescent="0.2">
      <c r="A1460" s="77" t="s">
        <v>7852</v>
      </c>
      <c r="B1460" s="77" t="s">
        <v>7853</v>
      </c>
      <c r="C1460" s="77" t="s">
        <v>7786</v>
      </c>
      <c r="D1460" s="77" t="s">
        <v>7854</v>
      </c>
      <c r="E1460" s="77" t="s">
        <v>398</v>
      </c>
      <c r="F1460" s="77" t="s">
        <v>7886</v>
      </c>
      <c r="G1460" s="77" t="s">
        <v>7891</v>
      </c>
      <c r="H1460" s="78" t="s">
        <v>7863</v>
      </c>
      <c r="I1460" s="77">
        <v>0.5</v>
      </c>
      <c r="J1460" s="77" t="s">
        <v>4404</v>
      </c>
      <c r="K1460" s="77" t="s">
        <v>4480</v>
      </c>
      <c r="M1460" s="79"/>
      <c r="N1460" s="79"/>
      <c r="O1460" s="111" t="s">
        <v>7908</v>
      </c>
      <c r="P1460" s="80"/>
      <c r="R1460" s="77" t="s">
        <v>7909</v>
      </c>
      <c r="X1460" s="81">
        <v>43.567100000000003</v>
      </c>
      <c r="Y1460" s="81">
        <v>-115.9644</v>
      </c>
      <c r="Z1460" s="79">
        <v>1355</v>
      </c>
      <c r="AA1460" s="141"/>
      <c r="AB1460" s="141"/>
    </row>
    <row r="1461" spans="1:28" s="77" customFormat="1" ht="21.75" customHeight="1" x14ac:dyDescent="0.2">
      <c r="A1461" s="77" t="s">
        <v>7852</v>
      </c>
      <c r="B1461" s="77" t="s">
        <v>7853</v>
      </c>
      <c r="C1461" s="77" t="s">
        <v>7786</v>
      </c>
      <c r="D1461" s="77" t="s">
        <v>7854</v>
      </c>
      <c r="E1461" s="77" t="s">
        <v>398</v>
      </c>
      <c r="F1461" s="77" t="s">
        <v>6049</v>
      </c>
      <c r="G1461" s="77" t="s">
        <v>7893</v>
      </c>
      <c r="H1461" s="78" t="s">
        <v>7892</v>
      </c>
      <c r="I1461" s="77">
        <v>0.75</v>
      </c>
      <c r="J1461" s="77" t="s">
        <v>4404</v>
      </c>
      <c r="K1461" s="77" t="s">
        <v>4480</v>
      </c>
      <c r="M1461" s="79"/>
      <c r="N1461" s="79"/>
      <c r="O1461" s="111" t="s">
        <v>7908</v>
      </c>
      <c r="P1461" s="80"/>
      <c r="R1461" s="77" t="s">
        <v>7909</v>
      </c>
      <c r="X1461" s="81">
        <v>43.567100000000003</v>
      </c>
      <c r="Y1461" s="81">
        <v>-115.9644</v>
      </c>
      <c r="Z1461" s="79">
        <v>1355</v>
      </c>
      <c r="AA1461" s="141"/>
      <c r="AB1461" s="141"/>
    </row>
    <row r="1462" spans="1:28" s="77" customFormat="1" ht="21.75" customHeight="1" x14ac:dyDescent="0.2">
      <c r="A1462" s="77" t="s">
        <v>7852</v>
      </c>
      <c r="B1462" s="77" t="s">
        <v>7853</v>
      </c>
      <c r="C1462" s="77" t="s">
        <v>7786</v>
      </c>
      <c r="D1462" s="77" t="s">
        <v>7855</v>
      </c>
      <c r="E1462" s="77" t="s">
        <v>398</v>
      </c>
      <c r="F1462" s="77" t="s">
        <v>7886</v>
      </c>
      <c r="G1462" s="77" t="s">
        <v>7894</v>
      </c>
      <c r="H1462" s="78" t="s">
        <v>2371</v>
      </c>
      <c r="I1462" s="77">
        <v>2.35</v>
      </c>
      <c r="J1462" s="77" t="s">
        <v>4404</v>
      </c>
      <c r="K1462" s="77" t="s">
        <v>4480</v>
      </c>
      <c r="M1462" s="79"/>
      <c r="N1462" s="79"/>
      <c r="O1462" s="111" t="s">
        <v>7906</v>
      </c>
      <c r="P1462" s="80"/>
      <c r="R1462" s="77" t="s">
        <v>7907</v>
      </c>
      <c r="X1462" s="81">
        <v>43.606299999999997</v>
      </c>
      <c r="Y1462" s="81">
        <v>-115.9716</v>
      </c>
      <c r="Z1462" s="79">
        <f t="shared" ref="Z1462" si="18">4500*0.3048</f>
        <v>1371.6000000000001</v>
      </c>
      <c r="AA1462" s="141"/>
      <c r="AB1462" s="141"/>
    </row>
    <row r="1463" spans="1:28" s="77" customFormat="1" ht="21.75" customHeight="1" x14ac:dyDescent="0.2">
      <c r="A1463" s="77" t="s">
        <v>7852</v>
      </c>
      <c r="B1463" s="77" t="s">
        <v>7853</v>
      </c>
      <c r="C1463" s="77" t="s">
        <v>7786</v>
      </c>
      <c r="D1463" s="77" t="s">
        <v>7872</v>
      </c>
      <c r="E1463" s="77" t="s">
        <v>398</v>
      </c>
      <c r="F1463" s="77" t="s">
        <v>6049</v>
      </c>
      <c r="G1463" s="77" t="s">
        <v>7896</v>
      </c>
      <c r="H1463" s="78" t="s">
        <v>7895</v>
      </c>
      <c r="I1463" s="77">
        <v>2.4</v>
      </c>
      <c r="J1463" s="77" t="s">
        <v>4404</v>
      </c>
      <c r="K1463" s="77" t="s">
        <v>4480</v>
      </c>
      <c r="M1463" s="79"/>
      <c r="N1463" s="79"/>
      <c r="O1463" s="111" t="s">
        <v>7915</v>
      </c>
      <c r="P1463" s="80"/>
      <c r="R1463" s="77" t="s">
        <v>7916</v>
      </c>
      <c r="X1463" s="81">
        <v>45.609900000000003</v>
      </c>
      <c r="Y1463" s="81">
        <v>-115.68810000000001</v>
      </c>
      <c r="Z1463" s="79">
        <v>2373</v>
      </c>
      <c r="AA1463" s="141"/>
      <c r="AB1463" s="141"/>
    </row>
    <row r="1464" spans="1:28" s="77" customFormat="1" ht="21.75" customHeight="1" x14ac:dyDescent="0.2">
      <c r="A1464" s="77" t="s">
        <v>7852</v>
      </c>
      <c r="B1464" s="77" t="s">
        <v>7853</v>
      </c>
      <c r="C1464" s="77" t="s">
        <v>7786</v>
      </c>
      <c r="D1464" s="77" t="s">
        <v>7873</v>
      </c>
      <c r="E1464" s="77" t="s">
        <v>398</v>
      </c>
      <c r="F1464" s="77" t="s">
        <v>6049</v>
      </c>
      <c r="G1464" s="77" t="s">
        <v>2348</v>
      </c>
      <c r="H1464" s="78" t="s">
        <v>2349</v>
      </c>
      <c r="I1464" s="77">
        <v>2.7</v>
      </c>
      <c r="J1464" s="77" t="s">
        <v>4404</v>
      </c>
      <c r="K1464" s="77" t="s">
        <v>4480</v>
      </c>
      <c r="M1464" s="79"/>
      <c r="N1464" s="79"/>
      <c r="O1464" s="111" t="s">
        <v>7917</v>
      </c>
      <c r="P1464" s="80"/>
      <c r="R1464" s="77" t="s">
        <v>7918</v>
      </c>
      <c r="X1464" s="81">
        <v>43.414700000000003</v>
      </c>
      <c r="Y1464" s="81">
        <v>-115.3467</v>
      </c>
      <c r="Z1464" s="79">
        <v>1358</v>
      </c>
      <c r="AA1464" s="141"/>
      <c r="AB1464" s="141"/>
    </row>
    <row r="1465" spans="1:28" s="77" customFormat="1" ht="21.75" customHeight="1" x14ac:dyDescent="0.2">
      <c r="A1465" s="77" t="s">
        <v>7852</v>
      </c>
      <c r="B1465" s="77" t="s">
        <v>7853</v>
      </c>
      <c r="C1465" s="77" t="s">
        <v>7786</v>
      </c>
      <c r="D1465" s="77" t="s">
        <v>7854</v>
      </c>
      <c r="E1465" s="77" t="s">
        <v>398</v>
      </c>
      <c r="F1465" s="77" t="s">
        <v>6049</v>
      </c>
      <c r="G1465" s="77" t="s">
        <v>2361</v>
      </c>
      <c r="H1465" s="78" t="s">
        <v>2362</v>
      </c>
      <c r="I1465" s="77">
        <v>3</v>
      </c>
      <c r="J1465" s="77" t="s">
        <v>4404</v>
      </c>
      <c r="K1465" s="77" t="s">
        <v>4480</v>
      </c>
      <c r="M1465" s="79"/>
      <c r="N1465" s="79"/>
      <c r="O1465" s="111" t="s">
        <v>7908</v>
      </c>
      <c r="P1465" s="80"/>
      <c r="R1465" s="77" t="s">
        <v>7909</v>
      </c>
      <c r="X1465" s="81">
        <v>43.567100000000003</v>
      </c>
      <c r="Y1465" s="81">
        <v>-115.9644</v>
      </c>
      <c r="Z1465" s="79">
        <v>1355</v>
      </c>
      <c r="AA1465" s="141"/>
      <c r="AB1465" s="141"/>
    </row>
    <row r="1466" spans="1:28" s="77" customFormat="1" ht="21.75" customHeight="1" x14ac:dyDescent="0.2">
      <c r="A1466" s="77" t="s">
        <v>7852</v>
      </c>
      <c r="B1466" s="77" t="s">
        <v>7853</v>
      </c>
      <c r="C1466" s="77" t="s">
        <v>7786</v>
      </c>
      <c r="D1466" s="77" t="s">
        <v>7858</v>
      </c>
      <c r="E1466" s="77" t="s">
        <v>398</v>
      </c>
      <c r="F1466" s="77" t="s">
        <v>7886</v>
      </c>
      <c r="G1466" s="77" t="s">
        <v>7897</v>
      </c>
      <c r="H1466" s="78" t="s">
        <v>7864</v>
      </c>
      <c r="I1466" s="77" t="s">
        <v>7866</v>
      </c>
      <c r="J1466" s="77" t="s">
        <v>4404</v>
      </c>
      <c r="K1466" s="77" t="s">
        <v>4480</v>
      </c>
      <c r="M1466" s="79"/>
      <c r="N1466" s="79"/>
      <c r="O1466" s="111" t="s">
        <v>7910</v>
      </c>
      <c r="P1466" s="80"/>
      <c r="R1466" s="77" t="s">
        <v>7911</v>
      </c>
      <c r="X1466" s="81">
        <v>46.8215</v>
      </c>
      <c r="Y1466" s="81">
        <v>-116.099</v>
      </c>
      <c r="Z1466" s="79">
        <v>1341</v>
      </c>
      <c r="AA1466" s="141"/>
      <c r="AB1466" s="141"/>
    </row>
    <row r="1467" spans="1:28" s="77" customFormat="1" ht="21.75" customHeight="1" x14ac:dyDescent="0.2">
      <c r="A1467" s="77" t="s">
        <v>7852</v>
      </c>
      <c r="B1467" s="77" t="s">
        <v>7853</v>
      </c>
      <c r="C1467" s="77" t="s">
        <v>7786</v>
      </c>
      <c r="D1467" s="77" t="s">
        <v>7858</v>
      </c>
      <c r="E1467" s="77" t="s">
        <v>398</v>
      </c>
      <c r="F1467" s="77" t="s">
        <v>6049</v>
      </c>
      <c r="G1467" s="77" t="s">
        <v>7899</v>
      </c>
      <c r="H1467" s="78" t="s">
        <v>7898</v>
      </c>
      <c r="I1467" s="77" t="s">
        <v>7866</v>
      </c>
      <c r="J1467" s="77" t="s">
        <v>4404</v>
      </c>
      <c r="K1467" s="77" t="s">
        <v>4480</v>
      </c>
      <c r="M1467" s="79"/>
      <c r="N1467" s="79"/>
      <c r="O1467" s="111" t="s">
        <v>7910</v>
      </c>
      <c r="P1467" s="80"/>
      <c r="R1467" s="77" t="s">
        <v>7911</v>
      </c>
      <c r="X1467" s="81">
        <v>46.8215</v>
      </c>
      <c r="Y1467" s="81">
        <v>-116.099</v>
      </c>
      <c r="Z1467" s="79">
        <v>1341</v>
      </c>
      <c r="AA1467" s="141"/>
      <c r="AB1467" s="141"/>
    </row>
    <row r="1468" spans="1:28" s="77" customFormat="1" ht="21.75" customHeight="1" x14ac:dyDescent="0.2">
      <c r="A1468" s="77" t="s">
        <v>7852</v>
      </c>
      <c r="B1468" s="77" t="s">
        <v>7853</v>
      </c>
      <c r="C1468" s="77" t="s">
        <v>7786</v>
      </c>
      <c r="D1468" s="77" t="s">
        <v>7858</v>
      </c>
      <c r="E1468" s="77" t="s">
        <v>398</v>
      </c>
      <c r="F1468" s="77" t="s">
        <v>6049</v>
      </c>
      <c r="G1468" s="77" t="s">
        <v>7900</v>
      </c>
      <c r="H1468" s="78" t="s">
        <v>7865</v>
      </c>
      <c r="I1468" s="77" t="s">
        <v>7866</v>
      </c>
      <c r="J1468" s="77" t="s">
        <v>4404</v>
      </c>
      <c r="K1468" s="77" t="s">
        <v>4480</v>
      </c>
      <c r="M1468" s="79"/>
      <c r="N1468" s="79"/>
      <c r="O1468" s="111" t="s">
        <v>7910</v>
      </c>
      <c r="P1468" s="80"/>
      <c r="R1468" s="77" t="s">
        <v>7911</v>
      </c>
      <c r="X1468" s="81">
        <v>46.8215</v>
      </c>
      <c r="Y1468" s="81">
        <v>-116.099</v>
      </c>
      <c r="Z1468" s="79">
        <v>1341</v>
      </c>
      <c r="AA1468" s="141"/>
      <c r="AB1468" s="141"/>
    </row>
    <row r="1469" spans="1:28" s="77" customFormat="1" ht="21.75" customHeight="1" x14ac:dyDescent="0.2">
      <c r="A1469" s="77" t="s">
        <v>7852</v>
      </c>
      <c r="B1469" s="77" t="s">
        <v>7853</v>
      </c>
      <c r="C1469" s="77" t="s">
        <v>7786</v>
      </c>
      <c r="D1469" s="77" t="s">
        <v>7854</v>
      </c>
      <c r="E1469" s="77" t="s">
        <v>398</v>
      </c>
      <c r="F1469" s="77" t="s">
        <v>7886</v>
      </c>
      <c r="G1469" s="77" t="s">
        <v>7902</v>
      </c>
      <c r="H1469" s="78" t="s">
        <v>7901</v>
      </c>
      <c r="I1469" s="77" t="s">
        <v>5826</v>
      </c>
      <c r="J1469" s="77" t="s">
        <v>4404</v>
      </c>
      <c r="K1469" s="77" t="s">
        <v>4480</v>
      </c>
      <c r="M1469" s="79"/>
      <c r="N1469" s="79"/>
      <c r="O1469" s="111" t="s">
        <v>7908</v>
      </c>
      <c r="P1469" s="80"/>
      <c r="R1469" s="77" t="s">
        <v>7909</v>
      </c>
      <c r="X1469" s="81">
        <v>43.567100000000003</v>
      </c>
      <c r="Y1469" s="81">
        <v>-115.9644</v>
      </c>
      <c r="Z1469" s="79">
        <v>1355</v>
      </c>
      <c r="AA1469" s="141"/>
      <c r="AB1469" s="141"/>
    </row>
    <row r="1470" spans="1:28" s="77" customFormat="1" ht="21.75" customHeight="1" x14ac:dyDescent="0.2">
      <c r="A1470" s="77" t="s">
        <v>7852</v>
      </c>
      <c r="B1470" s="77" t="s">
        <v>7853</v>
      </c>
      <c r="C1470" s="77" t="s">
        <v>7786</v>
      </c>
      <c r="D1470" s="77" t="s">
        <v>7854</v>
      </c>
      <c r="E1470" s="77" t="s">
        <v>398</v>
      </c>
      <c r="F1470" s="77" t="s">
        <v>6049</v>
      </c>
      <c r="G1470" s="77" t="s">
        <v>7903</v>
      </c>
      <c r="H1470" s="78" t="s">
        <v>7867</v>
      </c>
      <c r="I1470" s="77" t="s">
        <v>5826</v>
      </c>
      <c r="J1470" s="77" t="s">
        <v>4404</v>
      </c>
      <c r="K1470" s="77" t="s">
        <v>4480</v>
      </c>
      <c r="M1470" s="79"/>
      <c r="N1470" s="79"/>
      <c r="O1470" s="111" t="s">
        <v>7908</v>
      </c>
      <c r="P1470" s="80"/>
      <c r="R1470" s="77" t="s">
        <v>7909</v>
      </c>
      <c r="X1470" s="81">
        <v>43.567100000000003</v>
      </c>
      <c r="Y1470" s="81">
        <v>-115.9644</v>
      </c>
      <c r="Z1470" s="79">
        <v>1355</v>
      </c>
      <c r="AA1470" s="141"/>
      <c r="AB1470" s="141"/>
    </row>
    <row r="1471" spans="1:28" s="77" customFormat="1" ht="21.75" customHeight="1" x14ac:dyDescent="0.2">
      <c r="A1471" s="77" t="s">
        <v>7852</v>
      </c>
      <c r="B1471" s="77" t="s">
        <v>7853</v>
      </c>
      <c r="C1471" s="77" t="s">
        <v>7786</v>
      </c>
      <c r="D1471" s="77" t="s">
        <v>7854</v>
      </c>
      <c r="E1471" s="77" t="s">
        <v>398</v>
      </c>
      <c r="F1471" s="77" t="s">
        <v>6049</v>
      </c>
      <c r="G1471" s="77" t="s">
        <v>7904</v>
      </c>
      <c r="H1471" s="78" t="s">
        <v>7868</v>
      </c>
      <c r="I1471" s="77" t="s">
        <v>5826</v>
      </c>
      <c r="J1471" s="77" t="s">
        <v>4404</v>
      </c>
      <c r="K1471" s="77" t="s">
        <v>4480</v>
      </c>
      <c r="M1471" s="79"/>
      <c r="N1471" s="79"/>
      <c r="O1471" s="111" t="s">
        <v>7908</v>
      </c>
      <c r="P1471" s="80"/>
      <c r="R1471" s="77" t="s">
        <v>7909</v>
      </c>
      <c r="X1471" s="81">
        <v>43.567100000000003</v>
      </c>
      <c r="Y1471" s="81">
        <v>-115.9644</v>
      </c>
      <c r="Z1471" s="79">
        <v>1355</v>
      </c>
      <c r="AA1471" s="141"/>
      <c r="AB1471" s="142"/>
    </row>
    <row r="1472" spans="1:28" s="8" customFormat="1" ht="21.75" customHeight="1" x14ac:dyDescent="0.2">
      <c r="A1472" s="8" t="s">
        <v>5322</v>
      </c>
      <c r="B1472" s="8" t="s">
        <v>5323</v>
      </c>
      <c r="C1472" s="8" t="s">
        <v>1720</v>
      </c>
      <c r="D1472" s="8" t="s">
        <v>5410</v>
      </c>
      <c r="E1472" s="8" t="s">
        <v>398</v>
      </c>
      <c r="F1472" s="8" t="s">
        <v>217</v>
      </c>
      <c r="G1472" s="8" t="s">
        <v>5411</v>
      </c>
      <c r="H1472" s="3" t="s">
        <v>5327</v>
      </c>
      <c r="I1472" s="8">
        <v>1.45</v>
      </c>
      <c r="J1472" s="8" t="s">
        <v>4367</v>
      </c>
      <c r="K1472" s="8" t="s">
        <v>4410</v>
      </c>
      <c r="M1472" s="14"/>
      <c r="N1472" s="14"/>
      <c r="O1472" s="110" t="s">
        <v>5330</v>
      </c>
      <c r="P1472" s="4"/>
      <c r="R1472" s="8" t="s">
        <v>5331</v>
      </c>
      <c r="W1472" s="8" t="s">
        <v>5419</v>
      </c>
      <c r="X1472" s="13">
        <v>40.075800000000001</v>
      </c>
      <c r="Y1472" s="13">
        <v>-88.235900000000001</v>
      </c>
      <c r="Z1472" s="14">
        <v>220</v>
      </c>
      <c r="AA1472" s="22" t="s">
        <v>5412</v>
      </c>
      <c r="AB1472" s="22" t="s">
        <v>5415</v>
      </c>
    </row>
    <row r="1473" spans="1:28" s="8" customFormat="1" ht="21.75" customHeight="1" x14ac:dyDescent="0.2">
      <c r="A1473" s="8" t="s">
        <v>5322</v>
      </c>
      <c r="B1473" s="8" t="s">
        <v>5323</v>
      </c>
      <c r="C1473" s="8" t="s">
        <v>1720</v>
      </c>
      <c r="D1473" s="8" t="s">
        <v>5410</v>
      </c>
      <c r="E1473" s="8" t="s">
        <v>398</v>
      </c>
      <c r="F1473" s="8" t="s">
        <v>217</v>
      </c>
      <c r="G1473" s="8" t="s">
        <v>5403</v>
      </c>
      <c r="H1473" s="3" t="s">
        <v>5328</v>
      </c>
      <c r="I1473" s="8">
        <v>1.8</v>
      </c>
      <c r="J1473" s="8" t="s">
        <v>4367</v>
      </c>
      <c r="K1473" s="8" t="s">
        <v>4410</v>
      </c>
      <c r="M1473" s="14"/>
      <c r="N1473" s="14"/>
      <c r="O1473" s="110" t="s">
        <v>5330</v>
      </c>
      <c r="P1473" s="4"/>
      <c r="R1473" s="8" t="s">
        <v>5331</v>
      </c>
      <c r="W1473" s="8" t="s">
        <v>5419</v>
      </c>
      <c r="X1473" s="13">
        <v>40.075800000000001</v>
      </c>
      <c r="Y1473" s="13">
        <v>-88.235900000000001</v>
      </c>
      <c r="Z1473" s="14">
        <v>220</v>
      </c>
      <c r="AA1473" s="22" t="s">
        <v>5404</v>
      </c>
      <c r="AB1473" s="22" t="s">
        <v>5416</v>
      </c>
    </row>
    <row r="1474" spans="1:28" s="8" customFormat="1" ht="21.75" customHeight="1" x14ac:dyDescent="0.2">
      <c r="A1474" s="8" t="s">
        <v>5322</v>
      </c>
      <c r="B1474" s="8" t="s">
        <v>5323</v>
      </c>
      <c r="C1474" s="8" t="s">
        <v>1720</v>
      </c>
      <c r="D1474" s="8" t="s">
        <v>5410</v>
      </c>
      <c r="E1474" s="8" t="s">
        <v>398</v>
      </c>
      <c r="F1474" s="8" t="s">
        <v>217</v>
      </c>
      <c r="G1474" s="8" t="s">
        <v>5384</v>
      </c>
      <c r="H1474" s="3" t="s">
        <v>5385</v>
      </c>
      <c r="I1474" s="8">
        <v>1.49</v>
      </c>
      <c r="J1474" s="8" t="s">
        <v>4367</v>
      </c>
      <c r="K1474" s="8" t="s">
        <v>4410</v>
      </c>
      <c r="M1474" s="14"/>
      <c r="N1474" s="14"/>
      <c r="O1474" s="110" t="s">
        <v>5330</v>
      </c>
      <c r="P1474" s="4"/>
      <c r="R1474" s="8" t="s">
        <v>5331</v>
      </c>
      <c r="W1474" s="8" t="s">
        <v>5419</v>
      </c>
      <c r="X1474" s="13">
        <v>40.075800000000001</v>
      </c>
      <c r="Y1474" s="13">
        <v>-88.235900000000001</v>
      </c>
      <c r="Z1474" s="14">
        <v>220</v>
      </c>
      <c r="AA1474" s="22" t="s">
        <v>5382</v>
      </c>
      <c r="AB1474" s="132" t="s">
        <v>5417</v>
      </c>
    </row>
    <row r="1475" spans="1:28" s="8" customFormat="1" ht="21.75" customHeight="1" x14ac:dyDescent="0.2">
      <c r="A1475" s="8" t="s">
        <v>5322</v>
      </c>
      <c r="B1475" s="8" t="s">
        <v>5323</v>
      </c>
      <c r="C1475" s="8" t="s">
        <v>1720</v>
      </c>
      <c r="D1475" s="8" t="s">
        <v>5410</v>
      </c>
      <c r="E1475" s="8" t="s">
        <v>398</v>
      </c>
      <c r="F1475" s="8" t="s">
        <v>217</v>
      </c>
      <c r="G1475" s="8" t="s">
        <v>5413</v>
      </c>
      <c r="H1475" s="3" t="s">
        <v>5329</v>
      </c>
      <c r="I1475" s="8">
        <v>0.88</v>
      </c>
      <c r="J1475" s="8" t="s">
        <v>4367</v>
      </c>
      <c r="K1475" s="8" t="s">
        <v>4410</v>
      </c>
      <c r="M1475" s="14"/>
      <c r="N1475" s="14"/>
      <c r="O1475" s="110" t="s">
        <v>5330</v>
      </c>
      <c r="P1475" s="4"/>
      <c r="R1475" s="8" t="s">
        <v>5331</v>
      </c>
      <c r="W1475" s="8" t="s">
        <v>5419</v>
      </c>
      <c r="X1475" s="13">
        <v>40.075800000000001</v>
      </c>
      <c r="Y1475" s="13">
        <v>-88.235900000000001</v>
      </c>
      <c r="Z1475" s="14">
        <v>220</v>
      </c>
      <c r="AA1475" s="22" t="s">
        <v>5414</v>
      </c>
      <c r="AB1475" s="137"/>
    </row>
    <row r="1476" spans="1:28" s="8" customFormat="1" ht="21.75" customHeight="1" x14ac:dyDescent="0.2">
      <c r="A1476" s="8" t="s">
        <v>5322</v>
      </c>
      <c r="B1476" s="8" t="s">
        <v>5323</v>
      </c>
      <c r="C1476" s="8" t="s">
        <v>1720</v>
      </c>
      <c r="D1476" s="8" t="s">
        <v>5410</v>
      </c>
      <c r="E1476" s="8" t="s">
        <v>398</v>
      </c>
      <c r="F1476" s="8" t="s">
        <v>217</v>
      </c>
      <c r="G1476" s="8" t="s">
        <v>5408</v>
      </c>
      <c r="H1476" s="3" t="s">
        <v>1440</v>
      </c>
      <c r="I1476" s="8">
        <v>1.33</v>
      </c>
      <c r="J1476" s="8" t="s">
        <v>4367</v>
      </c>
      <c r="K1476" s="8" t="s">
        <v>4410</v>
      </c>
      <c r="M1476" s="14"/>
      <c r="N1476" s="14"/>
      <c r="O1476" s="110" t="s">
        <v>5330</v>
      </c>
      <c r="P1476" s="4"/>
      <c r="R1476" s="8" t="s">
        <v>5331</v>
      </c>
      <c r="W1476" s="8" t="s">
        <v>5419</v>
      </c>
      <c r="X1476" s="13">
        <v>40.075800000000001</v>
      </c>
      <c r="Y1476" s="13">
        <v>-88.235900000000001</v>
      </c>
      <c r="Z1476" s="14">
        <v>220</v>
      </c>
      <c r="AA1476" s="22" t="s">
        <v>5409</v>
      </c>
      <c r="AB1476" s="137"/>
    </row>
    <row r="1477" spans="1:28" s="8" customFormat="1" ht="21.75" customHeight="1" x14ac:dyDescent="0.2">
      <c r="A1477" s="8" t="s">
        <v>5322</v>
      </c>
      <c r="B1477" s="8" t="s">
        <v>5323</v>
      </c>
      <c r="C1477" s="8" t="s">
        <v>1720</v>
      </c>
      <c r="D1477" s="8" t="s">
        <v>5410</v>
      </c>
      <c r="E1477" s="8" t="s">
        <v>398</v>
      </c>
      <c r="F1477" s="8" t="s">
        <v>217</v>
      </c>
      <c r="G1477" s="8" t="s">
        <v>5375</v>
      </c>
      <c r="H1477" s="3" t="s">
        <v>5343</v>
      </c>
      <c r="I1477" s="8">
        <v>1.51</v>
      </c>
      <c r="J1477" s="8" t="s">
        <v>4367</v>
      </c>
      <c r="K1477" s="8" t="s">
        <v>4410</v>
      </c>
      <c r="M1477" s="14"/>
      <c r="N1477" s="14"/>
      <c r="O1477" s="110" t="s">
        <v>5330</v>
      </c>
      <c r="P1477" s="4"/>
      <c r="R1477" s="8" t="s">
        <v>5331</v>
      </c>
      <c r="W1477" s="8" t="s">
        <v>5419</v>
      </c>
      <c r="X1477" s="13">
        <v>40.075800000000001</v>
      </c>
      <c r="Y1477" s="13">
        <v>-88.235900000000001</v>
      </c>
      <c r="Z1477" s="14">
        <v>220</v>
      </c>
      <c r="AA1477" s="22"/>
      <c r="AB1477" s="133"/>
    </row>
    <row r="1478" spans="1:28" s="8" customFormat="1" ht="21.75" customHeight="1" x14ac:dyDescent="0.2">
      <c r="A1478" s="8" t="s">
        <v>5322</v>
      </c>
      <c r="B1478" s="8" t="s">
        <v>5323</v>
      </c>
      <c r="C1478" s="8" t="s">
        <v>1720</v>
      </c>
      <c r="D1478" s="8" t="s">
        <v>5410</v>
      </c>
      <c r="E1478" s="8" t="s">
        <v>398</v>
      </c>
      <c r="F1478" s="8" t="s">
        <v>217</v>
      </c>
      <c r="G1478" s="8" t="s">
        <v>5397</v>
      </c>
      <c r="H1478" s="3" t="s">
        <v>5341</v>
      </c>
      <c r="I1478" s="8">
        <v>1.4</v>
      </c>
      <c r="J1478" s="8" t="s">
        <v>4367</v>
      </c>
      <c r="K1478" s="8" t="s">
        <v>4410</v>
      </c>
      <c r="M1478" s="14"/>
      <c r="N1478" s="14"/>
      <c r="O1478" s="110" t="s">
        <v>5330</v>
      </c>
      <c r="P1478" s="4"/>
      <c r="R1478" s="8" t="s">
        <v>5331</v>
      </c>
      <c r="W1478" s="8" t="s">
        <v>5419</v>
      </c>
      <c r="X1478" s="13">
        <v>40.075800000000001</v>
      </c>
      <c r="Y1478" s="13">
        <v>-88.235900000000001</v>
      </c>
      <c r="Z1478" s="14">
        <v>220</v>
      </c>
      <c r="AA1478" s="22" t="s">
        <v>5398</v>
      </c>
      <c r="AB1478" s="22" t="s">
        <v>5399</v>
      </c>
    </row>
    <row r="1479" spans="1:28" s="8" customFormat="1" ht="21.75" customHeight="1" x14ac:dyDescent="0.2">
      <c r="A1479" s="8" t="s">
        <v>5322</v>
      </c>
      <c r="B1479" s="8" t="s">
        <v>5323</v>
      </c>
      <c r="C1479" s="8" t="s">
        <v>1720</v>
      </c>
      <c r="D1479" s="8" t="s">
        <v>5410</v>
      </c>
      <c r="E1479" s="8" t="s">
        <v>398</v>
      </c>
      <c r="F1479" s="8" t="s">
        <v>217</v>
      </c>
      <c r="G1479" s="8" t="s">
        <v>5400</v>
      </c>
      <c r="H1479" s="3" t="s">
        <v>5342</v>
      </c>
      <c r="I1479" s="8">
        <v>0.82</v>
      </c>
      <c r="J1479" s="8" t="s">
        <v>4367</v>
      </c>
      <c r="K1479" s="8" t="s">
        <v>4410</v>
      </c>
      <c r="M1479" s="14"/>
      <c r="N1479" s="14"/>
      <c r="O1479" s="110" t="s">
        <v>5330</v>
      </c>
      <c r="P1479" s="4"/>
      <c r="R1479" s="8" t="s">
        <v>5331</v>
      </c>
      <c r="W1479" s="8" t="s">
        <v>5419</v>
      </c>
      <c r="X1479" s="13">
        <v>40.075800000000001</v>
      </c>
      <c r="Y1479" s="13">
        <v>-88.235900000000001</v>
      </c>
      <c r="Z1479" s="14">
        <v>220</v>
      </c>
      <c r="AA1479" s="22" t="s">
        <v>5401</v>
      </c>
      <c r="AB1479" s="22"/>
    </row>
    <row r="1480" spans="1:28" s="8" customFormat="1" ht="21.75" customHeight="1" x14ac:dyDescent="0.2">
      <c r="A1480" s="8" t="s">
        <v>5322</v>
      </c>
      <c r="B1480" s="8" t="s">
        <v>5323</v>
      </c>
      <c r="C1480" s="8" t="s">
        <v>1720</v>
      </c>
      <c r="D1480" s="8" t="s">
        <v>5324</v>
      </c>
      <c r="E1480" s="8" t="s">
        <v>398</v>
      </c>
      <c r="F1480" s="8" t="s">
        <v>62</v>
      </c>
      <c r="G1480" s="8" t="s">
        <v>1388</v>
      </c>
      <c r="H1480" s="3" t="s">
        <v>1386</v>
      </c>
      <c r="I1480" s="8">
        <v>1.17</v>
      </c>
      <c r="J1480" s="8" t="s">
        <v>4367</v>
      </c>
      <c r="K1480" s="8" t="s">
        <v>4410</v>
      </c>
      <c r="M1480" s="14"/>
      <c r="N1480" s="14"/>
      <c r="O1480" s="110" t="s">
        <v>5334</v>
      </c>
      <c r="P1480" s="4" t="s">
        <v>5333</v>
      </c>
      <c r="Q1480" s="8">
        <v>1.25</v>
      </c>
      <c r="R1480" s="8" t="s">
        <v>5332</v>
      </c>
      <c r="W1480" s="8" t="s">
        <v>5419</v>
      </c>
      <c r="X1480" s="13">
        <v>40.332299999999996</v>
      </c>
      <c r="Y1480" s="13">
        <v>-88.143799999999999</v>
      </c>
      <c r="Z1480" s="14">
        <v>223</v>
      </c>
      <c r="AA1480" s="22" t="s">
        <v>5362</v>
      </c>
      <c r="AB1480" s="22"/>
    </row>
    <row r="1481" spans="1:28" s="8" customFormat="1" ht="21.75" customHeight="1" x14ac:dyDescent="0.2">
      <c r="A1481" s="8" t="s">
        <v>5322</v>
      </c>
      <c r="B1481" s="8" t="s">
        <v>5323</v>
      </c>
      <c r="C1481" s="8" t="s">
        <v>1720</v>
      </c>
      <c r="D1481" s="8" t="s">
        <v>5324</v>
      </c>
      <c r="E1481" s="8" t="s">
        <v>398</v>
      </c>
      <c r="F1481" s="8" t="s">
        <v>217</v>
      </c>
      <c r="G1481" s="8" t="s">
        <v>5395</v>
      </c>
      <c r="H1481" s="3" t="s">
        <v>5344</v>
      </c>
      <c r="I1481" s="8">
        <v>1.79</v>
      </c>
      <c r="J1481" s="8" t="s">
        <v>4367</v>
      </c>
      <c r="K1481" s="8" t="s">
        <v>4410</v>
      </c>
      <c r="M1481" s="14"/>
      <c r="N1481" s="14"/>
      <c r="O1481" s="110" t="s">
        <v>5334</v>
      </c>
      <c r="P1481" s="4" t="s">
        <v>5333</v>
      </c>
      <c r="Q1481" s="8">
        <v>1.25</v>
      </c>
      <c r="R1481" s="8" t="s">
        <v>5332</v>
      </c>
      <c r="W1481" s="8" t="s">
        <v>5419</v>
      </c>
      <c r="X1481" s="13">
        <v>40.332299999999996</v>
      </c>
      <c r="Y1481" s="13">
        <v>-88.143799999999999</v>
      </c>
      <c r="Z1481" s="14">
        <v>223</v>
      </c>
      <c r="AA1481" s="22" t="s">
        <v>5396</v>
      </c>
      <c r="AB1481" s="22"/>
    </row>
    <row r="1482" spans="1:28" s="8" customFormat="1" ht="21.75" customHeight="1" x14ac:dyDescent="0.2">
      <c r="A1482" s="8" t="s">
        <v>5322</v>
      </c>
      <c r="B1482" s="8" t="s">
        <v>5323</v>
      </c>
      <c r="C1482" s="8" t="s">
        <v>1720</v>
      </c>
      <c r="D1482" s="8" t="s">
        <v>5324</v>
      </c>
      <c r="E1482" s="8" t="s">
        <v>398</v>
      </c>
      <c r="F1482" s="8" t="s">
        <v>217</v>
      </c>
      <c r="G1482" s="8" t="s">
        <v>5400</v>
      </c>
      <c r="H1482" s="3" t="s">
        <v>5342</v>
      </c>
      <c r="I1482" s="8">
        <v>1.71</v>
      </c>
      <c r="J1482" s="8" t="s">
        <v>4367</v>
      </c>
      <c r="K1482" s="8" t="s">
        <v>4410</v>
      </c>
      <c r="M1482" s="14"/>
      <c r="N1482" s="14"/>
      <c r="O1482" s="110" t="s">
        <v>5334</v>
      </c>
      <c r="P1482" s="4" t="s">
        <v>5333</v>
      </c>
      <c r="Q1482" s="8">
        <v>1.25</v>
      </c>
      <c r="R1482" s="8" t="s">
        <v>5332</v>
      </c>
      <c r="W1482" s="8" t="s">
        <v>5419</v>
      </c>
      <c r="X1482" s="13">
        <v>40.332299999999996</v>
      </c>
      <c r="Y1482" s="13">
        <v>-88.143799999999999</v>
      </c>
      <c r="Z1482" s="14">
        <v>223</v>
      </c>
      <c r="AA1482" s="22" t="s">
        <v>5402</v>
      </c>
      <c r="AB1482" s="22"/>
    </row>
    <row r="1483" spans="1:28" s="8" customFormat="1" ht="21.75" customHeight="1" x14ac:dyDescent="0.2">
      <c r="A1483" s="8" t="s">
        <v>5322</v>
      </c>
      <c r="B1483" s="8" t="s">
        <v>5323</v>
      </c>
      <c r="C1483" s="8" t="s">
        <v>1720</v>
      </c>
      <c r="D1483" s="8" t="s">
        <v>5324</v>
      </c>
      <c r="E1483" s="8" t="s">
        <v>398</v>
      </c>
      <c r="F1483" s="8" t="s">
        <v>217</v>
      </c>
      <c r="G1483" s="8" t="s">
        <v>5370</v>
      </c>
      <c r="H1483" s="3" t="s">
        <v>5345</v>
      </c>
      <c r="I1483" s="8">
        <v>1.56</v>
      </c>
      <c r="J1483" s="8" t="s">
        <v>4367</v>
      </c>
      <c r="K1483" s="8" t="s">
        <v>4410</v>
      </c>
      <c r="M1483" s="14"/>
      <c r="N1483" s="14"/>
      <c r="O1483" s="110" t="s">
        <v>5334</v>
      </c>
      <c r="P1483" s="4" t="s">
        <v>5333</v>
      </c>
      <c r="Q1483" s="8">
        <v>1.25</v>
      </c>
      <c r="R1483" s="8" t="s">
        <v>5332</v>
      </c>
      <c r="W1483" s="8" t="s">
        <v>5419</v>
      </c>
      <c r="X1483" s="13">
        <v>40.332299999999996</v>
      </c>
      <c r="Y1483" s="13">
        <v>-88.143799999999999</v>
      </c>
      <c r="Z1483" s="14">
        <v>223</v>
      </c>
      <c r="AA1483" s="22" t="s">
        <v>5371</v>
      </c>
      <c r="AB1483" s="22"/>
    </row>
    <row r="1484" spans="1:28" s="8" customFormat="1" ht="21.75" customHeight="1" x14ac:dyDescent="0.2">
      <c r="A1484" s="8" t="s">
        <v>5322</v>
      </c>
      <c r="B1484" s="8" t="s">
        <v>5323</v>
      </c>
      <c r="C1484" s="8" t="s">
        <v>1720</v>
      </c>
      <c r="D1484" s="8" t="s">
        <v>5324</v>
      </c>
      <c r="E1484" s="8" t="s">
        <v>398</v>
      </c>
      <c r="F1484" s="8" t="s">
        <v>1557</v>
      </c>
      <c r="G1484" s="8" t="s">
        <v>5367</v>
      </c>
      <c r="H1484" s="3" t="s">
        <v>5346</v>
      </c>
      <c r="I1484" s="8">
        <v>1.03</v>
      </c>
      <c r="J1484" s="8" t="s">
        <v>4367</v>
      </c>
      <c r="K1484" s="8" t="s">
        <v>4410</v>
      </c>
      <c r="M1484" s="14"/>
      <c r="N1484" s="14"/>
      <c r="O1484" s="110" t="s">
        <v>5334</v>
      </c>
      <c r="P1484" s="4" t="s">
        <v>5333</v>
      </c>
      <c r="Q1484" s="8">
        <v>1.25</v>
      </c>
      <c r="R1484" s="8" t="s">
        <v>5332</v>
      </c>
      <c r="W1484" s="8" t="s">
        <v>5419</v>
      </c>
      <c r="X1484" s="13">
        <v>40.332299999999996</v>
      </c>
      <c r="Y1484" s="13">
        <v>-88.143799999999999</v>
      </c>
      <c r="Z1484" s="14">
        <v>223</v>
      </c>
      <c r="AA1484" s="22" t="s">
        <v>5369</v>
      </c>
      <c r="AB1484" s="22"/>
    </row>
    <row r="1485" spans="1:28" s="8" customFormat="1" ht="21.75" customHeight="1" x14ac:dyDescent="0.2">
      <c r="A1485" s="8" t="s">
        <v>5322</v>
      </c>
      <c r="B1485" s="8" t="s">
        <v>5323</v>
      </c>
      <c r="C1485" s="8" t="s">
        <v>1720</v>
      </c>
      <c r="D1485" s="8" t="s">
        <v>5324</v>
      </c>
      <c r="E1485" s="8" t="s">
        <v>398</v>
      </c>
      <c r="F1485" s="8" t="s">
        <v>62</v>
      </c>
      <c r="G1485" s="8" t="s">
        <v>5360</v>
      </c>
      <c r="H1485" s="3" t="s">
        <v>1373</v>
      </c>
      <c r="I1485" s="8">
        <v>1.18</v>
      </c>
      <c r="J1485" s="8" t="s">
        <v>4367</v>
      </c>
      <c r="K1485" s="8" t="s">
        <v>4410</v>
      </c>
      <c r="M1485" s="14"/>
      <c r="N1485" s="14"/>
      <c r="O1485" s="110" t="s">
        <v>5334</v>
      </c>
      <c r="P1485" s="4" t="s">
        <v>5333</v>
      </c>
      <c r="Q1485" s="8">
        <v>1.25</v>
      </c>
      <c r="R1485" s="8" t="s">
        <v>5332</v>
      </c>
      <c r="W1485" s="8" t="s">
        <v>5419</v>
      </c>
      <c r="X1485" s="13">
        <v>40.332299999999996</v>
      </c>
      <c r="Y1485" s="13">
        <v>-88.143799999999999</v>
      </c>
      <c r="Z1485" s="14">
        <v>223</v>
      </c>
      <c r="AA1485" s="22" t="s">
        <v>5368</v>
      </c>
      <c r="AB1485" s="22"/>
    </row>
    <row r="1486" spans="1:28" s="8" customFormat="1" ht="21.75" customHeight="1" x14ac:dyDescent="0.2">
      <c r="A1486" s="8" t="s">
        <v>5322</v>
      </c>
      <c r="B1486" s="8" t="s">
        <v>5323</v>
      </c>
      <c r="C1486" s="8" t="s">
        <v>1720</v>
      </c>
      <c r="D1486" s="8" t="s">
        <v>5324</v>
      </c>
      <c r="E1486" s="8" t="s">
        <v>398</v>
      </c>
      <c r="F1486" s="8" t="s">
        <v>217</v>
      </c>
      <c r="G1486" s="8" t="s">
        <v>5388</v>
      </c>
      <c r="H1486" s="3" t="s">
        <v>1424</v>
      </c>
      <c r="I1486" s="8">
        <v>1.02</v>
      </c>
      <c r="J1486" s="8" t="s">
        <v>4367</v>
      </c>
      <c r="K1486" s="8" t="s">
        <v>4410</v>
      </c>
      <c r="M1486" s="14"/>
      <c r="N1486" s="14"/>
      <c r="O1486" s="110" t="s">
        <v>5334</v>
      </c>
      <c r="P1486" s="4" t="s">
        <v>5333</v>
      </c>
      <c r="Q1486" s="8">
        <v>1.25</v>
      </c>
      <c r="R1486" s="8" t="s">
        <v>5332</v>
      </c>
      <c r="W1486" s="8" t="s">
        <v>5419</v>
      </c>
      <c r="X1486" s="13">
        <v>40.332299999999996</v>
      </c>
      <c r="Y1486" s="13">
        <v>-88.143799999999999</v>
      </c>
      <c r="Z1486" s="14">
        <v>223</v>
      </c>
      <c r="AA1486" s="22" t="s">
        <v>5389</v>
      </c>
      <c r="AB1486" s="22"/>
    </row>
    <row r="1487" spans="1:28" s="8" customFormat="1" ht="21.75" customHeight="1" x14ac:dyDescent="0.2">
      <c r="A1487" s="8" t="s">
        <v>5322</v>
      </c>
      <c r="B1487" s="8" t="s">
        <v>5323</v>
      </c>
      <c r="C1487" s="8" t="s">
        <v>1720</v>
      </c>
      <c r="D1487" s="8" t="s">
        <v>5324</v>
      </c>
      <c r="E1487" s="8" t="s">
        <v>398</v>
      </c>
      <c r="F1487" s="8" t="s">
        <v>217</v>
      </c>
      <c r="G1487" s="8" t="s">
        <v>5394</v>
      </c>
      <c r="H1487" s="3" t="s">
        <v>5347</v>
      </c>
      <c r="I1487" s="8">
        <v>0.72</v>
      </c>
      <c r="J1487" s="8" t="s">
        <v>4367</v>
      </c>
      <c r="K1487" s="8" t="s">
        <v>4410</v>
      </c>
      <c r="M1487" s="14"/>
      <c r="N1487" s="14"/>
      <c r="O1487" s="110" t="s">
        <v>5334</v>
      </c>
      <c r="P1487" s="4" t="s">
        <v>5333</v>
      </c>
      <c r="Q1487" s="8">
        <v>1.25</v>
      </c>
      <c r="R1487" s="8" t="s">
        <v>5332</v>
      </c>
      <c r="W1487" s="8" t="s">
        <v>5419</v>
      </c>
      <c r="X1487" s="13">
        <v>40.332299999999996</v>
      </c>
      <c r="Y1487" s="13">
        <v>-88.143799999999999</v>
      </c>
      <c r="Z1487" s="14">
        <v>223</v>
      </c>
      <c r="AA1487" s="22" t="s">
        <v>5393</v>
      </c>
      <c r="AB1487" s="22"/>
    </row>
    <row r="1488" spans="1:28" s="8" customFormat="1" ht="21.75" customHeight="1" x14ac:dyDescent="0.2">
      <c r="A1488" s="8" t="s">
        <v>5322</v>
      </c>
      <c r="B1488" s="8" t="s">
        <v>5323</v>
      </c>
      <c r="C1488" s="8" t="s">
        <v>1720</v>
      </c>
      <c r="D1488" s="8" t="s">
        <v>5324</v>
      </c>
      <c r="E1488" s="8" t="s">
        <v>398</v>
      </c>
      <c r="F1488" s="8" t="s">
        <v>217</v>
      </c>
      <c r="G1488" s="8" t="s">
        <v>5384</v>
      </c>
      <c r="H1488" s="3" t="s">
        <v>5385</v>
      </c>
      <c r="I1488" s="8">
        <v>1.1000000000000001</v>
      </c>
      <c r="J1488" s="8" t="s">
        <v>4367</v>
      </c>
      <c r="K1488" s="8" t="s">
        <v>4410</v>
      </c>
      <c r="M1488" s="14"/>
      <c r="N1488" s="14"/>
      <c r="O1488" s="110" t="s">
        <v>5334</v>
      </c>
      <c r="P1488" s="4" t="s">
        <v>5333</v>
      </c>
      <c r="Q1488" s="8">
        <v>1.25</v>
      </c>
      <c r="R1488" s="8" t="s">
        <v>5332</v>
      </c>
      <c r="W1488" s="8" t="s">
        <v>5419</v>
      </c>
      <c r="X1488" s="13">
        <v>40.332299999999996</v>
      </c>
      <c r="Y1488" s="13">
        <v>-88.143799999999999</v>
      </c>
      <c r="Z1488" s="14">
        <v>223</v>
      </c>
      <c r="AA1488" s="22" t="s">
        <v>5383</v>
      </c>
      <c r="AB1488" s="22"/>
    </row>
    <row r="1489" spans="1:28" s="8" customFormat="1" ht="21.75" customHeight="1" x14ac:dyDescent="0.2">
      <c r="A1489" s="8" t="s">
        <v>5322</v>
      </c>
      <c r="B1489" s="8" t="s">
        <v>5323</v>
      </c>
      <c r="C1489" s="8" t="s">
        <v>1720</v>
      </c>
      <c r="D1489" s="8" t="s">
        <v>5348</v>
      </c>
      <c r="E1489" s="8" t="s">
        <v>398</v>
      </c>
      <c r="F1489" s="8" t="s">
        <v>217</v>
      </c>
      <c r="G1489" s="8" t="s">
        <v>5380</v>
      </c>
      <c r="H1489" s="3" t="s">
        <v>5349</v>
      </c>
      <c r="I1489" s="8">
        <v>1.17</v>
      </c>
      <c r="J1489" s="8" t="s">
        <v>4367</v>
      </c>
      <c r="K1489" s="8" t="s">
        <v>4410</v>
      </c>
      <c r="M1489" s="14"/>
      <c r="N1489" s="14"/>
      <c r="O1489" s="110" t="s">
        <v>5335</v>
      </c>
      <c r="P1489" s="4"/>
      <c r="R1489" s="8" t="s">
        <v>5338</v>
      </c>
      <c r="W1489" s="8" t="s">
        <v>5419</v>
      </c>
      <c r="X1489" s="13">
        <v>29.555900000000001</v>
      </c>
      <c r="Y1489" s="13">
        <v>-87.979699999999994</v>
      </c>
      <c r="Z1489" s="14">
        <v>214</v>
      </c>
      <c r="AA1489" s="22" t="s">
        <v>5381</v>
      </c>
      <c r="AB1489" s="22"/>
    </row>
    <row r="1490" spans="1:28" s="8" customFormat="1" ht="21.75" customHeight="1" x14ac:dyDescent="0.2">
      <c r="A1490" s="8" t="s">
        <v>5322</v>
      </c>
      <c r="B1490" s="8" t="s">
        <v>5323</v>
      </c>
      <c r="C1490" s="8" t="s">
        <v>1720</v>
      </c>
      <c r="D1490" s="8" t="s">
        <v>5348</v>
      </c>
      <c r="E1490" s="8" t="s">
        <v>398</v>
      </c>
      <c r="F1490" s="8" t="s">
        <v>62</v>
      </c>
      <c r="G1490" s="8" t="s">
        <v>5360</v>
      </c>
      <c r="H1490" s="3" t="s">
        <v>1373</v>
      </c>
      <c r="I1490" s="8">
        <v>1.1299999999999999</v>
      </c>
      <c r="J1490" s="8" t="s">
        <v>4367</v>
      </c>
      <c r="K1490" s="8" t="s">
        <v>4410</v>
      </c>
      <c r="M1490" s="14"/>
      <c r="N1490" s="14"/>
      <c r="O1490" s="110" t="s">
        <v>5335</v>
      </c>
      <c r="P1490" s="4"/>
      <c r="R1490" s="8" t="s">
        <v>5338</v>
      </c>
      <c r="W1490" s="8" t="s">
        <v>5419</v>
      </c>
      <c r="X1490" s="13">
        <v>29.555900000000001</v>
      </c>
      <c r="Y1490" s="13">
        <v>-87.979699999999994</v>
      </c>
      <c r="Z1490" s="14">
        <v>214</v>
      </c>
      <c r="AA1490" s="22"/>
      <c r="AB1490" s="22"/>
    </row>
    <row r="1491" spans="1:28" s="8" customFormat="1" ht="21.75" customHeight="1" x14ac:dyDescent="0.2">
      <c r="A1491" s="8" t="s">
        <v>5322</v>
      </c>
      <c r="B1491" s="8" t="s">
        <v>5323</v>
      </c>
      <c r="C1491" s="8" t="s">
        <v>1720</v>
      </c>
      <c r="D1491" s="8" t="s">
        <v>5348</v>
      </c>
      <c r="E1491" s="8" t="s">
        <v>398</v>
      </c>
      <c r="F1491" s="8" t="s">
        <v>62</v>
      </c>
      <c r="G1491" s="8" t="s">
        <v>5372</v>
      </c>
      <c r="H1491" s="3" t="s">
        <v>5350</v>
      </c>
      <c r="I1491" s="8">
        <v>0.17</v>
      </c>
      <c r="J1491" s="8" t="s">
        <v>4367</v>
      </c>
      <c r="K1491" s="8" t="s">
        <v>4410</v>
      </c>
      <c r="M1491" s="14"/>
      <c r="N1491" s="14"/>
      <c r="O1491" s="110" t="s">
        <v>5335</v>
      </c>
      <c r="P1491" s="4"/>
      <c r="R1491" s="8" t="s">
        <v>5338</v>
      </c>
      <c r="W1491" s="8" t="s">
        <v>5419</v>
      </c>
      <c r="X1491" s="13">
        <v>29.555900000000001</v>
      </c>
      <c r="Y1491" s="13">
        <v>-87.979699999999994</v>
      </c>
      <c r="Z1491" s="14">
        <v>214</v>
      </c>
      <c r="AA1491" s="22" t="s">
        <v>5373</v>
      </c>
      <c r="AB1491" s="22"/>
    </row>
    <row r="1492" spans="1:28" s="8" customFormat="1" ht="21.75" customHeight="1" x14ac:dyDescent="0.2">
      <c r="A1492" s="8" t="s">
        <v>5322</v>
      </c>
      <c r="B1492" s="8" t="s">
        <v>5323</v>
      </c>
      <c r="C1492" s="8" t="s">
        <v>1720</v>
      </c>
      <c r="D1492" s="8" t="s">
        <v>5348</v>
      </c>
      <c r="E1492" s="8" t="s">
        <v>398</v>
      </c>
      <c r="F1492" s="8" t="s">
        <v>217</v>
      </c>
      <c r="G1492" s="8" t="s">
        <v>5386</v>
      </c>
      <c r="H1492" s="3" t="s">
        <v>5351</v>
      </c>
      <c r="I1492" s="8">
        <v>0.93</v>
      </c>
      <c r="J1492" s="8" t="s">
        <v>4367</v>
      </c>
      <c r="K1492" s="8" t="s">
        <v>4410</v>
      </c>
      <c r="M1492" s="14"/>
      <c r="N1492" s="14"/>
      <c r="O1492" s="110" t="s">
        <v>5335</v>
      </c>
      <c r="P1492" s="4"/>
      <c r="R1492" s="8" t="s">
        <v>5338</v>
      </c>
      <c r="W1492" s="8" t="s">
        <v>5419</v>
      </c>
      <c r="X1492" s="13">
        <v>29.555900000000001</v>
      </c>
      <c r="Y1492" s="13">
        <v>-87.979699999999994</v>
      </c>
      <c r="Z1492" s="14">
        <v>214</v>
      </c>
      <c r="AA1492" s="22" t="s">
        <v>5387</v>
      </c>
      <c r="AB1492" s="22"/>
    </row>
    <row r="1493" spans="1:28" s="8" customFormat="1" ht="21.75" customHeight="1" x14ac:dyDescent="0.2">
      <c r="A1493" s="8" t="s">
        <v>5322</v>
      </c>
      <c r="B1493" s="8" t="s">
        <v>5323</v>
      </c>
      <c r="C1493" s="8" t="s">
        <v>1720</v>
      </c>
      <c r="D1493" s="8" t="s">
        <v>5348</v>
      </c>
      <c r="E1493" s="8" t="s">
        <v>398</v>
      </c>
      <c r="F1493" s="8" t="s">
        <v>217</v>
      </c>
      <c r="G1493" s="8" t="s">
        <v>5374</v>
      </c>
      <c r="H1493" s="3" t="s">
        <v>5353</v>
      </c>
      <c r="I1493" s="8">
        <v>1.3</v>
      </c>
      <c r="J1493" s="8" t="s">
        <v>4367</v>
      </c>
      <c r="K1493" s="8" t="s">
        <v>4410</v>
      </c>
      <c r="M1493" s="14"/>
      <c r="N1493" s="14"/>
      <c r="O1493" s="110" t="s">
        <v>5335</v>
      </c>
      <c r="P1493" s="4"/>
      <c r="R1493" s="8" t="s">
        <v>5338</v>
      </c>
      <c r="W1493" s="8" t="s">
        <v>5419</v>
      </c>
      <c r="X1493" s="13">
        <v>29.555900000000001</v>
      </c>
      <c r="Y1493" s="13">
        <v>-87.979699999999994</v>
      </c>
      <c r="Z1493" s="14">
        <v>214</v>
      </c>
      <c r="AA1493" s="22"/>
      <c r="AB1493" s="22"/>
    </row>
    <row r="1494" spans="1:28" s="8" customFormat="1" ht="21.75" customHeight="1" x14ac:dyDescent="0.2">
      <c r="A1494" s="8" t="s">
        <v>5322</v>
      </c>
      <c r="B1494" s="8" t="s">
        <v>5323</v>
      </c>
      <c r="C1494" s="8" t="s">
        <v>1720</v>
      </c>
      <c r="D1494" s="8" t="s">
        <v>5348</v>
      </c>
      <c r="E1494" s="8" t="s">
        <v>398</v>
      </c>
      <c r="F1494" s="8" t="s">
        <v>217</v>
      </c>
      <c r="G1494" s="8" t="s">
        <v>5388</v>
      </c>
      <c r="H1494" s="3" t="s">
        <v>1424</v>
      </c>
      <c r="I1494" s="8">
        <v>1.4</v>
      </c>
      <c r="J1494" s="8" t="s">
        <v>4367</v>
      </c>
      <c r="K1494" s="8" t="s">
        <v>4410</v>
      </c>
      <c r="M1494" s="14"/>
      <c r="N1494" s="14"/>
      <c r="O1494" s="110" t="s">
        <v>5335</v>
      </c>
      <c r="P1494" s="4"/>
      <c r="R1494" s="8" t="s">
        <v>5338</v>
      </c>
      <c r="W1494" s="8" t="s">
        <v>5419</v>
      </c>
      <c r="X1494" s="13">
        <v>29.555900000000001</v>
      </c>
      <c r="Y1494" s="13">
        <v>-87.979699999999994</v>
      </c>
      <c r="Z1494" s="14">
        <v>214</v>
      </c>
      <c r="AA1494" s="22" t="s">
        <v>5390</v>
      </c>
      <c r="AB1494" s="22"/>
    </row>
    <row r="1495" spans="1:28" s="8" customFormat="1" ht="21.75" customHeight="1" x14ac:dyDescent="0.2">
      <c r="A1495" s="8" t="s">
        <v>5322</v>
      </c>
      <c r="B1495" s="8" t="s">
        <v>5323</v>
      </c>
      <c r="C1495" s="8" t="s">
        <v>1720</v>
      </c>
      <c r="D1495" s="8" t="s">
        <v>5325</v>
      </c>
      <c r="E1495" s="8" t="s">
        <v>398</v>
      </c>
      <c r="F1495" s="8" t="s">
        <v>62</v>
      </c>
      <c r="G1495" s="8" t="s">
        <v>5364</v>
      </c>
      <c r="H1495" s="3" t="s">
        <v>5352</v>
      </c>
      <c r="I1495" s="8">
        <v>1.59</v>
      </c>
      <c r="J1495" s="8" t="s">
        <v>4367</v>
      </c>
      <c r="K1495" s="8" t="s">
        <v>4410</v>
      </c>
      <c r="M1495" s="14"/>
      <c r="N1495" s="14"/>
      <c r="O1495" s="110" t="s">
        <v>5336</v>
      </c>
      <c r="P1495" s="4"/>
      <c r="R1495" s="8" t="s">
        <v>5337</v>
      </c>
      <c r="W1495" s="8" t="s">
        <v>5419</v>
      </c>
      <c r="X1495" s="13">
        <v>39.948999999999998</v>
      </c>
      <c r="Y1495" s="13">
        <v>-89.0745</v>
      </c>
      <c r="Z1495" s="14">
        <v>189</v>
      </c>
      <c r="AA1495" s="22" t="s">
        <v>5365</v>
      </c>
      <c r="AB1495" s="22"/>
    </row>
    <row r="1496" spans="1:28" s="8" customFormat="1" ht="21.75" customHeight="1" x14ac:dyDescent="0.2">
      <c r="A1496" s="8" t="s">
        <v>5322</v>
      </c>
      <c r="B1496" s="8" t="s">
        <v>5323</v>
      </c>
      <c r="C1496" s="8" t="s">
        <v>1720</v>
      </c>
      <c r="D1496" s="8" t="s">
        <v>5325</v>
      </c>
      <c r="E1496" s="8" t="s">
        <v>398</v>
      </c>
      <c r="F1496" s="8" t="s">
        <v>217</v>
      </c>
      <c r="G1496" s="8" t="s">
        <v>5411</v>
      </c>
      <c r="H1496" s="3" t="s">
        <v>5327</v>
      </c>
      <c r="I1496" s="8">
        <v>0.75</v>
      </c>
      <c r="J1496" s="8" t="s">
        <v>4367</v>
      </c>
      <c r="K1496" s="8" t="s">
        <v>4410</v>
      </c>
      <c r="M1496" s="14"/>
      <c r="N1496" s="14"/>
      <c r="O1496" s="110" t="s">
        <v>5336</v>
      </c>
      <c r="P1496" s="4"/>
      <c r="R1496" s="8" t="s">
        <v>5337</v>
      </c>
      <c r="W1496" s="8" t="s">
        <v>5419</v>
      </c>
      <c r="X1496" s="13">
        <v>39.948999999999998</v>
      </c>
      <c r="Y1496" s="13">
        <v>-89.0745</v>
      </c>
      <c r="Z1496" s="14">
        <v>189</v>
      </c>
      <c r="AA1496" s="22"/>
      <c r="AB1496" s="22"/>
    </row>
    <row r="1497" spans="1:28" s="8" customFormat="1" ht="21.75" customHeight="1" x14ac:dyDescent="0.2">
      <c r="A1497" s="8" t="s">
        <v>5322</v>
      </c>
      <c r="B1497" s="8" t="s">
        <v>5323</v>
      </c>
      <c r="C1497" s="8" t="s">
        <v>1720</v>
      </c>
      <c r="D1497" s="8" t="s">
        <v>5325</v>
      </c>
      <c r="E1497" s="8" t="s">
        <v>398</v>
      </c>
      <c r="F1497" s="8" t="s">
        <v>62</v>
      </c>
      <c r="G1497" s="8" t="s">
        <v>5360</v>
      </c>
      <c r="H1497" s="3" t="s">
        <v>1373</v>
      </c>
      <c r="I1497" s="8">
        <v>1.77</v>
      </c>
      <c r="J1497" s="8" t="s">
        <v>4367</v>
      </c>
      <c r="K1497" s="8" t="s">
        <v>4410</v>
      </c>
      <c r="M1497" s="14"/>
      <c r="N1497" s="14"/>
      <c r="O1497" s="110" t="s">
        <v>5336</v>
      </c>
      <c r="P1497" s="4"/>
      <c r="R1497" s="8" t="s">
        <v>5337</v>
      </c>
      <c r="W1497" s="8" t="s">
        <v>5419</v>
      </c>
      <c r="X1497" s="13">
        <v>39.948999999999998</v>
      </c>
      <c r="Y1497" s="13">
        <v>-89.0745</v>
      </c>
      <c r="Z1497" s="14">
        <v>189</v>
      </c>
      <c r="AA1497" s="22"/>
      <c r="AB1497" s="22"/>
    </row>
    <row r="1498" spans="1:28" s="8" customFormat="1" ht="21.75" customHeight="1" x14ac:dyDescent="0.2">
      <c r="A1498" s="8" t="s">
        <v>5322</v>
      </c>
      <c r="B1498" s="8" t="s">
        <v>5323</v>
      </c>
      <c r="C1498" s="8" t="s">
        <v>1720</v>
      </c>
      <c r="D1498" s="8" t="s">
        <v>5326</v>
      </c>
      <c r="E1498" s="8" t="s">
        <v>398</v>
      </c>
      <c r="F1498" s="8" t="s">
        <v>217</v>
      </c>
      <c r="G1498" s="8" t="s">
        <v>5374</v>
      </c>
      <c r="H1498" s="3" t="s">
        <v>5353</v>
      </c>
      <c r="I1498" s="8">
        <v>1.75</v>
      </c>
      <c r="J1498" s="8" t="s">
        <v>4367</v>
      </c>
      <c r="K1498" s="8" t="s">
        <v>4410</v>
      </c>
      <c r="M1498" s="14"/>
      <c r="N1498" s="14"/>
      <c r="O1498" s="110" t="s">
        <v>5339</v>
      </c>
      <c r="P1498" s="4"/>
      <c r="Q1498" s="8">
        <v>3.3</v>
      </c>
      <c r="R1498" s="8" t="s">
        <v>5340</v>
      </c>
      <c r="W1498" s="8" t="s">
        <v>5419</v>
      </c>
      <c r="X1498" s="13">
        <v>40.223300000000002</v>
      </c>
      <c r="Y1498" s="13">
        <v>-89.9816</v>
      </c>
      <c r="Z1498" s="14">
        <v>162</v>
      </c>
      <c r="AA1498" s="22"/>
      <c r="AB1498" s="22"/>
    </row>
    <row r="1499" spans="1:28" s="8" customFormat="1" ht="21.75" customHeight="1" x14ac:dyDescent="0.2">
      <c r="A1499" s="8" t="s">
        <v>5322</v>
      </c>
      <c r="B1499" s="8" t="s">
        <v>5323</v>
      </c>
      <c r="C1499" s="8" t="s">
        <v>1720</v>
      </c>
      <c r="D1499" s="8" t="s">
        <v>5326</v>
      </c>
      <c r="E1499" s="8" t="s">
        <v>398</v>
      </c>
      <c r="F1499" s="8" t="s">
        <v>62</v>
      </c>
      <c r="G1499" s="8" t="s">
        <v>5366</v>
      </c>
      <c r="H1499" s="3" t="s">
        <v>5354</v>
      </c>
      <c r="I1499" s="8">
        <v>0.49</v>
      </c>
      <c r="J1499" s="8" t="s">
        <v>4367</v>
      </c>
      <c r="K1499" s="8" t="s">
        <v>4410</v>
      </c>
      <c r="M1499" s="14"/>
      <c r="N1499" s="14"/>
      <c r="O1499" s="110" t="s">
        <v>5339</v>
      </c>
      <c r="P1499" s="4"/>
      <c r="Q1499" s="8">
        <v>3.3</v>
      </c>
      <c r="R1499" s="8" t="s">
        <v>5340</v>
      </c>
      <c r="W1499" s="8" t="s">
        <v>5419</v>
      </c>
      <c r="X1499" s="13">
        <v>40.223300000000002</v>
      </c>
      <c r="Y1499" s="13">
        <v>-89.9816</v>
      </c>
      <c r="Z1499" s="14">
        <v>162</v>
      </c>
      <c r="AA1499" s="22" t="s">
        <v>5363</v>
      </c>
      <c r="AB1499" s="22"/>
    </row>
    <row r="1500" spans="1:28" s="8" customFormat="1" ht="21.75" customHeight="1" x14ac:dyDescent="0.2">
      <c r="A1500" s="8" t="s">
        <v>5322</v>
      </c>
      <c r="B1500" s="8" t="s">
        <v>5323</v>
      </c>
      <c r="C1500" s="8" t="s">
        <v>1720</v>
      </c>
      <c r="D1500" s="8" t="s">
        <v>5326</v>
      </c>
      <c r="E1500" s="8" t="s">
        <v>398</v>
      </c>
      <c r="F1500" s="8" t="s">
        <v>62</v>
      </c>
      <c r="G1500" s="8" t="s">
        <v>5358</v>
      </c>
      <c r="H1500" s="3" t="s">
        <v>1376</v>
      </c>
      <c r="I1500" s="8">
        <v>1.1200000000000001</v>
      </c>
      <c r="J1500" s="8" t="s">
        <v>4367</v>
      </c>
      <c r="K1500" s="8" t="s">
        <v>4410</v>
      </c>
      <c r="M1500" s="14"/>
      <c r="N1500" s="14"/>
      <c r="O1500" s="110" t="s">
        <v>5339</v>
      </c>
      <c r="P1500" s="4"/>
      <c r="Q1500" s="8">
        <v>3.3</v>
      </c>
      <c r="R1500" s="8" t="s">
        <v>5340</v>
      </c>
      <c r="W1500" s="8" t="s">
        <v>5419</v>
      </c>
      <c r="X1500" s="13">
        <v>40.223300000000002</v>
      </c>
      <c r="Y1500" s="13">
        <v>-89.9816</v>
      </c>
      <c r="Z1500" s="14">
        <v>162</v>
      </c>
      <c r="AA1500" s="22" t="s">
        <v>5359</v>
      </c>
      <c r="AB1500" s="22"/>
    </row>
    <row r="1501" spans="1:28" s="8" customFormat="1" ht="21.75" customHeight="1" x14ac:dyDescent="0.2">
      <c r="A1501" s="8" t="s">
        <v>5322</v>
      </c>
      <c r="B1501" s="8" t="s">
        <v>5323</v>
      </c>
      <c r="C1501" s="8" t="s">
        <v>1720</v>
      </c>
      <c r="D1501" s="8" t="s">
        <v>5326</v>
      </c>
      <c r="E1501" s="8" t="s">
        <v>398</v>
      </c>
      <c r="F1501" s="8" t="s">
        <v>62</v>
      </c>
      <c r="G1501" s="8" t="s">
        <v>5360</v>
      </c>
      <c r="H1501" s="3" t="s">
        <v>1373</v>
      </c>
      <c r="I1501" s="8">
        <v>1.08</v>
      </c>
      <c r="J1501" s="8" t="s">
        <v>4367</v>
      </c>
      <c r="K1501" s="8" t="s">
        <v>4410</v>
      </c>
      <c r="M1501" s="14"/>
      <c r="N1501" s="14"/>
      <c r="O1501" s="110" t="s">
        <v>5339</v>
      </c>
      <c r="P1501" s="4"/>
      <c r="Q1501" s="8">
        <v>3.3</v>
      </c>
      <c r="R1501" s="8" t="s">
        <v>5340</v>
      </c>
      <c r="W1501" s="8" t="s">
        <v>5419</v>
      </c>
      <c r="X1501" s="13">
        <v>40.223300000000002</v>
      </c>
      <c r="Y1501" s="13">
        <v>-89.9816</v>
      </c>
      <c r="Z1501" s="14">
        <v>162</v>
      </c>
      <c r="AA1501" s="22" t="s">
        <v>5361</v>
      </c>
      <c r="AB1501" s="22"/>
    </row>
    <row r="1502" spans="1:28" s="8" customFormat="1" ht="21.75" customHeight="1" x14ac:dyDescent="0.2">
      <c r="A1502" s="8" t="s">
        <v>5322</v>
      </c>
      <c r="B1502" s="8" t="s">
        <v>5323</v>
      </c>
      <c r="C1502" s="8" t="s">
        <v>1720</v>
      </c>
      <c r="D1502" s="8" t="s">
        <v>5326</v>
      </c>
      <c r="E1502" s="8" t="s">
        <v>398</v>
      </c>
      <c r="F1502" s="8" t="s">
        <v>217</v>
      </c>
      <c r="G1502" s="8" t="s">
        <v>5405</v>
      </c>
      <c r="H1502" s="3" t="s">
        <v>5355</v>
      </c>
      <c r="I1502" s="8">
        <v>0.99</v>
      </c>
      <c r="J1502" s="8" t="s">
        <v>4367</v>
      </c>
      <c r="K1502" s="8" t="s">
        <v>4410</v>
      </c>
      <c r="M1502" s="14"/>
      <c r="N1502" s="14"/>
      <c r="O1502" s="110" t="s">
        <v>5339</v>
      </c>
      <c r="P1502" s="4"/>
      <c r="Q1502" s="8">
        <v>3.3</v>
      </c>
      <c r="R1502" s="8" t="s">
        <v>5340</v>
      </c>
      <c r="W1502" s="8" t="s">
        <v>5419</v>
      </c>
      <c r="X1502" s="13">
        <v>40.223300000000002</v>
      </c>
      <c r="Y1502" s="13">
        <v>-89.9816</v>
      </c>
      <c r="Z1502" s="14">
        <v>162</v>
      </c>
      <c r="AA1502" s="22" t="s">
        <v>5406</v>
      </c>
      <c r="AB1502" s="22"/>
    </row>
    <row r="1503" spans="1:28" s="8" customFormat="1" ht="21.75" customHeight="1" x14ac:dyDescent="0.2">
      <c r="A1503" s="8" t="s">
        <v>5322</v>
      </c>
      <c r="B1503" s="8" t="s">
        <v>5323</v>
      </c>
      <c r="C1503" s="8" t="s">
        <v>1720</v>
      </c>
      <c r="D1503" s="8" t="s">
        <v>5326</v>
      </c>
      <c r="E1503" s="8" t="s">
        <v>398</v>
      </c>
      <c r="F1503" s="8" t="s">
        <v>217</v>
      </c>
      <c r="G1503" s="8" t="s">
        <v>5391</v>
      </c>
      <c r="H1503" s="3" t="s">
        <v>5356</v>
      </c>
      <c r="I1503" s="8">
        <v>0.73</v>
      </c>
      <c r="J1503" s="8" t="s">
        <v>4367</v>
      </c>
      <c r="K1503" s="8" t="s">
        <v>4410</v>
      </c>
      <c r="M1503" s="14"/>
      <c r="N1503" s="14"/>
      <c r="O1503" s="110" t="s">
        <v>5339</v>
      </c>
      <c r="P1503" s="4"/>
      <c r="Q1503" s="8">
        <v>3.3</v>
      </c>
      <c r="R1503" s="8" t="s">
        <v>5340</v>
      </c>
      <c r="W1503" s="8" t="s">
        <v>5419</v>
      </c>
      <c r="X1503" s="13">
        <v>40.223300000000002</v>
      </c>
      <c r="Y1503" s="13">
        <v>-89.9816</v>
      </c>
      <c r="Z1503" s="14">
        <v>162</v>
      </c>
      <c r="AA1503" s="22" t="s">
        <v>5392</v>
      </c>
      <c r="AB1503" s="22"/>
    </row>
    <row r="1504" spans="1:28" s="8" customFormat="1" ht="21.75" customHeight="1" x14ac:dyDescent="0.2">
      <c r="A1504" s="8" t="s">
        <v>5322</v>
      </c>
      <c r="B1504" s="8" t="s">
        <v>5323</v>
      </c>
      <c r="C1504" s="8" t="s">
        <v>1720</v>
      </c>
      <c r="D1504" s="8" t="s">
        <v>5326</v>
      </c>
      <c r="E1504" s="8" t="s">
        <v>398</v>
      </c>
      <c r="F1504" s="8" t="s">
        <v>217</v>
      </c>
      <c r="G1504" s="8" t="s">
        <v>5386</v>
      </c>
      <c r="H1504" s="3" t="s">
        <v>5351</v>
      </c>
      <c r="I1504" s="8">
        <v>0.35</v>
      </c>
      <c r="J1504" s="8" t="s">
        <v>4367</v>
      </c>
      <c r="K1504" s="8" t="s">
        <v>4410</v>
      </c>
      <c r="M1504" s="14"/>
      <c r="N1504" s="14"/>
      <c r="O1504" s="110" t="s">
        <v>5339</v>
      </c>
      <c r="P1504" s="4"/>
      <c r="Q1504" s="8">
        <v>3.3</v>
      </c>
      <c r="R1504" s="8" t="s">
        <v>5340</v>
      </c>
      <c r="W1504" s="8" t="s">
        <v>5419</v>
      </c>
      <c r="X1504" s="13">
        <v>40.223300000000002</v>
      </c>
      <c r="Y1504" s="13">
        <v>-89.9816</v>
      </c>
      <c r="Z1504" s="14">
        <v>162</v>
      </c>
      <c r="AA1504" s="22"/>
      <c r="AB1504" s="22"/>
    </row>
    <row r="1505" spans="1:28" s="8" customFormat="1" ht="21.75" customHeight="1" x14ac:dyDescent="0.2">
      <c r="A1505" s="8" t="s">
        <v>5322</v>
      </c>
      <c r="B1505" s="8" t="s">
        <v>5323</v>
      </c>
      <c r="C1505" s="8" t="s">
        <v>1720</v>
      </c>
      <c r="D1505" s="8" t="s">
        <v>5326</v>
      </c>
      <c r="E1505" s="8" t="s">
        <v>398</v>
      </c>
      <c r="F1505" s="8" t="s">
        <v>214</v>
      </c>
      <c r="G1505" s="8" t="s">
        <v>5407</v>
      </c>
      <c r="H1505" s="3" t="s">
        <v>5377</v>
      </c>
      <c r="I1505" s="8">
        <v>0.8</v>
      </c>
      <c r="J1505" s="8" t="s">
        <v>4367</v>
      </c>
      <c r="K1505" s="8" t="s">
        <v>4410</v>
      </c>
      <c r="M1505" s="14"/>
      <c r="N1505" s="14"/>
      <c r="O1505" s="110" t="s">
        <v>5339</v>
      </c>
      <c r="P1505" s="4"/>
      <c r="Q1505" s="8">
        <v>3.3</v>
      </c>
      <c r="R1505" s="8" t="s">
        <v>5340</v>
      </c>
      <c r="W1505" s="8" t="s">
        <v>5419</v>
      </c>
      <c r="X1505" s="13">
        <v>40.223300000000002</v>
      </c>
      <c r="Y1505" s="13">
        <v>-89.9816</v>
      </c>
      <c r="Z1505" s="14">
        <v>162</v>
      </c>
      <c r="AA1505" s="22" t="s">
        <v>5378</v>
      </c>
      <c r="AB1505" s="22"/>
    </row>
    <row r="1506" spans="1:28" s="8" customFormat="1" ht="21.75" customHeight="1" x14ac:dyDescent="0.2">
      <c r="A1506" s="8" t="s">
        <v>5322</v>
      </c>
      <c r="B1506" s="8" t="s">
        <v>5323</v>
      </c>
      <c r="C1506" s="8" t="s">
        <v>1720</v>
      </c>
      <c r="D1506" s="8" t="s">
        <v>5326</v>
      </c>
      <c r="E1506" s="8" t="s">
        <v>398</v>
      </c>
      <c r="F1506" s="8" t="s">
        <v>5418</v>
      </c>
      <c r="G1506" s="8" t="s">
        <v>5376</v>
      </c>
      <c r="H1506" s="3" t="s">
        <v>5357</v>
      </c>
      <c r="I1506" s="8">
        <v>0.12</v>
      </c>
      <c r="J1506" s="8" t="s">
        <v>4367</v>
      </c>
      <c r="K1506" s="8" t="s">
        <v>4410</v>
      </c>
      <c r="M1506" s="14"/>
      <c r="N1506" s="14"/>
      <c r="O1506" s="110" t="s">
        <v>5339</v>
      </c>
      <c r="P1506" s="4"/>
      <c r="Q1506" s="8">
        <v>3.3</v>
      </c>
      <c r="R1506" s="8" t="s">
        <v>5340</v>
      </c>
      <c r="W1506" s="8" t="s">
        <v>5419</v>
      </c>
      <c r="X1506" s="13">
        <v>40.223300000000002</v>
      </c>
      <c r="Y1506" s="13">
        <v>-89.9816</v>
      </c>
      <c r="Z1506" s="14">
        <v>162</v>
      </c>
      <c r="AA1506" s="22" t="s">
        <v>5379</v>
      </c>
      <c r="AB1506" s="22"/>
    </row>
    <row r="1507" spans="1:28" ht="21.75" customHeight="1" x14ac:dyDescent="0.2">
      <c r="A1507" s="7" t="s">
        <v>5160</v>
      </c>
      <c r="B1507" s="7" t="s">
        <v>5172</v>
      </c>
      <c r="C1507" s="7" t="s">
        <v>46</v>
      </c>
      <c r="D1507" s="7" t="s">
        <v>5161</v>
      </c>
      <c r="E1507" s="7" t="s">
        <v>398</v>
      </c>
      <c r="F1507" s="7" t="s">
        <v>214</v>
      </c>
      <c r="H1507" s="1" t="s">
        <v>5169</v>
      </c>
      <c r="I1507" s="7" t="s">
        <v>5175</v>
      </c>
      <c r="J1507" s="7" t="s">
        <v>5171</v>
      </c>
      <c r="K1507" s="7" t="s">
        <v>4480</v>
      </c>
      <c r="L1507" s="7">
        <v>194</v>
      </c>
      <c r="M1507" s="6" t="s">
        <v>5167</v>
      </c>
      <c r="O1507" s="45" t="s">
        <v>5174</v>
      </c>
      <c r="R1507" s="7" t="s">
        <v>5164</v>
      </c>
      <c r="X1507" s="5">
        <v>40.255600000000001</v>
      </c>
      <c r="Y1507" s="5">
        <v>-112.72790000000001</v>
      </c>
      <c r="Z1507" s="6">
        <v>1463</v>
      </c>
      <c r="AA1507" s="134" t="s">
        <v>5170</v>
      </c>
      <c r="AB1507" s="134" t="s">
        <v>5173</v>
      </c>
    </row>
    <row r="1508" spans="1:28" ht="21.75" customHeight="1" x14ac:dyDescent="0.2">
      <c r="A1508" s="7" t="s">
        <v>5160</v>
      </c>
      <c r="B1508" s="7" t="s">
        <v>5172</v>
      </c>
      <c r="C1508" s="7" t="s">
        <v>46</v>
      </c>
      <c r="D1508" s="7" t="s">
        <v>5162</v>
      </c>
      <c r="E1508" s="7" t="s">
        <v>398</v>
      </c>
      <c r="F1508" s="7" t="s">
        <v>214</v>
      </c>
      <c r="H1508" s="1" t="s">
        <v>5168</v>
      </c>
      <c r="I1508" s="7" t="s">
        <v>5166</v>
      </c>
      <c r="J1508" s="7" t="s">
        <v>5171</v>
      </c>
      <c r="K1508" s="7" t="s">
        <v>4480</v>
      </c>
      <c r="L1508" s="7">
        <v>273</v>
      </c>
      <c r="M1508" s="6" t="s">
        <v>5167</v>
      </c>
      <c r="O1508" s="45" t="s">
        <v>5165</v>
      </c>
      <c r="R1508" s="7" t="s">
        <v>5163</v>
      </c>
      <c r="X1508" s="5">
        <v>40.202199999999998</v>
      </c>
      <c r="Y1508" s="5">
        <v>-112.3019</v>
      </c>
      <c r="Z1508" s="6">
        <v>1547</v>
      </c>
      <c r="AA1508" s="135"/>
      <c r="AB1508" s="135"/>
    </row>
    <row r="1509" spans="1:28" s="8" customFormat="1" ht="21.75" customHeight="1" x14ac:dyDescent="0.2">
      <c r="A1509" s="8" t="s">
        <v>2037</v>
      </c>
      <c r="B1509" s="8" t="s">
        <v>2038</v>
      </c>
      <c r="C1509" s="8" t="s">
        <v>2039</v>
      </c>
      <c r="D1509" s="8" t="s">
        <v>2040</v>
      </c>
      <c r="E1509" s="8" t="s">
        <v>280</v>
      </c>
      <c r="F1509" s="8" t="s">
        <v>212</v>
      </c>
      <c r="G1509" s="8" t="s">
        <v>2046</v>
      </c>
      <c r="H1509" s="3" t="s">
        <v>2047</v>
      </c>
      <c r="I1509" s="40">
        <v>3.9624000000000001</v>
      </c>
      <c r="J1509" s="40" t="s">
        <v>4367</v>
      </c>
      <c r="K1509" s="40" t="s">
        <v>5713</v>
      </c>
      <c r="L1509" s="14"/>
      <c r="M1509" s="14"/>
      <c r="N1509" s="14"/>
      <c r="O1509" s="110"/>
      <c r="P1509" s="4"/>
      <c r="Q1509" s="40">
        <v>21.336000000000002</v>
      </c>
      <c r="R1509" s="8" t="s">
        <v>2111</v>
      </c>
      <c r="X1509" s="13">
        <v>40.258899999999997</v>
      </c>
      <c r="Y1509" s="13">
        <v>-95.568299999999994</v>
      </c>
      <c r="Z1509" s="14">
        <v>348</v>
      </c>
      <c r="AA1509" s="8" t="s">
        <v>2130</v>
      </c>
      <c r="AB1509" s="8" t="s">
        <v>2176</v>
      </c>
    </row>
    <row r="1510" spans="1:28" s="8" customFormat="1" ht="21.75" customHeight="1" x14ac:dyDescent="0.2">
      <c r="A1510" s="8" t="s">
        <v>2037</v>
      </c>
      <c r="B1510" s="8" t="s">
        <v>2038</v>
      </c>
      <c r="C1510" s="8" t="s">
        <v>2039</v>
      </c>
      <c r="D1510" s="8" t="s">
        <v>2041</v>
      </c>
      <c r="E1510" s="8" t="s">
        <v>280</v>
      </c>
      <c r="F1510" s="8" t="s">
        <v>212</v>
      </c>
      <c r="G1510" s="8" t="s">
        <v>2046</v>
      </c>
      <c r="H1510" s="3" t="s">
        <v>2047</v>
      </c>
      <c r="I1510" s="40">
        <v>4.8768000000000002</v>
      </c>
      <c r="J1510" s="40" t="s">
        <v>4367</v>
      </c>
      <c r="K1510" s="40" t="s">
        <v>5713</v>
      </c>
      <c r="L1510" s="14"/>
      <c r="M1510" s="14"/>
      <c r="N1510" s="14"/>
      <c r="O1510" s="110"/>
      <c r="P1510" s="4"/>
      <c r="Q1510" s="40">
        <v>15.24</v>
      </c>
      <c r="R1510" s="8" t="s">
        <v>2112</v>
      </c>
      <c r="X1510" s="13">
        <v>41.470599999999997</v>
      </c>
      <c r="Y1510" s="13">
        <v>-98.172899999999998</v>
      </c>
      <c r="Z1510" s="14">
        <v>550</v>
      </c>
      <c r="AA1510" s="8" t="s">
        <v>2131</v>
      </c>
    </row>
    <row r="1511" spans="1:28" s="8" customFormat="1" ht="21.75" customHeight="1" x14ac:dyDescent="0.2">
      <c r="A1511" s="8" t="s">
        <v>2037</v>
      </c>
      <c r="B1511" s="8" t="s">
        <v>2038</v>
      </c>
      <c r="C1511" s="8" t="s">
        <v>2039</v>
      </c>
      <c r="D1511" s="8" t="s">
        <v>2042</v>
      </c>
      <c r="E1511" s="8" t="s">
        <v>33</v>
      </c>
      <c r="F1511" s="8" t="s">
        <v>212</v>
      </c>
      <c r="G1511" s="8" t="s">
        <v>2048</v>
      </c>
      <c r="H1511" s="3" t="s">
        <v>2049</v>
      </c>
      <c r="I1511" s="40">
        <v>2.7432000000000003</v>
      </c>
      <c r="J1511" s="40" t="s">
        <v>4367</v>
      </c>
      <c r="K1511" s="40" t="s">
        <v>5713</v>
      </c>
      <c r="L1511" s="14"/>
      <c r="M1511" s="14"/>
      <c r="N1511" s="14"/>
      <c r="O1511" s="110"/>
      <c r="P1511" s="4"/>
      <c r="Q1511" s="40">
        <v>3.3528000000000002</v>
      </c>
      <c r="R1511" s="8" t="s">
        <v>2113</v>
      </c>
      <c r="X1511" s="13">
        <v>40.985599999999998</v>
      </c>
      <c r="Y1511" s="13">
        <v>-98.176500000000004</v>
      </c>
      <c r="Z1511" s="14">
        <v>543</v>
      </c>
      <c r="AA1511" s="8" t="s">
        <v>2132</v>
      </c>
    </row>
    <row r="1512" spans="1:28" s="8" customFormat="1" ht="21.75" customHeight="1" x14ac:dyDescent="0.2">
      <c r="A1512" s="8" t="s">
        <v>2037</v>
      </c>
      <c r="B1512" s="8" t="s">
        <v>2038</v>
      </c>
      <c r="C1512" s="8" t="s">
        <v>2039</v>
      </c>
      <c r="D1512" s="8" t="s">
        <v>2042</v>
      </c>
      <c r="E1512" s="8" t="s">
        <v>33</v>
      </c>
      <c r="F1512" s="8" t="s">
        <v>212</v>
      </c>
      <c r="G1512" s="8" t="s">
        <v>2048</v>
      </c>
      <c r="H1512" s="3" t="s">
        <v>2049</v>
      </c>
      <c r="I1512" s="40">
        <v>2.7432000000000003</v>
      </c>
      <c r="J1512" s="40" t="s">
        <v>4367</v>
      </c>
      <c r="K1512" s="40" t="s">
        <v>5713</v>
      </c>
      <c r="L1512" s="14"/>
      <c r="M1512" s="14"/>
      <c r="N1512" s="14"/>
      <c r="O1512" s="110"/>
      <c r="P1512" s="4"/>
      <c r="Q1512" s="40">
        <v>3.3528000000000002</v>
      </c>
      <c r="R1512" s="8" t="s">
        <v>2114</v>
      </c>
      <c r="X1512" s="13">
        <v>41.056899999999999</v>
      </c>
      <c r="Y1512" s="13">
        <v>-98.056399999999996</v>
      </c>
      <c r="Z1512" s="14">
        <v>528</v>
      </c>
      <c r="AA1512" s="8" t="s">
        <v>2133</v>
      </c>
    </row>
    <row r="1513" spans="1:28" s="8" customFormat="1" ht="21.75" customHeight="1" x14ac:dyDescent="0.2">
      <c r="A1513" s="8" t="s">
        <v>2037</v>
      </c>
      <c r="B1513" s="8" t="s">
        <v>2038</v>
      </c>
      <c r="C1513" s="8" t="s">
        <v>2039</v>
      </c>
      <c r="D1513" s="8" t="s">
        <v>2041</v>
      </c>
      <c r="E1513" s="8" t="s">
        <v>280</v>
      </c>
      <c r="F1513" s="8" t="s">
        <v>212</v>
      </c>
      <c r="G1513" s="8" t="s">
        <v>2050</v>
      </c>
      <c r="H1513" s="3" t="s">
        <v>2051</v>
      </c>
      <c r="I1513" s="40">
        <v>2.7432000000000003</v>
      </c>
      <c r="J1513" s="40" t="s">
        <v>4367</v>
      </c>
      <c r="K1513" s="40" t="s">
        <v>5713</v>
      </c>
      <c r="L1513" s="14"/>
      <c r="M1513" s="14"/>
      <c r="N1513" s="14"/>
      <c r="O1513" s="110"/>
      <c r="P1513" s="4"/>
      <c r="Q1513" s="40">
        <v>13.716000000000001</v>
      </c>
      <c r="R1513" s="8" t="s">
        <v>2115</v>
      </c>
      <c r="X1513" s="13">
        <v>41.351999999999997</v>
      </c>
      <c r="Y1513" s="13">
        <v>-97.807900000000004</v>
      </c>
      <c r="Z1513" s="14">
        <v>489</v>
      </c>
      <c r="AA1513" s="8" t="s">
        <v>2134</v>
      </c>
    </row>
    <row r="1514" spans="1:28" s="8" customFormat="1" ht="21.75" customHeight="1" x14ac:dyDescent="0.2">
      <c r="A1514" s="8" t="s">
        <v>2037</v>
      </c>
      <c r="B1514" s="8" t="s">
        <v>2038</v>
      </c>
      <c r="C1514" s="8" t="s">
        <v>2039</v>
      </c>
      <c r="D1514" s="8" t="s">
        <v>2043</v>
      </c>
      <c r="E1514" s="8" t="s">
        <v>280</v>
      </c>
      <c r="F1514" s="8" t="s">
        <v>212</v>
      </c>
      <c r="G1514" s="8" t="s">
        <v>2052</v>
      </c>
      <c r="H1514" s="3" t="s">
        <v>2053</v>
      </c>
      <c r="I1514" s="40">
        <v>3.1089599999999997</v>
      </c>
      <c r="J1514" s="40" t="s">
        <v>4367</v>
      </c>
      <c r="K1514" s="40" t="s">
        <v>5713</v>
      </c>
      <c r="L1514" s="14"/>
      <c r="M1514" s="14"/>
      <c r="N1514" s="14"/>
      <c r="O1514" s="110"/>
      <c r="P1514" s="4"/>
      <c r="Q1514" s="40">
        <v>6.0960000000000001</v>
      </c>
      <c r="R1514" s="8" t="s">
        <v>2115</v>
      </c>
      <c r="X1514" s="13">
        <v>40.198099999999997</v>
      </c>
      <c r="Y1514" s="13">
        <v>-96.150400000000005</v>
      </c>
      <c r="Z1514" s="14">
        <v>350</v>
      </c>
      <c r="AA1514" s="8" t="s">
        <v>2135</v>
      </c>
    </row>
    <row r="1515" spans="1:28" s="8" customFormat="1" ht="21.75" customHeight="1" x14ac:dyDescent="0.2">
      <c r="A1515" s="8" t="s">
        <v>2037</v>
      </c>
      <c r="B1515" s="8" t="s">
        <v>2038</v>
      </c>
      <c r="C1515" s="8" t="s">
        <v>2039</v>
      </c>
      <c r="D1515" s="8" t="s">
        <v>2044</v>
      </c>
      <c r="E1515" s="8" t="s">
        <v>280</v>
      </c>
      <c r="F1515" s="8" t="s">
        <v>212</v>
      </c>
      <c r="G1515" s="8" t="s">
        <v>2054</v>
      </c>
      <c r="H1515" s="3" t="s">
        <v>201</v>
      </c>
      <c r="I1515" s="40">
        <v>2.4384000000000001</v>
      </c>
      <c r="J1515" s="40" t="s">
        <v>4367</v>
      </c>
      <c r="K1515" s="40" t="s">
        <v>5713</v>
      </c>
      <c r="L1515" s="14"/>
      <c r="M1515" s="14"/>
      <c r="N1515" s="14"/>
      <c r="O1515" s="110"/>
      <c r="P1515" s="4"/>
      <c r="Q1515" s="40">
        <v>4.8768000000000002</v>
      </c>
      <c r="R1515" s="8" t="s">
        <v>2116</v>
      </c>
      <c r="X1515" s="13">
        <v>42.301699999999997</v>
      </c>
      <c r="Y1515" s="13">
        <v>-96.692599999999999</v>
      </c>
      <c r="Z1515" s="14">
        <v>423</v>
      </c>
      <c r="AA1515" s="8" t="s">
        <v>2136</v>
      </c>
      <c r="AB1515" s="8" t="s">
        <v>2177</v>
      </c>
    </row>
    <row r="1516" spans="1:28" s="8" customFormat="1" ht="21.75" customHeight="1" x14ac:dyDescent="0.2">
      <c r="A1516" s="8" t="s">
        <v>2037</v>
      </c>
      <c r="B1516" s="8" t="s">
        <v>2038</v>
      </c>
      <c r="C1516" s="8" t="s">
        <v>2039</v>
      </c>
      <c r="D1516" s="8" t="s">
        <v>2043</v>
      </c>
      <c r="E1516" s="8" t="s">
        <v>280</v>
      </c>
      <c r="F1516" s="8" t="s">
        <v>212</v>
      </c>
      <c r="G1516" s="8" t="s">
        <v>2055</v>
      </c>
      <c r="H1516" s="3" t="s">
        <v>2056</v>
      </c>
      <c r="I1516" s="40">
        <v>2.4384000000000001</v>
      </c>
      <c r="J1516" s="40" t="s">
        <v>4367</v>
      </c>
      <c r="K1516" s="40" t="s">
        <v>5713</v>
      </c>
      <c r="L1516" s="14"/>
      <c r="M1516" s="14"/>
      <c r="N1516" s="14"/>
      <c r="O1516" s="110"/>
      <c r="P1516" s="4"/>
      <c r="Q1516" s="40">
        <v>19.812000000000001</v>
      </c>
      <c r="R1516" s="8" t="s">
        <v>2117</v>
      </c>
      <c r="X1516" s="13">
        <v>40.080800000000004</v>
      </c>
      <c r="Y1516" s="13">
        <v>-96.333299999999994</v>
      </c>
      <c r="Z1516" s="14">
        <v>447</v>
      </c>
      <c r="AA1516" s="8" t="s">
        <v>2137</v>
      </c>
      <c r="AB1516" s="8" t="s">
        <v>2178</v>
      </c>
    </row>
    <row r="1517" spans="1:28" s="8" customFormat="1" ht="21.75" customHeight="1" x14ac:dyDescent="0.2">
      <c r="A1517" s="8" t="s">
        <v>2037</v>
      </c>
      <c r="B1517" s="8" t="s">
        <v>2038</v>
      </c>
      <c r="C1517" s="8" t="s">
        <v>2039</v>
      </c>
      <c r="D1517" s="8" t="s">
        <v>2043</v>
      </c>
      <c r="E1517" s="8" t="s">
        <v>280</v>
      </c>
      <c r="F1517" s="8" t="s">
        <v>212</v>
      </c>
      <c r="G1517" s="8" t="s">
        <v>2057</v>
      </c>
      <c r="H1517" s="3" t="s">
        <v>2058</v>
      </c>
      <c r="I1517" s="40">
        <v>1.524</v>
      </c>
      <c r="J1517" s="40" t="s">
        <v>4367</v>
      </c>
      <c r="K1517" s="40" t="s">
        <v>5713</v>
      </c>
      <c r="L1517" s="14"/>
      <c r="M1517" s="14"/>
      <c r="N1517" s="14"/>
      <c r="O1517" s="110"/>
      <c r="P1517" s="4"/>
      <c r="Q1517" s="40">
        <v>6.7056000000000004</v>
      </c>
      <c r="R1517" s="8" t="s">
        <v>2118</v>
      </c>
      <c r="X1517" s="13">
        <v>40.085000000000001</v>
      </c>
      <c r="Y1517" s="13">
        <v>-96.1601</v>
      </c>
      <c r="Z1517" s="14">
        <v>351</v>
      </c>
      <c r="AA1517" s="8" t="s">
        <v>2138</v>
      </c>
    </row>
    <row r="1518" spans="1:28" s="8" customFormat="1" ht="21.75" customHeight="1" x14ac:dyDescent="0.2">
      <c r="A1518" s="8" t="s">
        <v>2037</v>
      </c>
      <c r="B1518" s="8" t="s">
        <v>2038</v>
      </c>
      <c r="C1518" s="8" t="s">
        <v>2039</v>
      </c>
      <c r="D1518" s="8" t="s">
        <v>2043</v>
      </c>
      <c r="E1518" s="8" t="s">
        <v>280</v>
      </c>
      <c r="F1518" s="8" t="s">
        <v>212</v>
      </c>
      <c r="G1518" s="8" t="s">
        <v>2059</v>
      </c>
      <c r="H1518" s="3" t="s">
        <v>1505</v>
      </c>
      <c r="I1518" s="40">
        <v>2.1335999999999999</v>
      </c>
      <c r="J1518" s="40" t="s">
        <v>4367</v>
      </c>
      <c r="K1518" s="40" t="s">
        <v>5713</v>
      </c>
      <c r="L1518" s="14"/>
      <c r="M1518" s="14"/>
      <c r="N1518" s="14"/>
      <c r="O1518" s="110"/>
      <c r="P1518" s="4"/>
      <c r="Q1518" s="40">
        <v>24.688800000000001</v>
      </c>
      <c r="R1518" s="8" t="s">
        <v>2119</v>
      </c>
      <c r="X1518" s="13">
        <v>40.031100000000002</v>
      </c>
      <c r="Y1518" s="13">
        <v>-96.340699999999998</v>
      </c>
      <c r="Z1518" s="14">
        <v>456</v>
      </c>
      <c r="AA1518" s="8" t="s">
        <v>2139</v>
      </c>
    </row>
    <row r="1519" spans="1:28" s="8" customFormat="1" ht="21.75" customHeight="1" x14ac:dyDescent="0.2">
      <c r="A1519" s="8" t="s">
        <v>2037</v>
      </c>
      <c r="B1519" s="8" t="s">
        <v>2038</v>
      </c>
      <c r="C1519" s="8" t="s">
        <v>2039</v>
      </c>
      <c r="D1519" s="8" t="s">
        <v>2044</v>
      </c>
      <c r="E1519" s="8" t="s">
        <v>280</v>
      </c>
      <c r="F1519" s="8" t="s">
        <v>212</v>
      </c>
      <c r="G1519" s="8" t="s">
        <v>2060</v>
      </c>
      <c r="H1519" s="3" t="s">
        <v>2061</v>
      </c>
      <c r="I1519" s="40">
        <v>3.3528000000000002</v>
      </c>
      <c r="J1519" s="40" t="s">
        <v>4367</v>
      </c>
      <c r="K1519" s="40" t="s">
        <v>5713</v>
      </c>
      <c r="L1519" s="14"/>
      <c r="M1519" s="14"/>
      <c r="N1519" s="14"/>
      <c r="O1519" s="110"/>
      <c r="P1519" s="4"/>
      <c r="Q1519" s="40">
        <v>4.2671999999999999</v>
      </c>
      <c r="R1519" s="8" t="s">
        <v>2116</v>
      </c>
      <c r="X1519" s="13">
        <v>42.379800000000003</v>
      </c>
      <c r="Y1519" s="13">
        <v>-96.536799999999999</v>
      </c>
      <c r="Z1519" s="14">
        <v>347</v>
      </c>
      <c r="AA1519" s="8" t="s">
        <v>2140</v>
      </c>
    </row>
    <row r="1520" spans="1:28" s="8" customFormat="1" ht="21.75" customHeight="1" x14ac:dyDescent="0.2">
      <c r="A1520" s="8" t="s">
        <v>2037</v>
      </c>
      <c r="B1520" s="8" t="s">
        <v>2038</v>
      </c>
      <c r="C1520" s="8" t="s">
        <v>2039</v>
      </c>
      <c r="D1520" s="8" t="s">
        <v>2040</v>
      </c>
      <c r="E1520" s="8" t="s">
        <v>280</v>
      </c>
      <c r="F1520" s="8" t="s">
        <v>212</v>
      </c>
      <c r="G1520" s="8" t="s">
        <v>2062</v>
      </c>
      <c r="H1520" s="3" t="s">
        <v>2063</v>
      </c>
      <c r="I1520" s="40">
        <v>2.1945600000000001</v>
      </c>
      <c r="J1520" s="40" t="s">
        <v>4367</v>
      </c>
      <c r="K1520" s="40" t="s">
        <v>5713</v>
      </c>
      <c r="L1520" s="14"/>
      <c r="M1520" s="14"/>
      <c r="N1520" s="14"/>
      <c r="O1520" s="110"/>
      <c r="P1520" s="4"/>
      <c r="Q1520" s="40">
        <v>21.336000000000002</v>
      </c>
      <c r="R1520" s="8" t="s">
        <v>2111</v>
      </c>
      <c r="X1520" s="13">
        <v>40.236400000000003</v>
      </c>
      <c r="Y1520" s="13">
        <v>-95.534499999999994</v>
      </c>
      <c r="Z1520" s="14">
        <v>350</v>
      </c>
      <c r="AA1520" s="8" t="s">
        <v>2141</v>
      </c>
    </row>
    <row r="1521" spans="1:28" s="8" customFormat="1" ht="21.75" customHeight="1" x14ac:dyDescent="0.2">
      <c r="A1521" s="8" t="s">
        <v>2037</v>
      </c>
      <c r="B1521" s="8" t="s">
        <v>2038</v>
      </c>
      <c r="C1521" s="8" t="s">
        <v>2039</v>
      </c>
      <c r="D1521" s="8" t="s">
        <v>2043</v>
      </c>
      <c r="E1521" s="8" t="s">
        <v>280</v>
      </c>
      <c r="F1521" s="8" t="s">
        <v>212</v>
      </c>
      <c r="G1521" s="8" t="s">
        <v>2064</v>
      </c>
      <c r="H1521" s="3" t="s">
        <v>2065</v>
      </c>
      <c r="I1521" s="40">
        <v>3.048</v>
      </c>
      <c r="J1521" s="40" t="s">
        <v>4367</v>
      </c>
      <c r="K1521" s="40" t="s">
        <v>5713</v>
      </c>
      <c r="L1521" s="14"/>
      <c r="M1521" s="14"/>
      <c r="N1521" s="14"/>
      <c r="O1521" s="110"/>
      <c r="P1521" s="4"/>
      <c r="Q1521" s="40">
        <v>6.0960000000000001</v>
      </c>
      <c r="R1521" s="8" t="s">
        <v>2115</v>
      </c>
      <c r="X1521" s="13">
        <v>40.213799999999999</v>
      </c>
      <c r="Y1521" s="13">
        <v>-96.162099999999995</v>
      </c>
      <c r="Z1521" s="14">
        <v>350</v>
      </c>
      <c r="AA1521" s="8" t="s">
        <v>2142</v>
      </c>
    </row>
    <row r="1522" spans="1:28" s="8" customFormat="1" ht="21.75" customHeight="1" x14ac:dyDescent="0.2">
      <c r="A1522" s="8" t="s">
        <v>2037</v>
      </c>
      <c r="B1522" s="8" t="s">
        <v>2038</v>
      </c>
      <c r="C1522" s="8" t="s">
        <v>2039</v>
      </c>
      <c r="D1522" s="8" t="s">
        <v>2043</v>
      </c>
      <c r="E1522" s="8" t="s">
        <v>280</v>
      </c>
      <c r="F1522" s="8" t="s">
        <v>212</v>
      </c>
      <c r="G1522" s="8" t="s">
        <v>2066</v>
      </c>
      <c r="H1522" s="3" t="s">
        <v>2067</v>
      </c>
      <c r="I1522" s="40">
        <v>2.4384000000000001</v>
      </c>
      <c r="J1522" s="40" t="s">
        <v>4367</v>
      </c>
      <c r="K1522" s="40" t="s">
        <v>5713</v>
      </c>
      <c r="L1522" s="14"/>
      <c r="M1522" s="14"/>
      <c r="N1522" s="14"/>
      <c r="O1522" s="110"/>
      <c r="P1522" s="4"/>
      <c r="Q1522" s="40">
        <v>6.0960000000000001</v>
      </c>
      <c r="R1522" s="8" t="s">
        <v>2115</v>
      </c>
      <c r="X1522" s="13">
        <v>40.249400000000001</v>
      </c>
      <c r="Y1522" s="13">
        <v>-96.139300000000006</v>
      </c>
      <c r="Z1522" s="14">
        <v>349</v>
      </c>
      <c r="AA1522" s="8" t="s">
        <v>2143</v>
      </c>
    </row>
    <row r="1523" spans="1:28" s="8" customFormat="1" ht="21.75" customHeight="1" x14ac:dyDescent="0.2">
      <c r="A1523" s="8" t="s">
        <v>2037</v>
      </c>
      <c r="B1523" s="8" t="s">
        <v>2038</v>
      </c>
      <c r="C1523" s="8" t="s">
        <v>2039</v>
      </c>
      <c r="D1523" s="8" t="s">
        <v>2043</v>
      </c>
      <c r="E1523" s="8" t="s">
        <v>280</v>
      </c>
      <c r="F1523" s="8" t="s">
        <v>212</v>
      </c>
      <c r="G1523" s="8" t="s">
        <v>202</v>
      </c>
      <c r="H1523" s="3" t="s">
        <v>203</v>
      </c>
      <c r="I1523" s="40">
        <v>2.286</v>
      </c>
      <c r="J1523" s="40" t="s">
        <v>4367</v>
      </c>
      <c r="K1523" s="40" t="s">
        <v>5713</v>
      </c>
      <c r="L1523" s="14"/>
      <c r="M1523" s="14"/>
      <c r="N1523" s="14"/>
      <c r="O1523" s="110"/>
      <c r="P1523" s="4"/>
      <c r="Q1523" s="40">
        <v>15.24</v>
      </c>
      <c r="R1523" s="8" t="s">
        <v>2120</v>
      </c>
      <c r="X1523" s="13">
        <v>40.157400000000003</v>
      </c>
      <c r="Y1523" s="13">
        <v>-96.351200000000006</v>
      </c>
      <c r="Z1523" s="14">
        <v>429</v>
      </c>
      <c r="AA1523" s="8" t="s">
        <v>2144</v>
      </c>
      <c r="AB1523" s="8" t="s">
        <v>2179</v>
      </c>
    </row>
    <row r="1524" spans="1:28" s="8" customFormat="1" ht="21.75" customHeight="1" x14ac:dyDescent="0.2">
      <c r="A1524" s="8" t="s">
        <v>2037</v>
      </c>
      <c r="B1524" s="8" t="s">
        <v>2038</v>
      </c>
      <c r="C1524" s="8" t="s">
        <v>2039</v>
      </c>
      <c r="D1524" s="8" t="s">
        <v>2041</v>
      </c>
      <c r="E1524" s="8" t="s">
        <v>280</v>
      </c>
      <c r="F1524" s="8" t="s">
        <v>212</v>
      </c>
      <c r="G1524" s="8" t="s">
        <v>2068</v>
      </c>
      <c r="H1524" s="3" t="s">
        <v>377</v>
      </c>
      <c r="I1524" s="40">
        <v>0.76200000000000001</v>
      </c>
      <c r="J1524" s="40" t="s">
        <v>4367</v>
      </c>
      <c r="K1524" s="40" t="s">
        <v>5713</v>
      </c>
      <c r="L1524" s="14"/>
      <c r="M1524" s="14"/>
      <c r="N1524" s="14"/>
      <c r="O1524" s="110"/>
      <c r="P1524" s="4"/>
      <c r="Q1524" s="40">
        <v>0.76200000000000001</v>
      </c>
      <c r="R1524" s="8" t="s">
        <v>2121</v>
      </c>
      <c r="X1524" s="13">
        <v>41.383800000000001</v>
      </c>
      <c r="Y1524" s="13">
        <v>-97.896500000000003</v>
      </c>
      <c r="Z1524" s="14">
        <v>488</v>
      </c>
      <c r="AA1524" s="8" t="s">
        <v>2145</v>
      </c>
    </row>
    <row r="1525" spans="1:28" s="8" customFormat="1" ht="21.75" customHeight="1" x14ac:dyDescent="0.2">
      <c r="A1525" s="8" t="s">
        <v>2037</v>
      </c>
      <c r="B1525" s="8" t="s">
        <v>2038</v>
      </c>
      <c r="C1525" s="8" t="s">
        <v>2039</v>
      </c>
      <c r="D1525" s="8" t="s">
        <v>2044</v>
      </c>
      <c r="E1525" s="8" t="s">
        <v>280</v>
      </c>
      <c r="F1525" s="8" t="s">
        <v>212</v>
      </c>
      <c r="G1525" s="8" t="s">
        <v>2068</v>
      </c>
      <c r="H1525" s="3" t="s">
        <v>377</v>
      </c>
      <c r="I1525" s="40">
        <v>3.7795200000000002</v>
      </c>
      <c r="J1525" s="40" t="s">
        <v>4367</v>
      </c>
      <c r="K1525" s="40" t="s">
        <v>5713</v>
      </c>
      <c r="L1525" s="14"/>
      <c r="M1525" s="14"/>
      <c r="N1525" s="14"/>
      <c r="O1525" s="110"/>
      <c r="P1525" s="4"/>
      <c r="Q1525" s="40">
        <v>4.2671999999999999</v>
      </c>
      <c r="R1525" s="8" t="s">
        <v>2116</v>
      </c>
      <c r="X1525" s="13">
        <v>42.433700000000002</v>
      </c>
      <c r="Y1525" s="13">
        <v>-96.4298</v>
      </c>
      <c r="Z1525" s="14">
        <v>335</v>
      </c>
      <c r="AA1525" s="8" t="s">
        <v>2146</v>
      </c>
    </row>
    <row r="1526" spans="1:28" s="8" customFormat="1" ht="21.75" customHeight="1" x14ac:dyDescent="0.2">
      <c r="A1526" s="8" t="s">
        <v>2037</v>
      </c>
      <c r="B1526" s="8" t="s">
        <v>2038</v>
      </c>
      <c r="C1526" s="8" t="s">
        <v>2039</v>
      </c>
      <c r="D1526" s="8" t="s">
        <v>2044</v>
      </c>
      <c r="E1526" s="8" t="s">
        <v>280</v>
      </c>
      <c r="F1526" s="8" t="s">
        <v>212</v>
      </c>
      <c r="G1526" s="8" t="s">
        <v>2068</v>
      </c>
      <c r="H1526" s="3" t="s">
        <v>377</v>
      </c>
      <c r="I1526" s="40">
        <v>3.6576000000000004</v>
      </c>
      <c r="J1526" s="40" t="s">
        <v>4367</v>
      </c>
      <c r="K1526" s="40" t="s">
        <v>5713</v>
      </c>
      <c r="L1526" s="14"/>
      <c r="M1526" s="14"/>
      <c r="N1526" s="14"/>
      <c r="O1526" s="110"/>
      <c r="P1526" s="4"/>
      <c r="Q1526" s="40">
        <v>18.288</v>
      </c>
      <c r="R1526" s="8" t="s">
        <v>2122</v>
      </c>
      <c r="X1526" s="13">
        <v>42.3733</v>
      </c>
      <c r="Y1526" s="13">
        <v>-96.623000000000005</v>
      </c>
      <c r="Z1526" s="14">
        <v>374</v>
      </c>
      <c r="AA1526" s="8" t="s">
        <v>2147</v>
      </c>
    </row>
    <row r="1527" spans="1:28" s="8" customFormat="1" ht="21.75" customHeight="1" x14ac:dyDescent="0.2">
      <c r="A1527" s="8" t="s">
        <v>2037</v>
      </c>
      <c r="B1527" s="8" t="s">
        <v>2038</v>
      </c>
      <c r="C1527" s="8" t="s">
        <v>2039</v>
      </c>
      <c r="D1527" s="8" t="s">
        <v>2043</v>
      </c>
      <c r="E1527" s="8" t="s">
        <v>280</v>
      </c>
      <c r="F1527" s="8" t="s">
        <v>212</v>
      </c>
      <c r="G1527" s="8" t="s">
        <v>2069</v>
      </c>
      <c r="H1527" s="3" t="s">
        <v>2070</v>
      </c>
      <c r="I1527" s="40">
        <v>2.7432000000000003</v>
      </c>
      <c r="J1527" s="40" t="s">
        <v>4367</v>
      </c>
      <c r="K1527" s="40" t="s">
        <v>5713</v>
      </c>
      <c r="L1527" s="14"/>
      <c r="M1527" s="14"/>
      <c r="N1527" s="14"/>
      <c r="O1527" s="110"/>
      <c r="P1527" s="4"/>
      <c r="Q1527" s="40">
        <v>8.5343999999999998</v>
      </c>
      <c r="R1527" s="8" t="s">
        <v>2123</v>
      </c>
      <c r="X1527" s="13">
        <v>40.0642</v>
      </c>
      <c r="Y1527" s="13">
        <v>-96.160799999999995</v>
      </c>
      <c r="Z1527" s="14">
        <v>352</v>
      </c>
      <c r="AA1527" s="8" t="s">
        <v>2148</v>
      </c>
      <c r="AB1527" s="8" t="s">
        <v>2179</v>
      </c>
    </row>
    <row r="1528" spans="1:28" s="8" customFormat="1" ht="21.75" customHeight="1" x14ac:dyDescent="0.2">
      <c r="A1528" s="8" t="s">
        <v>2037</v>
      </c>
      <c r="B1528" s="8" t="s">
        <v>2038</v>
      </c>
      <c r="C1528" s="8" t="s">
        <v>2039</v>
      </c>
      <c r="D1528" s="8" t="s">
        <v>2042</v>
      </c>
      <c r="E1528" s="8" t="s">
        <v>280</v>
      </c>
      <c r="F1528" s="8" t="s">
        <v>212</v>
      </c>
      <c r="G1528" s="8" t="s">
        <v>2069</v>
      </c>
      <c r="H1528" s="3" t="s">
        <v>2070</v>
      </c>
      <c r="I1528" s="40">
        <v>2.7432000000000003</v>
      </c>
      <c r="J1528" s="40" t="s">
        <v>4367</v>
      </c>
      <c r="K1528" s="40" t="s">
        <v>5713</v>
      </c>
      <c r="L1528" s="14"/>
      <c r="M1528" s="14"/>
      <c r="N1528" s="14"/>
      <c r="O1528" s="110"/>
      <c r="P1528" s="4"/>
      <c r="Q1528" s="40">
        <v>3.048</v>
      </c>
      <c r="R1528" s="8" t="s">
        <v>2124</v>
      </c>
      <c r="X1528" s="13">
        <v>40.945599999999999</v>
      </c>
      <c r="Y1528" s="13">
        <v>-98.264899999999997</v>
      </c>
      <c r="Z1528" s="14">
        <v>556</v>
      </c>
      <c r="AA1528" s="8" t="s">
        <v>2149</v>
      </c>
    </row>
    <row r="1529" spans="1:28" s="8" customFormat="1" ht="21.75" customHeight="1" x14ac:dyDescent="0.2">
      <c r="A1529" s="8" t="s">
        <v>2037</v>
      </c>
      <c r="B1529" s="8" t="s">
        <v>2038</v>
      </c>
      <c r="C1529" s="8" t="s">
        <v>2039</v>
      </c>
      <c r="D1529" s="8" t="s">
        <v>2040</v>
      </c>
      <c r="E1529" s="8" t="s">
        <v>280</v>
      </c>
      <c r="F1529" s="8" t="s">
        <v>212</v>
      </c>
      <c r="G1529" s="8" t="s">
        <v>2071</v>
      </c>
      <c r="H1529" s="3" t="s">
        <v>2072</v>
      </c>
      <c r="I1529" s="40">
        <v>1.8288000000000002</v>
      </c>
      <c r="J1529" s="40" t="s">
        <v>4367</v>
      </c>
      <c r="K1529" s="40" t="s">
        <v>5713</v>
      </c>
      <c r="L1529" s="14"/>
      <c r="M1529" s="14"/>
      <c r="N1529" s="14"/>
      <c r="O1529" s="110"/>
      <c r="P1529" s="4"/>
      <c r="Q1529" s="40">
        <v>21.336000000000002</v>
      </c>
      <c r="R1529" s="8" t="s">
        <v>2111</v>
      </c>
      <c r="X1529" s="13">
        <v>40.229199999999999</v>
      </c>
      <c r="Y1529" s="13">
        <v>-95.5565</v>
      </c>
      <c r="Z1529" s="14">
        <v>345</v>
      </c>
      <c r="AA1529" s="8" t="s">
        <v>2150</v>
      </c>
    </row>
    <row r="1530" spans="1:28" s="8" customFormat="1" ht="21.75" customHeight="1" x14ac:dyDescent="0.2">
      <c r="A1530" s="8" t="s">
        <v>2037</v>
      </c>
      <c r="B1530" s="8" t="s">
        <v>2038</v>
      </c>
      <c r="C1530" s="8" t="s">
        <v>2039</v>
      </c>
      <c r="D1530" s="8" t="s">
        <v>2044</v>
      </c>
      <c r="E1530" s="8" t="s">
        <v>280</v>
      </c>
      <c r="F1530" s="8" t="s">
        <v>212</v>
      </c>
      <c r="G1530" s="8" t="s">
        <v>2073</v>
      </c>
      <c r="H1530" s="3" t="s">
        <v>195</v>
      </c>
      <c r="I1530" s="40">
        <v>2.8956</v>
      </c>
      <c r="J1530" s="40" t="s">
        <v>4367</v>
      </c>
      <c r="K1530" s="40" t="s">
        <v>5713</v>
      </c>
      <c r="L1530" s="14"/>
      <c r="M1530" s="14"/>
      <c r="N1530" s="14"/>
      <c r="O1530" s="110"/>
      <c r="P1530" s="4"/>
      <c r="Q1530" s="40">
        <v>3.6576000000000004</v>
      </c>
      <c r="R1530" s="8" t="s">
        <v>2116</v>
      </c>
      <c r="X1530" s="13">
        <v>42.430399999999999</v>
      </c>
      <c r="Y1530" s="13">
        <v>-96.677999999999997</v>
      </c>
      <c r="Z1530" s="14">
        <v>370</v>
      </c>
      <c r="AA1530" s="8" t="s">
        <v>2151</v>
      </c>
    </row>
    <row r="1531" spans="1:28" s="8" customFormat="1" ht="21.75" customHeight="1" x14ac:dyDescent="0.2">
      <c r="A1531" s="8" t="s">
        <v>2037</v>
      </c>
      <c r="B1531" s="8" t="s">
        <v>2038</v>
      </c>
      <c r="C1531" s="8" t="s">
        <v>2039</v>
      </c>
      <c r="D1531" s="8" t="s">
        <v>2042</v>
      </c>
      <c r="E1531" s="8" t="s">
        <v>280</v>
      </c>
      <c r="F1531" s="8" t="s">
        <v>212</v>
      </c>
      <c r="G1531" s="8" t="s">
        <v>2073</v>
      </c>
      <c r="H1531" s="3" t="s">
        <v>195</v>
      </c>
      <c r="I1531" s="40">
        <v>1.9812000000000001</v>
      </c>
      <c r="J1531" s="40" t="s">
        <v>4367</v>
      </c>
      <c r="K1531" s="40" t="s">
        <v>5713</v>
      </c>
      <c r="L1531" s="14"/>
      <c r="M1531" s="14"/>
      <c r="N1531" s="14"/>
      <c r="O1531" s="110"/>
      <c r="P1531" s="4"/>
      <c r="Q1531" s="40">
        <v>1.9812000000000001</v>
      </c>
      <c r="R1531" s="8" t="s">
        <v>2113</v>
      </c>
      <c r="X1531" s="13">
        <v>41.2485</v>
      </c>
      <c r="Y1531" s="13">
        <v>-97.765299999999996</v>
      </c>
      <c r="Z1531" s="14">
        <v>487</v>
      </c>
      <c r="AA1531" s="8" t="s">
        <v>2152</v>
      </c>
    </row>
    <row r="1532" spans="1:28" s="8" customFormat="1" ht="21.75" customHeight="1" x14ac:dyDescent="0.2">
      <c r="A1532" s="8" t="s">
        <v>2037</v>
      </c>
      <c r="B1532" s="8" t="s">
        <v>2038</v>
      </c>
      <c r="C1532" s="8" t="s">
        <v>2039</v>
      </c>
      <c r="D1532" s="8" t="s">
        <v>2044</v>
      </c>
      <c r="E1532" s="8" t="s">
        <v>280</v>
      </c>
      <c r="F1532" s="8" t="s">
        <v>212</v>
      </c>
      <c r="G1532" s="8" t="s">
        <v>2073</v>
      </c>
      <c r="H1532" s="3" t="s">
        <v>195</v>
      </c>
      <c r="I1532" s="40">
        <v>4.8768000000000002</v>
      </c>
      <c r="J1532" s="40" t="s">
        <v>4367</v>
      </c>
      <c r="K1532" s="40" t="s">
        <v>5713</v>
      </c>
      <c r="L1532" s="14"/>
      <c r="M1532" s="14"/>
      <c r="N1532" s="14"/>
      <c r="O1532" s="110"/>
      <c r="P1532" s="4"/>
      <c r="Q1532" s="40">
        <v>4.8768000000000002</v>
      </c>
      <c r="R1532" s="8" t="s">
        <v>2125</v>
      </c>
      <c r="X1532" s="13">
        <v>42.319800000000001</v>
      </c>
      <c r="Y1532" s="13">
        <v>-96.707800000000006</v>
      </c>
      <c r="Z1532" s="14">
        <v>417</v>
      </c>
      <c r="AA1532" s="8" t="s">
        <v>2153</v>
      </c>
    </row>
    <row r="1533" spans="1:28" s="8" customFormat="1" ht="21.75" customHeight="1" x14ac:dyDescent="0.2">
      <c r="A1533" s="8" t="s">
        <v>2037</v>
      </c>
      <c r="B1533" s="8" t="s">
        <v>2038</v>
      </c>
      <c r="C1533" s="8" t="s">
        <v>2039</v>
      </c>
      <c r="D1533" s="8" t="s">
        <v>2044</v>
      </c>
      <c r="E1533" s="8" t="s">
        <v>280</v>
      </c>
      <c r="F1533" s="8" t="s">
        <v>212</v>
      </c>
      <c r="G1533" s="8" t="s">
        <v>2074</v>
      </c>
      <c r="H1533" s="3" t="s">
        <v>2075</v>
      </c>
      <c r="I1533" s="40">
        <v>3.1394400000000005</v>
      </c>
      <c r="J1533" s="40" t="s">
        <v>4367</v>
      </c>
      <c r="K1533" s="40" t="s">
        <v>5713</v>
      </c>
      <c r="L1533" s="14"/>
      <c r="M1533" s="14"/>
      <c r="N1533" s="14"/>
      <c r="O1533" s="110"/>
      <c r="P1533" s="4"/>
      <c r="Q1533" s="40">
        <v>6.0960000000000001</v>
      </c>
      <c r="R1533" s="8" t="s">
        <v>2125</v>
      </c>
      <c r="X1533" s="13">
        <v>42.304499999999997</v>
      </c>
      <c r="Y1533" s="13">
        <v>-96.707499999999996</v>
      </c>
      <c r="Z1533" s="14">
        <v>421</v>
      </c>
      <c r="AA1533" s="8" t="s">
        <v>2154</v>
      </c>
    </row>
    <row r="1534" spans="1:28" s="8" customFormat="1" ht="21.75" customHeight="1" x14ac:dyDescent="0.2">
      <c r="A1534" s="8" t="s">
        <v>2037</v>
      </c>
      <c r="B1534" s="8" t="s">
        <v>2038</v>
      </c>
      <c r="C1534" s="8" t="s">
        <v>2039</v>
      </c>
      <c r="D1534" s="8" t="s">
        <v>2043</v>
      </c>
      <c r="E1534" s="8" t="s">
        <v>280</v>
      </c>
      <c r="F1534" s="8" t="s">
        <v>212</v>
      </c>
      <c r="G1534" s="8" t="s">
        <v>2076</v>
      </c>
      <c r="H1534" s="3" t="s">
        <v>2077</v>
      </c>
      <c r="I1534" s="40">
        <v>2.7432000000000003</v>
      </c>
      <c r="J1534" s="40" t="s">
        <v>4367</v>
      </c>
      <c r="K1534" s="40" t="s">
        <v>5713</v>
      </c>
      <c r="L1534" s="14"/>
      <c r="M1534" s="14"/>
      <c r="N1534" s="14"/>
      <c r="O1534" s="110"/>
      <c r="P1534" s="4"/>
      <c r="Q1534" s="40">
        <v>6.0960000000000001</v>
      </c>
      <c r="R1534" s="8" t="s">
        <v>2115</v>
      </c>
      <c r="X1534" s="13">
        <v>40.105200000000004</v>
      </c>
      <c r="Y1534" s="13">
        <v>-96.154200000000003</v>
      </c>
      <c r="Z1534" s="14">
        <v>350</v>
      </c>
      <c r="AA1534" s="8" t="s">
        <v>2155</v>
      </c>
      <c r="AB1534" s="8" t="s">
        <v>2180</v>
      </c>
    </row>
    <row r="1535" spans="1:28" s="8" customFormat="1" ht="21.75" customHeight="1" x14ac:dyDescent="0.2">
      <c r="A1535" s="8" t="s">
        <v>2037</v>
      </c>
      <c r="B1535" s="8" t="s">
        <v>2038</v>
      </c>
      <c r="C1535" s="8" t="s">
        <v>2039</v>
      </c>
      <c r="D1535" s="8" t="s">
        <v>2043</v>
      </c>
      <c r="E1535" s="8" t="s">
        <v>280</v>
      </c>
      <c r="F1535" s="8" t="s">
        <v>212</v>
      </c>
      <c r="G1535" s="8" t="s">
        <v>2078</v>
      </c>
      <c r="H1535" s="3" t="s">
        <v>2079</v>
      </c>
      <c r="I1535" s="40">
        <v>3.3528000000000002</v>
      </c>
      <c r="J1535" s="40" t="s">
        <v>4367</v>
      </c>
      <c r="K1535" s="40" t="s">
        <v>5713</v>
      </c>
      <c r="L1535" s="14"/>
      <c r="M1535" s="14"/>
      <c r="N1535" s="14"/>
      <c r="O1535" s="110"/>
      <c r="P1535" s="4"/>
      <c r="Q1535" s="40">
        <v>3.6576000000000004</v>
      </c>
      <c r="R1535" s="8" t="s">
        <v>2115</v>
      </c>
      <c r="X1535" s="13">
        <v>40.1815</v>
      </c>
      <c r="Y1535" s="13">
        <v>-96.072900000000004</v>
      </c>
      <c r="Z1535" s="14">
        <v>309</v>
      </c>
      <c r="AA1535" s="8" t="s">
        <v>2156</v>
      </c>
    </row>
    <row r="1536" spans="1:28" s="8" customFormat="1" ht="21.75" customHeight="1" x14ac:dyDescent="0.2">
      <c r="A1536" s="8" t="s">
        <v>2037</v>
      </c>
      <c r="B1536" s="8" t="s">
        <v>2038</v>
      </c>
      <c r="C1536" s="8" t="s">
        <v>2039</v>
      </c>
      <c r="D1536" s="8" t="s">
        <v>2043</v>
      </c>
      <c r="E1536" s="8" t="s">
        <v>280</v>
      </c>
      <c r="F1536" s="8" t="s">
        <v>212</v>
      </c>
      <c r="G1536" s="8" t="s">
        <v>2080</v>
      </c>
      <c r="H1536" s="3" t="s">
        <v>2081</v>
      </c>
      <c r="I1536" s="40">
        <v>3.3528000000000002</v>
      </c>
      <c r="J1536" s="40" t="s">
        <v>4367</v>
      </c>
      <c r="K1536" s="40" t="s">
        <v>5713</v>
      </c>
      <c r="L1536" s="14"/>
      <c r="M1536" s="14"/>
      <c r="N1536" s="14"/>
      <c r="O1536" s="110"/>
      <c r="P1536" s="4"/>
      <c r="Q1536" s="40">
        <v>16.763999999999999</v>
      </c>
      <c r="R1536" s="8" t="s">
        <v>2126</v>
      </c>
      <c r="X1536" s="13">
        <v>40.021099999999997</v>
      </c>
      <c r="Y1536" s="13">
        <v>-96.292900000000003</v>
      </c>
      <c r="Z1536" s="14">
        <v>432</v>
      </c>
      <c r="AA1536" s="8" t="s">
        <v>2157</v>
      </c>
      <c r="AB1536" s="8" t="s">
        <v>2179</v>
      </c>
    </row>
    <row r="1537" spans="1:28" s="8" customFormat="1" ht="21.75" customHeight="1" x14ac:dyDescent="0.2">
      <c r="A1537" s="8" t="s">
        <v>2037</v>
      </c>
      <c r="B1537" s="8" t="s">
        <v>2038</v>
      </c>
      <c r="C1537" s="8" t="s">
        <v>2039</v>
      </c>
      <c r="D1537" s="8" t="s">
        <v>2043</v>
      </c>
      <c r="E1537" s="8" t="s">
        <v>280</v>
      </c>
      <c r="F1537" s="8" t="s">
        <v>212</v>
      </c>
      <c r="G1537" s="8" t="s">
        <v>2082</v>
      </c>
      <c r="H1537" s="3" t="s">
        <v>2083</v>
      </c>
      <c r="I1537" s="40">
        <v>1.5849600000000001</v>
      </c>
      <c r="J1537" s="40" t="s">
        <v>4367</v>
      </c>
      <c r="K1537" s="40" t="s">
        <v>5713</v>
      </c>
      <c r="L1537" s="14"/>
      <c r="M1537" s="14"/>
      <c r="N1537" s="14"/>
      <c r="O1537" s="110"/>
      <c r="P1537" s="4"/>
      <c r="Q1537" s="40">
        <v>24.688800000000001</v>
      </c>
      <c r="R1537" s="8" t="s">
        <v>5732</v>
      </c>
      <c r="X1537" s="13">
        <v>40.031100000000002</v>
      </c>
      <c r="Y1537" s="13">
        <v>-96.340699999999998</v>
      </c>
      <c r="Z1537" s="14">
        <v>456</v>
      </c>
      <c r="AA1537" s="8" t="s">
        <v>2158</v>
      </c>
    </row>
    <row r="1538" spans="1:28" s="8" customFormat="1" ht="21.75" customHeight="1" x14ac:dyDescent="0.2">
      <c r="A1538" s="8" t="s">
        <v>2037</v>
      </c>
      <c r="B1538" s="8" t="s">
        <v>2038</v>
      </c>
      <c r="C1538" s="8" t="s">
        <v>2039</v>
      </c>
      <c r="D1538" s="8" t="s">
        <v>2042</v>
      </c>
      <c r="E1538" s="8" t="s">
        <v>280</v>
      </c>
      <c r="F1538" s="8" t="s">
        <v>212</v>
      </c>
      <c r="G1538" s="8" t="s">
        <v>2084</v>
      </c>
      <c r="H1538" s="3" t="s">
        <v>1204</v>
      </c>
      <c r="I1538" s="40">
        <v>2.2250399999999999</v>
      </c>
      <c r="J1538" s="40" t="s">
        <v>4367</v>
      </c>
      <c r="K1538" s="40" t="s">
        <v>5713</v>
      </c>
      <c r="L1538" s="14"/>
      <c r="M1538" s="14"/>
      <c r="N1538" s="14"/>
      <c r="O1538" s="110"/>
      <c r="P1538" s="4"/>
      <c r="Q1538" s="40">
        <v>2.4384000000000001</v>
      </c>
      <c r="R1538" s="8" t="s">
        <v>2113</v>
      </c>
      <c r="X1538" s="13">
        <v>41.113700000000001</v>
      </c>
      <c r="Y1538" s="13">
        <v>-97.998599999999996</v>
      </c>
      <c r="Z1538" s="14">
        <v>518</v>
      </c>
      <c r="AA1538" s="8" t="s">
        <v>2159</v>
      </c>
      <c r="AB1538" s="8" t="s">
        <v>2181</v>
      </c>
    </row>
    <row r="1539" spans="1:28" s="8" customFormat="1" ht="21.75" customHeight="1" x14ac:dyDescent="0.2">
      <c r="A1539" s="8" t="s">
        <v>2037</v>
      </c>
      <c r="B1539" s="8" t="s">
        <v>2038</v>
      </c>
      <c r="C1539" s="8" t="s">
        <v>2039</v>
      </c>
      <c r="D1539" s="8" t="s">
        <v>2040</v>
      </c>
      <c r="E1539" s="8" t="s">
        <v>280</v>
      </c>
      <c r="F1539" s="8" t="s">
        <v>212</v>
      </c>
      <c r="G1539" s="8" t="s">
        <v>2084</v>
      </c>
      <c r="H1539" s="3" t="s">
        <v>1204</v>
      </c>
      <c r="I1539" s="40">
        <v>1.8288000000000002</v>
      </c>
      <c r="J1539" s="40" t="s">
        <v>4367</v>
      </c>
      <c r="K1539" s="40" t="s">
        <v>5713</v>
      </c>
      <c r="L1539" s="14"/>
      <c r="M1539" s="14"/>
      <c r="N1539" s="14"/>
      <c r="O1539" s="110"/>
      <c r="P1539" s="4"/>
      <c r="Q1539" s="40">
        <v>9.1440000000000001</v>
      </c>
      <c r="R1539" s="8" t="s">
        <v>2115</v>
      </c>
      <c r="X1539" s="13">
        <v>40.173900000000003</v>
      </c>
      <c r="Y1539" s="13">
        <v>-95.965599999999995</v>
      </c>
      <c r="Z1539" s="14">
        <v>315</v>
      </c>
      <c r="AA1539" s="8" t="s">
        <v>2160</v>
      </c>
      <c r="AB1539" s="8" t="s">
        <v>2182</v>
      </c>
    </row>
    <row r="1540" spans="1:28" s="8" customFormat="1" ht="21.75" customHeight="1" x14ac:dyDescent="0.2">
      <c r="A1540" s="8" t="s">
        <v>2037</v>
      </c>
      <c r="B1540" s="8" t="s">
        <v>2038</v>
      </c>
      <c r="C1540" s="8" t="s">
        <v>2039</v>
      </c>
      <c r="D1540" s="8" t="s">
        <v>2043</v>
      </c>
      <c r="E1540" s="8" t="s">
        <v>280</v>
      </c>
      <c r="F1540" s="8" t="s">
        <v>212</v>
      </c>
      <c r="G1540" s="8" t="s">
        <v>2085</v>
      </c>
      <c r="H1540" s="3" t="s">
        <v>2086</v>
      </c>
      <c r="I1540" s="40">
        <v>2.1335999999999999</v>
      </c>
      <c r="J1540" s="40" t="s">
        <v>4367</v>
      </c>
      <c r="K1540" s="40" t="s">
        <v>5713</v>
      </c>
      <c r="L1540" s="14"/>
      <c r="M1540" s="14"/>
      <c r="N1540" s="14"/>
      <c r="O1540" s="110"/>
      <c r="P1540" s="4"/>
      <c r="Q1540" s="40">
        <v>4.2671999999999999</v>
      </c>
      <c r="R1540" s="8" t="s">
        <v>2115</v>
      </c>
      <c r="X1540" s="13">
        <v>40.210999999999999</v>
      </c>
      <c r="Y1540" s="13">
        <v>-96.093999999999994</v>
      </c>
      <c r="Z1540" s="14">
        <v>310</v>
      </c>
      <c r="AA1540" s="8" t="s">
        <v>2161</v>
      </c>
      <c r="AB1540" s="8" t="s">
        <v>1412</v>
      </c>
    </row>
    <row r="1541" spans="1:28" s="8" customFormat="1" ht="21.75" customHeight="1" x14ac:dyDescent="0.2">
      <c r="A1541" s="8" t="s">
        <v>2037</v>
      </c>
      <c r="B1541" s="8" t="s">
        <v>2038</v>
      </c>
      <c r="C1541" s="8" t="s">
        <v>2039</v>
      </c>
      <c r="D1541" s="8" t="s">
        <v>2043</v>
      </c>
      <c r="E1541" s="8" t="s">
        <v>280</v>
      </c>
      <c r="F1541" s="8" t="s">
        <v>212</v>
      </c>
      <c r="G1541" s="8" t="s">
        <v>2087</v>
      </c>
      <c r="H1541" s="3" t="s">
        <v>2088</v>
      </c>
      <c r="I1541" s="40">
        <v>3.6576000000000004</v>
      </c>
      <c r="J1541" s="40" t="s">
        <v>4367</v>
      </c>
      <c r="K1541" s="40" t="s">
        <v>5713</v>
      </c>
      <c r="L1541" s="14"/>
      <c r="M1541" s="14"/>
      <c r="N1541" s="14"/>
      <c r="O1541" s="110"/>
      <c r="P1541" s="4"/>
      <c r="Q1541" s="40">
        <v>4.4196</v>
      </c>
      <c r="R1541" s="8" t="s">
        <v>2115</v>
      </c>
      <c r="X1541" s="13">
        <v>40.226700000000001</v>
      </c>
      <c r="Y1541" s="13">
        <v>-96.089699999999993</v>
      </c>
      <c r="Z1541" s="14">
        <v>315</v>
      </c>
      <c r="AA1541" s="8" t="s">
        <v>2162</v>
      </c>
      <c r="AB1541" s="8" t="s">
        <v>1412</v>
      </c>
    </row>
    <row r="1542" spans="1:28" s="8" customFormat="1" ht="21.75" customHeight="1" x14ac:dyDescent="0.2">
      <c r="A1542" s="8" t="s">
        <v>2037</v>
      </c>
      <c r="B1542" s="8" t="s">
        <v>2038</v>
      </c>
      <c r="C1542" s="8" t="s">
        <v>2039</v>
      </c>
      <c r="D1542" s="8" t="s">
        <v>2044</v>
      </c>
      <c r="E1542" s="8" t="s">
        <v>280</v>
      </c>
      <c r="F1542" s="8" t="s">
        <v>212</v>
      </c>
      <c r="G1542" s="8" t="s">
        <v>2087</v>
      </c>
      <c r="H1542" s="3" t="s">
        <v>2088</v>
      </c>
      <c r="I1542" s="40">
        <v>1.9812000000000001</v>
      </c>
      <c r="J1542" s="40" t="s">
        <v>4367</v>
      </c>
      <c r="K1542" s="40" t="s">
        <v>5713</v>
      </c>
      <c r="L1542" s="14"/>
      <c r="M1542" s="14"/>
      <c r="N1542" s="14"/>
      <c r="O1542" s="110"/>
      <c r="P1542" s="4"/>
      <c r="Q1542" s="40">
        <v>5.7911999999999999</v>
      </c>
      <c r="R1542" s="8" t="s">
        <v>2127</v>
      </c>
      <c r="X1542" s="13">
        <v>42.470599999999997</v>
      </c>
      <c r="Y1542" s="13">
        <v>-96.6173</v>
      </c>
      <c r="Z1542" s="14">
        <v>355</v>
      </c>
      <c r="AA1542" s="8" t="s">
        <v>2163</v>
      </c>
    </row>
    <row r="1543" spans="1:28" s="8" customFormat="1" ht="21.75" customHeight="1" x14ac:dyDescent="0.2">
      <c r="A1543" s="8" t="s">
        <v>2037</v>
      </c>
      <c r="B1543" s="8" t="s">
        <v>2038</v>
      </c>
      <c r="C1543" s="8" t="s">
        <v>2039</v>
      </c>
      <c r="D1543" s="8" t="s">
        <v>2045</v>
      </c>
      <c r="E1543" s="8" t="s">
        <v>280</v>
      </c>
      <c r="F1543" s="8" t="s">
        <v>212</v>
      </c>
      <c r="G1543" s="8" t="s">
        <v>2089</v>
      </c>
      <c r="H1543" s="3" t="s">
        <v>2090</v>
      </c>
      <c r="I1543" s="40">
        <v>4.3281599999999996</v>
      </c>
      <c r="J1543" s="40" t="s">
        <v>4367</v>
      </c>
      <c r="K1543" s="40" t="s">
        <v>5713</v>
      </c>
      <c r="L1543" s="14"/>
      <c r="M1543" s="14"/>
      <c r="N1543" s="14"/>
      <c r="O1543" s="110"/>
      <c r="P1543" s="4"/>
      <c r="Q1543" s="40">
        <v>4.8768000000000002</v>
      </c>
      <c r="R1543" s="8" t="s">
        <v>2115</v>
      </c>
      <c r="X1543" s="13">
        <v>40.717500000000001</v>
      </c>
      <c r="Y1543" s="13">
        <v>-96.701999999999998</v>
      </c>
      <c r="Z1543" s="14">
        <v>360</v>
      </c>
      <c r="AA1543" s="8" t="s">
        <v>2164</v>
      </c>
      <c r="AB1543" s="8" t="s">
        <v>2183</v>
      </c>
    </row>
    <row r="1544" spans="1:28" s="8" customFormat="1" ht="21.75" customHeight="1" x14ac:dyDescent="0.2">
      <c r="A1544" s="8" t="s">
        <v>2037</v>
      </c>
      <c r="B1544" s="8" t="s">
        <v>2038</v>
      </c>
      <c r="C1544" s="8" t="s">
        <v>2039</v>
      </c>
      <c r="D1544" s="8" t="s">
        <v>2041</v>
      </c>
      <c r="E1544" s="8" t="s">
        <v>280</v>
      </c>
      <c r="F1544" s="8" t="s">
        <v>212</v>
      </c>
      <c r="G1544" s="8" t="s">
        <v>2089</v>
      </c>
      <c r="H1544" s="3" t="s">
        <v>2090</v>
      </c>
      <c r="I1544" s="40">
        <v>0.76200000000000001</v>
      </c>
      <c r="J1544" s="40" t="s">
        <v>4367</v>
      </c>
      <c r="K1544" s="40" t="s">
        <v>5713</v>
      </c>
      <c r="L1544" s="14"/>
      <c r="M1544" s="14"/>
      <c r="N1544" s="14"/>
      <c r="O1544" s="110"/>
      <c r="P1544" s="4"/>
      <c r="Q1544" s="40">
        <v>0.76200000000000001</v>
      </c>
      <c r="R1544" s="8" t="s">
        <v>2128</v>
      </c>
      <c r="X1544" s="13">
        <v>41.286299999999997</v>
      </c>
      <c r="Y1544" s="13">
        <v>-98.150199999999998</v>
      </c>
      <c r="Z1544" s="14">
        <v>513</v>
      </c>
      <c r="AA1544" s="8" t="s">
        <v>2165</v>
      </c>
    </row>
    <row r="1545" spans="1:28" s="8" customFormat="1" ht="21.75" customHeight="1" x14ac:dyDescent="0.2">
      <c r="A1545" s="8" t="s">
        <v>2037</v>
      </c>
      <c r="B1545" s="8" t="s">
        <v>2038</v>
      </c>
      <c r="C1545" s="8" t="s">
        <v>2039</v>
      </c>
      <c r="D1545" s="8" t="s">
        <v>2041</v>
      </c>
      <c r="E1545" s="8" t="s">
        <v>280</v>
      </c>
      <c r="F1545" s="8" t="s">
        <v>212</v>
      </c>
      <c r="G1545" s="8" t="s">
        <v>2091</v>
      </c>
      <c r="H1545" s="3" t="s">
        <v>2092</v>
      </c>
      <c r="I1545" s="40">
        <v>2.4384000000000001</v>
      </c>
      <c r="J1545" s="40" t="s">
        <v>4367</v>
      </c>
      <c r="K1545" s="40" t="s">
        <v>5713</v>
      </c>
      <c r="L1545" s="14"/>
      <c r="M1545" s="14"/>
      <c r="N1545" s="14"/>
      <c r="O1545" s="110"/>
      <c r="P1545" s="4"/>
      <c r="Q1545" s="40">
        <v>2.4384000000000001</v>
      </c>
      <c r="R1545" s="8" t="s">
        <v>2124</v>
      </c>
      <c r="X1545" s="13">
        <v>41.339700000000001</v>
      </c>
      <c r="Y1545" s="13">
        <v>-97.980099999999993</v>
      </c>
      <c r="Z1545" s="14">
        <v>497</v>
      </c>
      <c r="AA1545" s="8" t="s">
        <v>2166</v>
      </c>
    </row>
    <row r="1546" spans="1:28" s="8" customFormat="1" ht="21.75" customHeight="1" x14ac:dyDescent="0.2">
      <c r="A1546" s="8" t="s">
        <v>2037</v>
      </c>
      <c r="B1546" s="8" t="s">
        <v>2038</v>
      </c>
      <c r="C1546" s="8" t="s">
        <v>2039</v>
      </c>
      <c r="D1546" s="8" t="s">
        <v>2043</v>
      </c>
      <c r="E1546" s="8" t="s">
        <v>280</v>
      </c>
      <c r="F1546" s="8" t="s">
        <v>212</v>
      </c>
      <c r="G1546" s="8" t="s">
        <v>2093</v>
      </c>
      <c r="H1546" s="3" t="s">
        <v>2094</v>
      </c>
      <c r="I1546" s="40">
        <v>1.8288000000000002</v>
      </c>
      <c r="J1546" s="40" t="s">
        <v>4367</v>
      </c>
      <c r="K1546" s="40" t="s">
        <v>5713</v>
      </c>
      <c r="L1546" s="14"/>
      <c r="M1546" s="14"/>
      <c r="N1546" s="14"/>
      <c r="O1546" s="110"/>
      <c r="P1546" s="4"/>
      <c r="Q1546" s="40">
        <v>6.0960000000000001</v>
      </c>
      <c r="R1546" s="8" t="s">
        <v>2115</v>
      </c>
      <c r="X1546" s="13">
        <v>40.1494</v>
      </c>
      <c r="Y1546" s="13">
        <v>-96.126300000000001</v>
      </c>
      <c r="Z1546" s="14">
        <v>350</v>
      </c>
      <c r="AA1546" s="8" t="s">
        <v>2167</v>
      </c>
      <c r="AB1546" s="8" t="s">
        <v>2184</v>
      </c>
    </row>
    <row r="1547" spans="1:28" s="8" customFormat="1" ht="21.75" customHeight="1" x14ac:dyDescent="0.2">
      <c r="A1547" s="8" t="s">
        <v>2037</v>
      </c>
      <c r="B1547" s="8" t="s">
        <v>2038</v>
      </c>
      <c r="C1547" s="8" t="s">
        <v>2039</v>
      </c>
      <c r="D1547" s="8" t="s">
        <v>2043</v>
      </c>
      <c r="E1547" s="8" t="s">
        <v>280</v>
      </c>
      <c r="F1547" s="8" t="s">
        <v>212</v>
      </c>
      <c r="G1547" s="8" t="s">
        <v>2095</v>
      </c>
      <c r="H1547" s="3" t="s">
        <v>2096</v>
      </c>
      <c r="I1547" s="40">
        <v>1.6764000000000001</v>
      </c>
      <c r="J1547" s="40" t="s">
        <v>4367</v>
      </c>
      <c r="K1547" s="40" t="s">
        <v>5713</v>
      </c>
      <c r="L1547" s="14"/>
      <c r="M1547" s="14"/>
      <c r="N1547" s="14"/>
      <c r="O1547" s="110"/>
      <c r="P1547" s="4"/>
      <c r="Q1547" s="40">
        <v>4.2671999999999999</v>
      </c>
      <c r="R1547" s="8" t="s">
        <v>2115</v>
      </c>
      <c r="X1547" s="13">
        <v>40.202199999999998</v>
      </c>
      <c r="Y1547" s="13">
        <v>-96.083699999999993</v>
      </c>
      <c r="Z1547" s="14">
        <v>315</v>
      </c>
      <c r="AA1547" s="8" t="s">
        <v>2168</v>
      </c>
    </row>
    <row r="1548" spans="1:28" s="8" customFormat="1" ht="21.75" customHeight="1" x14ac:dyDescent="0.2">
      <c r="A1548" s="8" t="s">
        <v>2037</v>
      </c>
      <c r="B1548" s="8" t="s">
        <v>2038</v>
      </c>
      <c r="C1548" s="8" t="s">
        <v>2039</v>
      </c>
      <c r="D1548" s="8" t="s">
        <v>2043</v>
      </c>
      <c r="E1548" s="8" t="s">
        <v>280</v>
      </c>
      <c r="F1548" s="8" t="s">
        <v>212</v>
      </c>
      <c r="G1548" s="8" t="s">
        <v>2097</v>
      </c>
      <c r="H1548" s="3" t="s">
        <v>2098</v>
      </c>
      <c r="I1548" s="40">
        <v>1.2801600000000002</v>
      </c>
      <c r="J1548" s="40" t="s">
        <v>4367</v>
      </c>
      <c r="K1548" s="40" t="s">
        <v>5713</v>
      </c>
      <c r="L1548" s="14"/>
      <c r="M1548" s="14"/>
      <c r="N1548" s="14"/>
      <c r="O1548" s="110"/>
      <c r="P1548" s="4"/>
      <c r="Q1548" s="40">
        <v>4.2671999999999999</v>
      </c>
      <c r="R1548" s="8" t="s">
        <v>2115</v>
      </c>
      <c r="X1548" s="13">
        <v>40.139200000000002</v>
      </c>
      <c r="Y1548" s="13">
        <v>-96.033000000000001</v>
      </c>
      <c r="Z1548" s="14">
        <v>309</v>
      </c>
      <c r="AA1548" s="8" t="s">
        <v>2169</v>
      </c>
    </row>
    <row r="1549" spans="1:28" s="8" customFormat="1" ht="21.75" customHeight="1" x14ac:dyDescent="0.2">
      <c r="A1549" s="8" t="s">
        <v>2037</v>
      </c>
      <c r="B1549" s="8" t="s">
        <v>2038</v>
      </c>
      <c r="C1549" s="8" t="s">
        <v>2039</v>
      </c>
      <c r="D1549" s="8" t="s">
        <v>2042</v>
      </c>
      <c r="E1549" s="8" t="s">
        <v>280</v>
      </c>
      <c r="F1549" s="8" t="s">
        <v>212</v>
      </c>
      <c r="G1549" s="8" t="s">
        <v>2099</v>
      </c>
      <c r="H1549" s="3" t="s">
        <v>2100</v>
      </c>
      <c r="I1549" s="40">
        <v>1.524</v>
      </c>
      <c r="J1549" s="40" t="s">
        <v>4367</v>
      </c>
      <c r="K1549" s="40" t="s">
        <v>5713</v>
      </c>
      <c r="L1549" s="14"/>
      <c r="M1549" s="14"/>
      <c r="N1549" s="14"/>
      <c r="O1549" s="110"/>
      <c r="P1549" s="4"/>
      <c r="Q1549" s="40">
        <v>2.4384000000000001</v>
      </c>
      <c r="R1549" s="8" t="s">
        <v>2113</v>
      </c>
      <c r="X1549" s="13">
        <v>41.248199999999997</v>
      </c>
      <c r="Y1549" s="13">
        <v>-98.156999999999996</v>
      </c>
      <c r="Z1549" s="14">
        <v>525</v>
      </c>
      <c r="AA1549" s="8" t="s">
        <v>2170</v>
      </c>
    </row>
    <row r="1550" spans="1:28" s="8" customFormat="1" ht="21.75" customHeight="1" x14ac:dyDescent="0.2">
      <c r="A1550" s="8" t="s">
        <v>2037</v>
      </c>
      <c r="B1550" s="8" t="s">
        <v>2038</v>
      </c>
      <c r="C1550" s="8" t="s">
        <v>2039</v>
      </c>
      <c r="D1550" s="8" t="s">
        <v>2040</v>
      </c>
      <c r="E1550" s="8" t="s">
        <v>280</v>
      </c>
      <c r="F1550" s="8" t="s">
        <v>212</v>
      </c>
      <c r="G1550" s="8" t="s">
        <v>2101</v>
      </c>
      <c r="H1550" s="3" t="s">
        <v>2102</v>
      </c>
      <c r="I1550" s="40">
        <v>1.524</v>
      </c>
      <c r="J1550" s="40" t="s">
        <v>4367</v>
      </c>
      <c r="K1550" s="40" t="s">
        <v>5713</v>
      </c>
      <c r="L1550" s="14"/>
      <c r="M1550" s="14"/>
      <c r="N1550" s="14"/>
      <c r="O1550" s="110"/>
      <c r="P1550" s="4"/>
      <c r="Q1550" s="40">
        <v>6.0960000000000001</v>
      </c>
      <c r="R1550" s="8" t="s">
        <v>2115</v>
      </c>
      <c r="X1550" s="13">
        <v>40.156300000000002</v>
      </c>
      <c r="Y1550" s="13">
        <v>-95.983400000000003</v>
      </c>
      <c r="Z1550" s="14">
        <v>299</v>
      </c>
      <c r="AA1550" s="8" t="s">
        <v>2171</v>
      </c>
      <c r="AB1550" s="8" t="s">
        <v>2182</v>
      </c>
    </row>
    <row r="1551" spans="1:28" s="8" customFormat="1" ht="21.75" customHeight="1" x14ac:dyDescent="0.2">
      <c r="A1551" s="8" t="s">
        <v>2037</v>
      </c>
      <c r="B1551" s="8" t="s">
        <v>2038</v>
      </c>
      <c r="C1551" s="8" t="s">
        <v>2039</v>
      </c>
      <c r="D1551" s="8" t="s">
        <v>2043</v>
      </c>
      <c r="E1551" s="8" t="s">
        <v>280</v>
      </c>
      <c r="F1551" s="8" t="s">
        <v>212</v>
      </c>
      <c r="G1551" s="8" t="s">
        <v>2103</v>
      </c>
      <c r="H1551" s="3" t="s">
        <v>2104</v>
      </c>
      <c r="I1551" s="40">
        <v>2.286</v>
      </c>
      <c r="J1551" s="40" t="s">
        <v>4367</v>
      </c>
      <c r="K1551" s="40" t="s">
        <v>5713</v>
      </c>
      <c r="L1551" s="14"/>
      <c r="M1551" s="14"/>
      <c r="N1551" s="14"/>
      <c r="O1551" s="110"/>
      <c r="P1551" s="4"/>
      <c r="Q1551" s="40">
        <v>16.763999999999999</v>
      </c>
      <c r="R1551" s="8" t="s">
        <v>2129</v>
      </c>
      <c r="X1551" s="13">
        <v>40.052</v>
      </c>
      <c r="Y1551" s="13">
        <v>-96.295299999999997</v>
      </c>
      <c r="Z1551" s="14">
        <v>431</v>
      </c>
      <c r="AA1551" s="8" t="s">
        <v>2172</v>
      </c>
      <c r="AB1551" s="8" t="s">
        <v>2179</v>
      </c>
    </row>
    <row r="1552" spans="1:28" s="8" customFormat="1" ht="21.75" customHeight="1" x14ac:dyDescent="0.2">
      <c r="A1552" s="8" t="s">
        <v>2037</v>
      </c>
      <c r="B1552" s="8" t="s">
        <v>2038</v>
      </c>
      <c r="C1552" s="8" t="s">
        <v>2039</v>
      </c>
      <c r="D1552" s="8" t="s">
        <v>2040</v>
      </c>
      <c r="E1552" s="8" t="s">
        <v>280</v>
      </c>
      <c r="F1552" s="8" t="s">
        <v>212</v>
      </c>
      <c r="G1552" s="8" t="s">
        <v>2105</v>
      </c>
      <c r="H1552" s="3" t="s">
        <v>2106</v>
      </c>
      <c r="I1552" s="40">
        <v>1.2192000000000001</v>
      </c>
      <c r="J1552" s="40" t="s">
        <v>4367</v>
      </c>
      <c r="K1552" s="40" t="s">
        <v>5713</v>
      </c>
      <c r="L1552" s="14"/>
      <c r="M1552" s="14"/>
      <c r="N1552" s="14"/>
      <c r="O1552" s="110"/>
      <c r="P1552" s="4"/>
      <c r="Q1552" s="40">
        <v>21.336000000000002</v>
      </c>
      <c r="R1552" s="8" t="s">
        <v>2111</v>
      </c>
      <c r="X1552" s="13">
        <v>40.2166</v>
      </c>
      <c r="Y1552" s="13">
        <v>-95.509299999999996</v>
      </c>
      <c r="Z1552" s="14">
        <v>332</v>
      </c>
      <c r="AA1552" s="8" t="s">
        <v>2173</v>
      </c>
    </row>
    <row r="1553" spans="1:29" s="8" customFormat="1" ht="21.75" customHeight="1" x14ac:dyDescent="0.2">
      <c r="A1553" s="8" t="s">
        <v>2037</v>
      </c>
      <c r="B1553" s="8" t="s">
        <v>2038</v>
      </c>
      <c r="C1553" s="8" t="s">
        <v>2039</v>
      </c>
      <c r="D1553" s="8" t="s">
        <v>2044</v>
      </c>
      <c r="E1553" s="8" t="s">
        <v>280</v>
      </c>
      <c r="F1553" s="8" t="s">
        <v>212</v>
      </c>
      <c r="G1553" s="8" t="s">
        <v>2107</v>
      </c>
      <c r="H1553" s="3" t="s">
        <v>2108</v>
      </c>
      <c r="I1553" s="40">
        <v>0.9144000000000001</v>
      </c>
      <c r="J1553" s="40" t="s">
        <v>4367</v>
      </c>
      <c r="K1553" s="40" t="s">
        <v>5713</v>
      </c>
      <c r="L1553" s="14"/>
      <c r="M1553" s="14"/>
      <c r="N1553" s="14"/>
      <c r="O1553" s="110"/>
      <c r="P1553" s="4"/>
      <c r="Q1553" s="40">
        <v>24.384</v>
      </c>
      <c r="R1553" s="8" t="s">
        <v>2122</v>
      </c>
      <c r="X1553" s="13">
        <v>42.3675</v>
      </c>
      <c r="Y1553" s="13">
        <v>-96.658799999999999</v>
      </c>
      <c r="Z1553" s="14">
        <v>412</v>
      </c>
      <c r="AA1553" s="8" t="s">
        <v>2174</v>
      </c>
    </row>
    <row r="1554" spans="1:29" s="8" customFormat="1" ht="21.75" customHeight="1" x14ac:dyDescent="0.2">
      <c r="A1554" s="8" t="s">
        <v>2037</v>
      </c>
      <c r="B1554" s="8" t="s">
        <v>2038</v>
      </c>
      <c r="C1554" s="8" t="s">
        <v>2039</v>
      </c>
      <c r="D1554" s="8" t="s">
        <v>2041</v>
      </c>
      <c r="E1554" s="8" t="s">
        <v>280</v>
      </c>
      <c r="F1554" s="8" t="s">
        <v>212</v>
      </c>
      <c r="G1554" s="8" t="s">
        <v>2109</v>
      </c>
      <c r="H1554" s="3" t="s">
        <v>2110</v>
      </c>
      <c r="I1554" s="40">
        <v>0.9144000000000001</v>
      </c>
      <c r="J1554" s="40" t="s">
        <v>4367</v>
      </c>
      <c r="K1554" s="40" t="s">
        <v>5713</v>
      </c>
      <c r="L1554" s="14"/>
      <c r="M1554" s="14"/>
      <c r="N1554" s="14"/>
      <c r="O1554" s="110"/>
      <c r="P1554" s="4"/>
      <c r="Q1554" s="40">
        <v>1.2192000000000001</v>
      </c>
      <c r="R1554" s="8" t="s">
        <v>2128</v>
      </c>
      <c r="X1554" s="13">
        <v>41.443100000000001</v>
      </c>
      <c r="Y1554" s="13">
        <v>-97.729799999999997</v>
      </c>
      <c r="Z1554" s="14">
        <v>477</v>
      </c>
      <c r="AA1554" s="8" t="s">
        <v>2175</v>
      </c>
      <c r="AB1554" s="8" t="s">
        <v>2185</v>
      </c>
    </row>
    <row r="1555" spans="1:29" ht="21.75" customHeight="1" x14ac:dyDescent="0.2">
      <c r="A1555" s="7" t="s">
        <v>6889</v>
      </c>
      <c r="B1555" s="7" t="s">
        <v>5159</v>
      </c>
      <c r="C1555" s="7" t="s">
        <v>5152</v>
      </c>
      <c r="D1555" s="7" t="s">
        <v>5158</v>
      </c>
      <c r="E1555" s="7" t="s">
        <v>280</v>
      </c>
      <c r="F1555" s="7" t="s">
        <v>212</v>
      </c>
      <c r="G1555" s="7" t="s">
        <v>4722</v>
      </c>
      <c r="H1555" s="1" t="s">
        <v>5151</v>
      </c>
      <c r="I1555" s="2">
        <v>0.6</v>
      </c>
      <c r="J1555" s="41" t="s">
        <v>4367</v>
      </c>
      <c r="K1555" s="41" t="s">
        <v>4410</v>
      </c>
      <c r="L1555" s="6">
        <v>992</v>
      </c>
      <c r="M1555" s="6" t="s">
        <v>5156</v>
      </c>
      <c r="Q1555" s="41"/>
      <c r="R1555" s="44" t="s">
        <v>5154</v>
      </c>
      <c r="V1555" s="7" t="s">
        <v>5155</v>
      </c>
      <c r="W1555" s="7" t="s">
        <v>94</v>
      </c>
      <c r="X1555" s="5">
        <v>24.898700000000002</v>
      </c>
      <c r="Y1555" s="5">
        <v>83.135599999999997</v>
      </c>
      <c r="Z1555" s="6">
        <v>252</v>
      </c>
      <c r="AA1555" s="7" t="s">
        <v>5157</v>
      </c>
      <c r="AB1555" s="7" t="s">
        <v>5153</v>
      </c>
    </row>
    <row r="1556" spans="1:29" s="8" customFormat="1" ht="21.75" customHeight="1" x14ac:dyDescent="0.2">
      <c r="A1556" s="8" t="s">
        <v>5440</v>
      </c>
      <c r="B1556" s="8" t="s">
        <v>5441</v>
      </c>
      <c r="C1556" s="8" t="s">
        <v>253</v>
      </c>
      <c r="E1556" s="8" t="s">
        <v>398</v>
      </c>
      <c r="F1556" s="8" t="s">
        <v>217</v>
      </c>
      <c r="G1556" s="8" t="s">
        <v>5439</v>
      </c>
      <c r="H1556" s="3" t="s">
        <v>5445</v>
      </c>
      <c r="I1556" s="4">
        <f>6.5*0.3048</f>
        <v>1.9812000000000001</v>
      </c>
      <c r="J1556" s="40" t="s">
        <v>4853</v>
      </c>
      <c r="K1556" s="40" t="s">
        <v>4480</v>
      </c>
      <c r="L1556" s="14"/>
      <c r="M1556" s="14"/>
      <c r="N1556" s="14"/>
      <c r="O1556" s="110"/>
      <c r="P1556" s="4" t="s">
        <v>5436</v>
      </c>
      <c r="Q1556" s="4">
        <v>2.4500000000000002</v>
      </c>
      <c r="R1556" s="22" t="s">
        <v>5455</v>
      </c>
      <c r="X1556" s="8">
        <v>48.3157</v>
      </c>
      <c r="Y1556" s="13">
        <v>-100.5877</v>
      </c>
      <c r="Z1556" s="14">
        <v>461</v>
      </c>
      <c r="AA1556" s="8" t="s">
        <v>5450</v>
      </c>
      <c r="AB1556" s="8" t="s">
        <v>5452</v>
      </c>
      <c r="AC1556" s="8" t="s">
        <v>5454</v>
      </c>
    </row>
    <row r="1557" spans="1:29" s="8" customFormat="1" ht="21.75" customHeight="1" x14ac:dyDescent="0.2">
      <c r="A1557" s="8" t="s">
        <v>5440</v>
      </c>
      <c r="B1557" s="8" t="s">
        <v>5441</v>
      </c>
      <c r="C1557" s="8" t="s">
        <v>253</v>
      </c>
      <c r="E1557" s="8" t="s">
        <v>398</v>
      </c>
      <c r="F1557" s="8" t="s">
        <v>5447</v>
      </c>
      <c r="G1557" s="8" t="s">
        <v>5446</v>
      </c>
      <c r="H1557" s="3" t="s">
        <v>5448</v>
      </c>
      <c r="I1557" s="4">
        <f>6.7*0.3048</f>
        <v>2.04216</v>
      </c>
      <c r="J1557" s="40" t="s">
        <v>4853</v>
      </c>
      <c r="K1557" s="40" t="s">
        <v>4480</v>
      </c>
      <c r="L1557" s="14"/>
      <c r="M1557" s="14"/>
      <c r="N1557" s="14"/>
      <c r="O1557" s="110"/>
      <c r="P1557" s="4" t="s">
        <v>5436</v>
      </c>
      <c r="Q1557" s="4">
        <v>2.4500000000000002</v>
      </c>
      <c r="R1557" s="22" t="s">
        <v>5455</v>
      </c>
      <c r="X1557" s="8">
        <v>48.3157</v>
      </c>
      <c r="Y1557" s="13">
        <v>-100.5877</v>
      </c>
      <c r="Z1557" s="14">
        <v>461</v>
      </c>
      <c r="AA1557" s="8" t="s">
        <v>5451</v>
      </c>
      <c r="AB1557" s="8" t="s">
        <v>5453</v>
      </c>
    </row>
    <row r="1558" spans="1:29" s="63" customFormat="1" ht="21.75" customHeight="1" x14ac:dyDescent="0.2">
      <c r="A1558" s="63" t="s">
        <v>5440</v>
      </c>
      <c r="B1558" s="63" t="s">
        <v>5441</v>
      </c>
      <c r="C1558" s="63" t="s">
        <v>253</v>
      </c>
      <c r="E1558" s="63" t="s">
        <v>398</v>
      </c>
      <c r="F1558" s="63" t="s">
        <v>5449</v>
      </c>
      <c r="G1558" s="63" t="s">
        <v>7009</v>
      </c>
      <c r="H1558" s="64" t="s">
        <v>7008</v>
      </c>
      <c r="I1558" s="65">
        <f>16*0.0254+1.83</f>
        <v>2.2364000000000002</v>
      </c>
      <c r="J1558" s="66" t="s">
        <v>4853</v>
      </c>
      <c r="K1558" s="66" t="s">
        <v>4480</v>
      </c>
      <c r="L1558" s="67"/>
      <c r="M1558" s="67"/>
      <c r="N1558" s="67"/>
      <c r="O1558" s="119"/>
      <c r="P1558" s="65" t="s">
        <v>5436</v>
      </c>
      <c r="Q1558" s="65">
        <v>2.4500000000000002</v>
      </c>
      <c r="R1558" s="68" t="s">
        <v>5455</v>
      </c>
      <c r="X1558" s="63">
        <v>48.3157</v>
      </c>
      <c r="Y1558" s="69">
        <v>-100.5877</v>
      </c>
      <c r="Z1558" s="67">
        <v>461</v>
      </c>
      <c r="AA1558" s="63" t="s">
        <v>5437</v>
      </c>
      <c r="AB1558" s="63" t="s">
        <v>5442</v>
      </c>
    </row>
    <row r="1559" spans="1:29" s="8" customFormat="1" ht="21.75" customHeight="1" x14ac:dyDescent="0.2">
      <c r="A1559" s="8" t="s">
        <v>5440</v>
      </c>
      <c r="B1559" s="8" t="s">
        <v>5441</v>
      </c>
      <c r="C1559" s="8" t="s">
        <v>253</v>
      </c>
      <c r="E1559" s="8" t="s">
        <v>280</v>
      </c>
      <c r="F1559" s="8" t="s">
        <v>212</v>
      </c>
      <c r="G1559" s="8" t="s">
        <v>5443</v>
      </c>
      <c r="H1559" s="3" t="s">
        <v>5444</v>
      </c>
      <c r="I1559" s="4">
        <f>16*0.0254+1.83</f>
        <v>2.2364000000000002</v>
      </c>
      <c r="J1559" s="40" t="s">
        <v>4853</v>
      </c>
      <c r="K1559" s="40" t="s">
        <v>4480</v>
      </c>
      <c r="L1559" s="14"/>
      <c r="M1559" s="14"/>
      <c r="N1559" s="14"/>
      <c r="O1559" s="110"/>
      <c r="P1559" s="4" t="s">
        <v>5436</v>
      </c>
      <c r="Q1559" s="4">
        <v>2.4500000000000002</v>
      </c>
      <c r="R1559" s="22" t="s">
        <v>5455</v>
      </c>
      <c r="X1559" s="8">
        <v>48.3157</v>
      </c>
      <c r="Y1559" s="13">
        <v>-100.5877</v>
      </c>
      <c r="Z1559" s="14">
        <v>461</v>
      </c>
      <c r="AA1559" s="8" t="s">
        <v>5438</v>
      </c>
      <c r="AB1559" s="8" t="s">
        <v>5442</v>
      </c>
    </row>
    <row r="1560" spans="1:29" ht="21.75" customHeight="1" x14ac:dyDescent="0.2">
      <c r="A1560" s="7" t="s">
        <v>5143</v>
      </c>
      <c r="B1560" s="7" t="s">
        <v>5148</v>
      </c>
      <c r="C1560" s="7" t="s">
        <v>1720</v>
      </c>
      <c r="D1560" s="7" t="s">
        <v>5150</v>
      </c>
      <c r="E1560" s="7" t="s">
        <v>280</v>
      </c>
      <c r="F1560" s="7" t="s">
        <v>212</v>
      </c>
      <c r="G1560" s="7" t="s">
        <v>5133</v>
      </c>
      <c r="H1560" s="1" t="s">
        <v>5132</v>
      </c>
      <c r="I1560" s="41">
        <v>3</v>
      </c>
      <c r="J1560" s="41" t="s">
        <v>5146</v>
      </c>
      <c r="K1560" s="41" t="s">
        <v>4480</v>
      </c>
      <c r="O1560" s="45" t="s">
        <v>5149</v>
      </c>
      <c r="Q1560" s="41"/>
      <c r="R1560" s="44" t="s">
        <v>5145</v>
      </c>
      <c r="U1560" s="7" t="s">
        <v>368</v>
      </c>
      <c r="V1560" s="7">
        <v>3</v>
      </c>
      <c r="X1560" s="5">
        <f>38+15/60</f>
        <v>38.25</v>
      </c>
      <c r="Y1560" s="5">
        <f>-(83+34/60)</f>
        <v>-83.566666666666663</v>
      </c>
      <c r="Z1560" s="7">
        <v>227</v>
      </c>
      <c r="AA1560" s="7" t="s">
        <v>5147</v>
      </c>
      <c r="AB1560" s="7" t="s">
        <v>5144</v>
      </c>
    </row>
    <row r="1561" spans="1:29" s="8" customFormat="1" ht="21.75" customHeight="1" x14ac:dyDescent="0.2">
      <c r="A1561" s="8" t="s">
        <v>6888</v>
      </c>
      <c r="B1561" s="8" t="s">
        <v>2186</v>
      </c>
      <c r="C1561" s="8" t="s">
        <v>2187</v>
      </c>
      <c r="D1561" s="8" t="s">
        <v>2188</v>
      </c>
      <c r="E1561" s="8" t="s">
        <v>33</v>
      </c>
      <c r="F1561" s="8" t="s">
        <v>212</v>
      </c>
      <c r="G1561" s="8" t="s">
        <v>84</v>
      </c>
      <c r="H1561" s="3" t="s">
        <v>85</v>
      </c>
      <c r="I1561" s="4">
        <v>0.1</v>
      </c>
      <c r="J1561" s="4" t="s">
        <v>4404</v>
      </c>
      <c r="K1561" s="4" t="s">
        <v>4410</v>
      </c>
      <c r="L1561" s="14"/>
      <c r="M1561" s="14"/>
      <c r="N1561" s="14"/>
      <c r="O1561" s="110"/>
      <c r="P1561" s="4"/>
      <c r="Q1561" s="8">
        <v>0.1</v>
      </c>
      <c r="R1561" s="22" t="s">
        <v>2204</v>
      </c>
      <c r="X1561" s="13">
        <v>55.041699999999999</v>
      </c>
      <c r="Y1561" s="13">
        <v>-114.0538</v>
      </c>
      <c r="Z1561" s="14">
        <v>613</v>
      </c>
      <c r="AA1561" s="138" t="s">
        <v>2212</v>
      </c>
      <c r="AB1561" s="138" t="s">
        <v>2211</v>
      </c>
    </row>
    <row r="1562" spans="1:29" s="8" customFormat="1" ht="21.75" customHeight="1" x14ac:dyDescent="0.2">
      <c r="A1562" s="8" t="s">
        <v>6888</v>
      </c>
      <c r="B1562" s="8" t="s">
        <v>2186</v>
      </c>
      <c r="C1562" s="8" t="s">
        <v>2187</v>
      </c>
      <c r="D1562" s="8" t="s">
        <v>2188</v>
      </c>
      <c r="E1562" s="8" t="s">
        <v>33</v>
      </c>
      <c r="F1562" s="8" t="s">
        <v>212</v>
      </c>
      <c r="G1562" s="8" t="s">
        <v>84</v>
      </c>
      <c r="H1562" s="3" t="s">
        <v>85</v>
      </c>
      <c r="I1562" s="4">
        <v>0.3</v>
      </c>
      <c r="J1562" s="4" t="s">
        <v>4404</v>
      </c>
      <c r="K1562" s="4" t="s">
        <v>4410</v>
      </c>
      <c r="L1562" s="14"/>
      <c r="M1562" s="14"/>
      <c r="N1562" s="14"/>
      <c r="O1562" s="110"/>
      <c r="P1562" s="4"/>
      <c r="Q1562" s="8">
        <v>0.3</v>
      </c>
      <c r="R1562" s="22" t="s">
        <v>2204</v>
      </c>
      <c r="X1562" s="13">
        <v>55.041699999999999</v>
      </c>
      <c r="Y1562" s="13">
        <v>-114.0538</v>
      </c>
      <c r="Z1562" s="14">
        <v>613</v>
      </c>
      <c r="AA1562" s="138"/>
      <c r="AB1562" s="138"/>
    </row>
    <row r="1563" spans="1:29" s="8" customFormat="1" ht="21.75" customHeight="1" x14ac:dyDescent="0.2">
      <c r="A1563" s="8" t="s">
        <v>6888</v>
      </c>
      <c r="B1563" s="8" t="s">
        <v>2186</v>
      </c>
      <c r="C1563" s="8" t="s">
        <v>2187</v>
      </c>
      <c r="D1563" s="8" t="s">
        <v>2189</v>
      </c>
      <c r="E1563" s="8" t="s">
        <v>33</v>
      </c>
      <c r="F1563" s="8" t="s">
        <v>212</v>
      </c>
      <c r="G1563" s="8" t="s">
        <v>2198</v>
      </c>
      <c r="H1563" s="3" t="s">
        <v>85</v>
      </c>
      <c r="I1563" s="4">
        <v>0.1</v>
      </c>
      <c r="J1563" s="4" t="s">
        <v>4404</v>
      </c>
      <c r="K1563" s="4" t="s">
        <v>4410</v>
      </c>
      <c r="L1563" s="14"/>
      <c r="M1563" s="14"/>
      <c r="N1563" s="14"/>
      <c r="O1563" s="110"/>
      <c r="P1563" s="4"/>
      <c r="Q1563" s="8" t="s">
        <v>2201</v>
      </c>
      <c r="R1563" s="8" t="s">
        <v>2205</v>
      </c>
      <c r="X1563" s="13">
        <v>55.111800000000002</v>
      </c>
      <c r="Y1563" s="13">
        <v>-114.16200000000001</v>
      </c>
      <c r="Z1563" s="14">
        <v>593</v>
      </c>
      <c r="AA1563" s="138"/>
      <c r="AB1563" s="138"/>
    </row>
    <row r="1564" spans="1:29" s="8" customFormat="1" ht="21.75" customHeight="1" x14ac:dyDescent="0.2">
      <c r="A1564" s="8" t="s">
        <v>6888</v>
      </c>
      <c r="B1564" s="8" t="s">
        <v>2186</v>
      </c>
      <c r="C1564" s="8" t="s">
        <v>2187</v>
      </c>
      <c r="D1564" s="8" t="s">
        <v>2188</v>
      </c>
      <c r="E1564" s="8" t="s">
        <v>736</v>
      </c>
      <c r="F1564" s="8" t="s">
        <v>212</v>
      </c>
      <c r="G1564" s="8" t="s">
        <v>82</v>
      </c>
      <c r="H1564" s="3" t="s">
        <v>2199</v>
      </c>
      <c r="I1564" s="4">
        <v>0.3</v>
      </c>
      <c r="J1564" s="4" t="s">
        <v>4404</v>
      </c>
      <c r="K1564" s="4" t="s">
        <v>4410</v>
      </c>
      <c r="L1564" s="14"/>
      <c r="M1564" s="14"/>
      <c r="N1564" s="14"/>
      <c r="O1564" s="110"/>
      <c r="P1564" s="4"/>
      <c r="Q1564" s="8">
        <v>0.3</v>
      </c>
      <c r="R1564" s="8" t="s">
        <v>2204</v>
      </c>
      <c r="X1564" s="13">
        <v>55.041699999999999</v>
      </c>
      <c r="Y1564" s="13">
        <v>-114.0538</v>
      </c>
      <c r="Z1564" s="14">
        <v>613</v>
      </c>
      <c r="AA1564" s="8" t="s">
        <v>2213</v>
      </c>
      <c r="AB1564" s="138"/>
    </row>
    <row r="1565" spans="1:29" s="8" customFormat="1" ht="21.75" customHeight="1" x14ac:dyDescent="0.2">
      <c r="A1565" s="8" t="s">
        <v>6888</v>
      </c>
      <c r="B1565" s="8" t="s">
        <v>2186</v>
      </c>
      <c r="C1565" s="8" t="s">
        <v>2187</v>
      </c>
      <c r="D1565" s="8" t="s">
        <v>2190</v>
      </c>
      <c r="E1565" s="8" t="s">
        <v>33</v>
      </c>
      <c r="F1565" s="8" t="s">
        <v>212</v>
      </c>
      <c r="G1565" s="8" t="s">
        <v>86</v>
      </c>
      <c r="H1565" s="3" t="s">
        <v>87</v>
      </c>
      <c r="I1565" s="4">
        <v>0.35</v>
      </c>
      <c r="J1565" s="4" t="s">
        <v>4404</v>
      </c>
      <c r="K1565" s="4" t="s">
        <v>4410</v>
      </c>
      <c r="L1565" s="14"/>
      <c r="M1565" s="14"/>
      <c r="N1565" s="14"/>
      <c r="O1565" s="110"/>
      <c r="P1565" s="4"/>
      <c r="Q1565" s="8" t="s">
        <v>2203</v>
      </c>
      <c r="R1565" s="8" t="s">
        <v>2206</v>
      </c>
      <c r="X1565" s="13">
        <v>55.1021</v>
      </c>
      <c r="Y1565" s="13">
        <v>-114.1504</v>
      </c>
      <c r="Z1565" s="14">
        <v>594</v>
      </c>
      <c r="AA1565" s="138" t="s">
        <v>2214</v>
      </c>
      <c r="AB1565" s="138" t="s">
        <v>2202</v>
      </c>
    </row>
    <row r="1566" spans="1:29" s="8" customFormat="1" ht="21.75" customHeight="1" x14ac:dyDescent="0.2">
      <c r="A1566" s="8" t="s">
        <v>6888</v>
      </c>
      <c r="B1566" s="8" t="s">
        <v>2186</v>
      </c>
      <c r="C1566" s="8" t="s">
        <v>2187</v>
      </c>
      <c r="D1566" s="8" t="s">
        <v>2191</v>
      </c>
      <c r="E1566" s="8" t="s">
        <v>33</v>
      </c>
      <c r="F1566" s="8" t="s">
        <v>212</v>
      </c>
      <c r="G1566" s="8" t="s">
        <v>86</v>
      </c>
      <c r="H1566" s="3" t="s">
        <v>87</v>
      </c>
      <c r="I1566" s="4">
        <v>0.5</v>
      </c>
      <c r="J1566" s="4" t="s">
        <v>4404</v>
      </c>
      <c r="K1566" s="4" t="s">
        <v>4410</v>
      </c>
      <c r="L1566" s="14"/>
      <c r="M1566" s="14"/>
      <c r="N1566" s="14"/>
      <c r="O1566" s="110"/>
      <c r="P1566" s="4"/>
      <c r="Q1566" s="8" t="s">
        <v>2203</v>
      </c>
      <c r="R1566" s="8" t="s">
        <v>2207</v>
      </c>
      <c r="X1566" s="13">
        <v>55.173999999999999</v>
      </c>
      <c r="Y1566" s="13">
        <v>-114.346</v>
      </c>
      <c r="Z1566" s="14">
        <v>625</v>
      </c>
      <c r="AA1566" s="138"/>
      <c r="AB1566" s="138"/>
    </row>
    <row r="1567" spans="1:29" s="8" customFormat="1" ht="21.75" customHeight="1" x14ac:dyDescent="0.2">
      <c r="A1567" s="8" t="s">
        <v>6888</v>
      </c>
      <c r="B1567" s="8" t="s">
        <v>2186</v>
      </c>
      <c r="C1567" s="8" t="s">
        <v>2187</v>
      </c>
      <c r="D1567" s="8" t="s">
        <v>2191</v>
      </c>
      <c r="E1567" s="8" t="s">
        <v>280</v>
      </c>
      <c r="F1567" s="8" t="s">
        <v>212</v>
      </c>
      <c r="G1567" s="8" t="s">
        <v>2200</v>
      </c>
      <c r="H1567" s="3" t="s">
        <v>864</v>
      </c>
      <c r="I1567" s="4">
        <v>0.5</v>
      </c>
      <c r="J1567" s="4" t="s">
        <v>4404</v>
      </c>
      <c r="K1567" s="4" t="s">
        <v>4410</v>
      </c>
      <c r="L1567" s="14"/>
      <c r="M1567" s="14"/>
      <c r="N1567" s="14"/>
      <c r="O1567" s="110"/>
      <c r="P1567" s="4"/>
      <c r="Q1567" s="8" t="s">
        <v>2203</v>
      </c>
      <c r="R1567" s="8" t="s">
        <v>2208</v>
      </c>
      <c r="X1567" s="13">
        <v>55.173999999999999</v>
      </c>
      <c r="Y1567" s="13">
        <v>-114.346</v>
      </c>
      <c r="Z1567" s="14">
        <v>625</v>
      </c>
      <c r="AA1567" s="138" t="s">
        <v>2215</v>
      </c>
      <c r="AB1567" s="138"/>
    </row>
    <row r="1568" spans="1:29" s="8" customFormat="1" ht="21.75" customHeight="1" x14ac:dyDescent="0.2">
      <c r="A1568" s="8" t="s">
        <v>6888</v>
      </c>
      <c r="B1568" s="8" t="s">
        <v>2186</v>
      </c>
      <c r="C1568" s="8" t="s">
        <v>2187</v>
      </c>
      <c r="D1568" s="8" t="s">
        <v>2192</v>
      </c>
      <c r="E1568" s="8" t="s">
        <v>280</v>
      </c>
      <c r="F1568" s="8" t="s">
        <v>212</v>
      </c>
      <c r="G1568" s="8" t="s">
        <v>2200</v>
      </c>
      <c r="H1568" s="3" t="s">
        <v>864</v>
      </c>
      <c r="I1568" s="4">
        <v>0.5</v>
      </c>
      <c r="J1568" s="4" t="s">
        <v>4404</v>
      </c>
      <c r="K1568" s="4" t="s">
        <v>4410</v>
      </c>
      <c r="L1568" s="14"/>
      <c r="M1568" s="14"/>
      <c r="N1568" s="14"/>
      <c r="O1568" s="110"/>
      <c r="P1568" s="4"/>
      <c r="Q1568" s="8" t="s">
        <v>2203</v>
      </c>
      <c r="R1568" s="8" t="s">
        <v>2208</v>
      </c>
      <c r="X1568" s="13">
        <v>55.174700000000001</v>
      </c>
      <c r="Y1568" s="13">
        <v>-114.3143</v>
      </c>
      <c r="Z1568" s="14">
        <v>611</v>
      </c>
      <c r="AA1568" s="138"/>
      <c r="AB1568" s="138"/>
    </row>
    <row r="1569" spans="1:28" s="8" customFormat="1" ht="21.75" customHeight="1" x14ac:dyDescent="0.2">
      <c r="A1569" s="8" t="s">
        <v>6888</v>
      </c>
      <c r="B1569" s="8" t="s">
        <v>2186</v>
      </c>
      <c r="C1569" s="8" t="s">
        <v>2187</v>
      </c>
      <c r="D1569" s="8" t="s">
        <v>2193</v>
      </c>
      <c r="E1569" s="8" t="s">
        <v>280</v>
      </c>
      <c r="F1569" s="8" t="s">
        <v>212</v>
      </c>
      <c r="G1569" s="8" t="s">
        <v>2200</v>
      </c>
      <c r="H1569" s="3" t="s">
        <v>864</v>
      </c>
      <c r="I1569" s="4">
        <v>1.5</v>
      </c>
      <c r="J1569" s="4" t="s">
        <v>4404</v>
      </c>
      <c r="K1569" s="4" t="s">
        <v>4410</v>
      </c>
      <c r="L1569" s="14"/>
      <c r="M1569" s="14"/>
      <c r="N1569" s="14"/>
      <c r="O1569" s="110"/>
      <c r="P1569" s="4"/>
      <c r="Q1569" s="8" t="s">
        <v>2203</v>
      </c>
      <c r="R1569" s="8" t="s">
        <v>2206</v>
      </c>
      <c r="X1569" s="13">
        <v>55.099299999999999</v>
      </c>
      <c r="Y1569" s="13">
        <v>-114.1444</v>
      </c>
      <c r="Z1569" s="14">
        <v>595</v>
      </c>
      <c r="AA1569" s="138"/>
      <c r="AB1569" s="138"/>
    </row>
    <row r="1570" spans="1:28" s="8" customFormat="1" ht="21.75" customHeight="1" x14ac:dyDescent="0.2">
      <c r="A1570" s="8" t="s">
        <v>6888</v>
      </c>
      <c r="B1570" s="8" t="s">
        <v>2186</v>
      </c>
      <c r="C1570" s="8" t="s">
        <v>2187</v>
      </c>
      <c r="D1570" s="8" t="s">
        <v>2194</v>
      </c>
      <c r="E1570" s="8" t="s">
        <v>280</v>
      </c>
      <c r="F1570" s="8" t="s">
        <v>212</v>
      </c>
      <c r="G1570" s="8" t="s">
        <v>2200</v>
      </c>
      <c r="H1570" s="3" t="s">
        <v>864</v>
      </c>
      <c r="I1570" s="4">
        <v>1.5</v>
      </c>
      <c r="J1570" s="4" t="s">
        <v>4404</v>
      </c>
      <c r="K1570" s="4" t="s">
        <v>4410</v>
      </c>
      <c r="L1570" s="14"/>
      <c r="M1570" s="14"/>
      <c r="N1570" s="14"/>
      <c r="O1570" s="110"/>
      <c r="P1570" s="4"/>
      <c r="Q1570" s="8" t="s">
        <v>2203</v>
      </c>
      <c r="R1570" s="8" t="s">
        <v>2206</v>
      </c>
      <c r="X1570" s="13">
        <v>55.089399999999998</v>
      </c>
      <c r="Y1570" s="13">
        <v>-114.0997</v>
      </c>
      <c r="Z1570" s="14">
        <v>579</v>
      </c>
      <c r="AA1570" s="138"/>
      <c r="AB1570" s="138"/>
    </row>
    <row r="1571" spans="1:28" s="8" customFormat="1" ht="21.75" customHeight="1" x14ac:dyDescent="0.2">
      <c r="A1571" s="8" t="s">
        <v>6888</v>
      </c>
      <c r="B1571" s="8" t="s">
        <v>2186</v>
      </c>
      <c r="C1571" s="8" t="s">
        <v>2187</v>
      </c>
      <c r="D1571" s="8" t="s">
        <v>2195</v>
      </c>
      <c r="E1571" s="8" t="s">
        <v>33</v>
      </c>
      <c r="F1571" s="8" t="s">
        <v>212</v>
      </c>
      <c r="G1571" s="8" t="s">
        <v>88</v>
      </c>
      <c r="H1571" s="3" t="s">
        <v>392</v>
      </c>
      <c r="I1571" s="4">
        <v>0.3</v>
      </c>
      <c r="J1571" s="4" t="s">
        <v>4404</v>
      </c>
      <c r="K1571" s="4" t="s">
        <v>4410</v>
      </c>
      <c r="L1571" s="14"/>
      <c r="M1571" s="14"/>
      <c r="N1571" s="14"/>
      <c r="O1571" s="110"/>
      <c r="P1571" s="4"/>
      <c r="Q1571" s="8" t="s">
        <v>2203</v>
      </c>
      <c r="R1571" s="8" t="s">
        <v>2206</v>
      </c>
      <c r="X1571" s="13">
        <v>55.084699999999998</v>
      </c>
      <c r="Y1571" s="13">
        <v>-114.121</v>
      </c>
      <c r="Z1571" s="14">
        <v>589</v>
      </c>
      <c r="AA1571" s="138" t="s">
        <v>2216</v>
      </c>
      <c r="AB1571" s="138"/>
    </row>
    <row r="1572" spans="1:28" s="8" customFormat="1" ht="21.75" customHeight="1" x14ac:dyDescent="0.2">
      <c r="A1572" s="8" t="s">
        <v>6888</v>
      </c>
      <c r="B1572" s="8" t="s">
        <v>2186</v>
      </c>
      <c r="C1572" s="8" t="s">
        <v>2187</v>
      </c>
      <c r="D1572" s="8" t="s">
        <v>2196</v>
      </c>
      <c r="E1572" s="8" t="s">
        <v>33</v>
      </c>
      <c r="F1572" s="8" t="s">
        <v>212</v>
      </c>
      <c r="G1572" s="8" t="s">
        <v>88</v>
      </c>
      <c r="H1572" s="3" t="s">
        <v>392</v>
      </c>
      <c r="I1572" s="4">
        <v>1.2</v>
      </c>
      <c r="J1572" s="4" t="s">
        <v>4404</v>
      </c>
      <c r="K1572" s="4" t="s">
        <v>4410</v>
      </c>
      <c r="L1572" s="14"/>
      <c r="M1572" s="14"/>
      <c r="N1572" s="14"/>
      <c r="O1572" s="110"/>
      <c r="P1572" s="4"/>
      <c r="Q1572" s="8" t="s">
        <v>2203</v>
      </c>
      <c r="R1572" s="8" t="s">
        <v>2206</v>
      </c>
      <c r="X1572" s="13">
        <v>55.076000000000001</v>
      </c>
      <c r="Y1572" s="13">
        <v>-114.12269999999999</v>
      </c>
      <c r="Z1572" s="14">
        <v>594</v>
      </c>
      <c r="AA1572" s="138"/>
      <c r="AB1572" s="138"/>
    </row>
    <row r="1573" spans="1:28" s="8" customFormat="1" ht="21.75" customHeight="1" x14ac:dyDescent="0.2">
      <c r="A1573" s="8" t="s">
        <v>6888</v>
      </c>
      <c r="B1573" s="8" t="s">
        <v>2186</v>
      </c>
      <c r="C1573" s="8" t="s">
        <v>2187</v>
      </c>
      <c r="D1573" s="8" t="s">
        <v>2196</v>
      </c>
      <c r="E1573" s="8" t="s">
        <v>33</v>
      </c>
      <c r="F1573" s="8" t="s">
        <v>212</v>
      </c>
      <c r="G1573" s="8" t="s">
        <v>88</v>
      </c>
      <c r="H1573" s="3" t="s">
        <v>392</v>
      </c>
      <c r="I1573" s="4">
        <v>1.1000000000000001</v>
      </c>
      <c r="J1573" s="4" t="s">
        <v>4404</v>
      </c>
      <c r="K1573" s="4" t="s">
        <v>4410</v>
      </c>
      <c r="L1573" s="14"/>
      <c r="M1573" s="14"/>
      <c r="N1573" s="14"/>
      <c r="O1573" s="110"/>
      <c r="P1573" s="4"/>
      <c r="Q1573" s="8" t="s">
        <v>2203</v>
      </c>
      <c r="R1573" s="8" t="s">
        <v>2206</v>
      </c>
      <c r="X1573" s="13">
        <v>55.076000000000001</v>
      </c>
      <c r="Y1573" s="13">
        <v>-114.12269999999999</v>
      </c>
      <c r="Z1573" s="14">
        <v>594</v>
      </c>
      <c r="AA1573" s="138"/>
    </row>
    <row r="1574" spans="1:28" s="8" customFormat="1" ht="21.75" customHeight="1" x14ac:dyDescent="0.2">
      <c r="A1574" s="8" t="s">
        <v>6888</v>
      </c>
      <c r="B1574" s="8" t="s">
        <v>2186</v>
      </c>
      <c r="C1574" s="8" t="s">
        <v>2187</v>
      </c>
      <c r="D1574" s="8" t="s">
        <v>2195</v>
      </c>
      <c r="E1574" s="8" t="s">
        <v>33</v>
      </c>
      <c r="F1574" s="8" t="s">
        <v>212</v>
      </c>
      <c r="G1574" s="8" t="s">
        <v>88</v>
      </c>
      <c r="H1574" s="3" t="s">
        <v>392</v>
      </c>
      <c r="I1574" s="4">
        <v>1.5</v>
      </c>
      <c r="J1574" s="4" t="s">
        <v>4404</v>
      </c>
      <c r="K1574" s="4" t="s">
        <v>4410</v>
      </c>
      <c r="L1574" s="14"/>
      <c r="M1574" s="14"/>
      <c r="N1574" s="14"/>
      <c r="O1574" s="110"/>
      <c r="P1574" s="4"/>
      <c r="Q1574" s="8" t="s">
        <v>2203</v>
      </c>
      <c r="R1574" s="8" t="s">
        <v>2206</v>
      </c>
      <c r="X1574" s="13">
        <v>55.084699999999998</v>
      </c>
      <c r="Y1574" s="13">
        <v>-114.121</v>
      </c>
      <c r="Z1574" s="14">
        <v>589</v>
      </c>
      <c r="AA1574" s="138"/>
    </row>
    <row r="1575" spans="1:28" s="8" customFormat="1" ht="21.75" customHeight="1" x14ac:dyDescent="0.2">
      <c r="A1575" s="8" t="s">
        <v>6888</v>
      </c>
      <c r="B1575" s="8" t="s">
        <v>2186</v>
      </c>
      <c r="C1575" s="8" t="s">
        <v>2187</v>
      </c>
      <c r="D1575" s="8" t="s">
        <v>2195</v>
      </c>
      <c r="E1575" s="8" t="s">
        <v>33</v>
      </c>
      <c r="F1575" s="8" t="s">
        <v>212</v>
      </c>
      <c r="G1575" s="8" t="s">
        <v>88</v>
      </c>
      <c r="H1575" s="3" t="s">
        <v>392</v>
      </c>
      <c r="I1575" s="4">
        <v>2</v>
      </c>
      <c r="J1575" s="4" t="s">
        <v>4404</v>
      </c>
      <c r="K1575" s="4" t="s">
        <v>4410</v>
      </c>
      <c r="L1575" s="14"/>
      <c r="M1575" s="14"/>
      <c r="N1575" s="14"/>
      <c r="O1575" s="110"/>
      <c r="P1575" s="4"/>
      <c r="Q1575" s="8" t="s">
        <v>2203</v>
      </c>
      <c r="R1575" s="8" t="s">
        <v>2206</v>
      </c>
      <c r="X1575" s="13">
        <v>55.084699999999998</v>
      </c>
      <c r="Y1575" s="13">
        <v>-114.121</v>
      </c>
      <c r="Z1575" s="14">
        <v>589</v>
      </c>
      <c r="AA1575" s="138"/>
    </row>
    <row r="1576" spans="1:28" s="8" customFormat="1" ht="21.75" customHeight="1" x14ac:dyDescent="0.2">
      <c r="A1576" s="8" t="s">
        <v>6888</v>
      </c>
      <c r="B1576" s="8" t="s">
        <v>2186</v>
      </c>
      <c r="C1576" s="8" t="s">
        <v>2187</v>
      </c>
      <c r="D1576" s="8" t="s">
        <v>2197</v>
      </c>
      <c r="E1576" s="8" t="s">
        <v>33</v>
      </c>
      <c r="F1576" s="8" t="s">
        <v>212</v>
      </c>
      <c r="G1576" s="8" t="s">
        <v>1933</v>
      </c>
      <c r="H1576" s="3" t="s">
        <v>1934</v>
      </c>
      <c r="I1576" s="4">
        <v>1.3</v>
      </c>
      <c r="J1576" s="4" t="s">
        <v>4404</v>
      </c>
      <c r="K1576" s="4" t="s">
        <v>4410</v>
      </c>
      <c r="L1576" s="14"/>
      <c r="M1576" s="14"/>
      <c r="N1576" s="14"/>
      <c r="O1576" s="110"/>
      <c r="P1576" s="4"/>
      <c r="Q1576" s="8" t="s">
        <v>2203</v>
      </c>
      <c r="R1576" s="8" t="s">
        <v>2209</v>
      </c>
      <c r="X1576" s="13">
        <v>55.1477</v>
      </c>
      <c r="Y1576" s="13">
        <v>-114.1981</v>
      </c>
      <c r="Z1576" s="14">
        <v>592</v>
      </c>
    </row>
    <row r="1577" spans="1:28" s="8" customFormat="1" ht="21.75" customHeight="1" x14ac:dyDescent="0.2">
      <c r="A1577" s="8" t="s">
        <v>6888</v>
      </c>
      <c r="B1577" s="8" t="s">
        <v>2186</v>
      </c>
      <c r="C1577" s="8" t="s">
        <v>2187</v>
      </c>
      <c r="D1577" s="8" t="s">
        <v>2191</v>
      </c>
      <c r="E1577" s="8" t="s">
        <v>33</v>
      </c>
      <c r="F1577" s="8" t="s">
        <v>212</v>
      </c>
      <c r="G1577" s="8" t="s">
        <v>1933</v>
      </c>
      <c r="H1577" s="3" t="s">
        <v>1934</v>
      </c>
      <c r="I1577" s="4">
        <v>1.3</v>
      </c>
      <c r="J1577" s="4" t="s">
        <v>4404</v>
      </c>
      <c r="K1577" s="4" t="s">
        <v>4410</v>
      </c>
      <c r="L1577" s="14"/>
      <c r="M1577" s="14"/>
      <c r="N1577" s="14"/>
      <c r="O1577" s="110"/>
      <c r="P1577" s="4"/>
      <c r="Q1577" s="8" t="s">
        <v>2203</v>
      </c>
      <c r="R1577" s="8" t="s">
        <v>2210</v>
      </c>
      <c r="X1577" s="13">
        <v>55.173999999999999</v>
      </c>
      <c r="Y1577" s="13">
        <v>-114.346</v>
      </c>
      <c r="Z1577" s="14">
        <v>625</v>
      </c>
      <c r="AA1577" s="8" t="s">
        <v>2217</v>
      </c>
    </row>
    <row r="1578" spans="1:28" ht="21.75" customHeight="1" x14ac:dyDescent="0.2">
      <c r="A1578" s="7" t="s">
        <v>6887</v>
      </c>
      <c r="B1578" s="7" t="s">
        <v>5431</v>
      </c>
      <c r="C1578" s="7" t="s">
        <v>253</v>
      </c>
      <c r="D1578" s="7" t="s">
        <v>5310</v>
      </c>
      <c r="E1578" s="7" t="s">
        <v>263</v>
      </c>
      <c r="F1578" s="7" t="s">
        <v>214</v>
      </c>
      <c r="G1578" s="7" t="s">
        <v>5424</v>
      </c>
      <c r="H1578" s="1" t="s">
        <v>5423</v>
      </c>
      <c r="I1578" s="2">
        <v>2.4300000000000002</v>
      </c>
      <c r="J1578" s="2" t="s">
        <v>4367</v>
      </c>
      <c r="K1578" s="2" t="s">
        <v>4410</v>
      </c>
      <c r="L1578" s="6">
        <v>500</v>
      </c>
      <c r="M1578" s="6" t="s">
        <v>5432</v>
      </c>
      <c r="O1578" s="45" t="s">
        <v>5420</v>
      </c>
      <c r="R1578" s="7" t="s">
        <v>652</v>
      </c>
      <c r="X1578" s="5">
        <v>41.444000000000003</v>
      </c>
      <c r="Y1578" s="5">
        <v>-107.1587</v>
      </c>
      <c r="Z1578" s="6">
        <v>2450</v>
      </c>
      <c r="AA1578" s="7" t="s">
        <v>5427</v>
      </c>
      <c r="AB1578" s="7" t="s">
        <v>5428</v>
      </c>
    </row>
    <row r="1579" spans="1:28" ht="21.75" customHeight="1" x14ac:dyDescent="0.2">
      <c r="A1579" s="7" t="s">
        <v>6887</v>
      </c>
      <c r="B1579" s="7" t="s">
        <v>5431</v>
      </c>
      <c r="C1579" s="7" t="s">
        <v>253</v>
      </c>
      <c r="D1579" s="7" t="s">
        <v>2978</v>
      </c>
      <c r="E1579" s="7" t="s">
        <v>263</v>
      </c>
      <c r="F1579" s="7" t="s">
        <v>214</v>
      </c>
      <c r="G1579" s="7" t="s">
        <v>5424</v>
      </c>
      <c r="H1579" s="1" t="s">
        <v>5423</v>
      </c>
      <c r="I1579" s="2">
        <v>2.13</v>
      </c>
      <c r="J1579" s="2" t="s">
        <v>4367</v>
      </c>
      <c r="K1579" s="2" t="s">
        <v>4410</v>
      </c>
      <c r="L1579" s="6">
        <v>500</v>
      </c>
      <c r="M1579" s="6" t="s">
        <v>5432</v>
      </c>
      <c r="O1579" s="45" t="s">
        <v>5421</v>
      </c>
      <c r="R1579" s="7" t="s">
        <v>5434</v>
      </c>
      <c r="X1579" s="5">
        <v>41.447099999999999</v>
      </c>
      <c r="Y1579" s="5">
        <v>-107.1562</v>
      </c>
      <c r="Z1579" s="6">
        <v>2435</v>
      </c>
      <c r="AA1579" s="7" t="s">
        <v>5429</v>
      </c>
      <c r="AB1579" s="7" t="s">
        <v>5426</v>
      </c>
    </row>
    <row r="1580" spans="1:28" ht="21.75" customHeight="1" x14ac:dyDescent="0.2">
      <c r="A1580" s="7" t="s">
        <v>6887</v>
      </c>
      <c r="B1580" s="7" t="s">
        <v>5431</v>
      </c>
      <c r="C1580" s="7" t="s">
        <v>253</v>
      </c>
      <c r="D1580" s="7" t="s">
        <v>5433</v>
      </c>
      <c r="E1580" s="7" t="s">
        <v>263</v>
      </c>
      <c r="F1580" s="7" t="s">
        <v>214</v>
      </c>
      <c r="G1580" s="7" t="s">
        <v>5430</v>
      </c>
      <c r="H1580" s="1" t="s">
        <v>5425</v>
      </c>
      <c r="I1580" s="2">
        <v>1.52</v>
      </c>
      <c r="J1580" s="2" t="s">
        <v>4367</v>
      </c>
      <c r="K1580" s="2" t="s">
        <v>4410</v>
      </c>
      <c r="L1580" s="6">
        <v>500</v>
      </c>
      <c r="M1580" s="6" t="s">
        <v>5432</v>
      </c>
      <c r="O1580" s="45" t="s">
        <v>5422</v>
      </c>
      <c r="R1580" s="7" t="s">
        <v>5435</v>
      </c>
      <c r="X1580" s="5">
        <v>41.448399999999999</v>
      </c>
      <c r="Y1580" s="5">
        <v>-107.1587</v>
      </c>
      <c r="Z1580" s="6">
        <v>2396</v>
      </c>
    </row>
    <row r="1581" spans="1:28" s="8" customFormat="1" ht="21.75" customHeight="1" x14ac:dyDescent="0.2">
      <c r="A1581" s="8" t="s">
        <v>4068</v>
      </c>
      <c r="B1581" s="8" t="s">
        <v>4069</v>
      </c>
      <c r="C1581" s="8" t="s">
        <v>4047</v>
      </c>
      <c r="D1581" s="8" t="s">
        <v>4077</v>
      </c>
      <c r="E1581" s="8" t="s">
        <v>263</v>
      </c>
      <c r="F1581" s="8" t="s">
        <v>212</v>
      </c>
      <c r="G1581" s="8" t="s">
        <v>4073</v>
      </c>
      <c r="H1581" s="3" t="s">
        <v>4070</v>
      </c>
      <c r="I1581" s="8">
        <v>3</v>
      </c>
      <c r="J1581" s="8" t="s">
        <v>4293</v>
      </c>
      <c r="K1581" s="8" t="s">
        <v>4410</v>
      </c>
      <c r="L1581" s="14">
        <v>525</v>
      </c>
      <c r="M1581" s="14" t="s">
        <v>4105</v>
      </c>
      <c r="N1581" s="14"/>
      <c r="O1581" s="110"/>
      <c r="P1581" s="4"/>
      <c r="R1581" s="8" t="s">
        <v>1012</v>
      </c>
      <c r="W1581" s="8" t="s">
        <v>4103</v>
      </c>
      <c r="X1581" s="13">
        <v>-33.67</v>
      </c>
      <c r="Y1581" s="13">
        <v>122.2492</v>
      </c>
      <c r="Z1581" s="14">
        <v>122</v>
      </c>
      <c r="AA1581" s="8" t="s">
        <v>4099</v>
      </c>
      <c r="AB1581" s="8" t="s">
        <v>4102</v>
      </c>
    </row>
    <row r="1582" spans="1:28" s="8" customFormat="1" ht="21.75" customHeight="1" x14ac:dyDescent="0.2">
      <c r="A1582" s="8" t="s">
        <v>4068</v>
      </c>
      <c r="B1582" s="8" t="s">
        <v>4069</v>
      </c>
      <c r="C1582" s="8" t="s">
        <v>4047</v>
      </c>
      <c r="D1582" s="8" t="s">
        <v>4078</v>
      </c>
      <c r="E1582" s="8" t="s">
        <v>263</v>
      </c>
      <c r="F1582" s="8" t="s">
        <v>212</v>
      </c>
      <c r="G1582" s="8" t="s">
        <v>4073</v>
      </c>
      <c r="H1582" s="3" t="s">
        <v>4070</v>
      </c>
      <c r="I1582" s="8">
        <v>1.5</v>
      </c>
      <c r="J1582" s="8" t="s">
        <v>4293</v>
      </c>
      <c r="K1582" s="8" t="s">
        <v>4410</v>
      </c>
      <c r="L1582" s="14">
        <v>600</v>
      </c>
      <c r="M1582" s="14" t="s">
        <v>4105</v>
      </c>
      <c r="N1582" s="14"/>
      <c r="O1582" s="110"/>
      <c r="P1582" s="4"/>
      <c r="R1582" s="8" t="s">
        <v>4091</v>
      </c>
      <c r="W1582" s="8" t="s">
        <v>4104</v>
      </c>
      <c r="X1582" s="13">
        <v>-33.795299999999997</v>
      </c>
      <c r="Y1582" s="13">
        <v>121.88</v>
      </c>
      <c r="Z1582" s="14">
        <v>29</v>
      </c>
      <c r="AA1582" s="8" t="s">
        <v>4090</v>
      </c>
      <c r="AB1582" s="8" t="s">
        <v>4084</v>
      </c>
    </row>
    <row r="1583" spans="1:28" s="8" customFormat="1" ht="21.75" customHeight="1" x14ac:dyDescent="0.2">
      <c r="A1583" s="8" t="s">
        <v>4068</v>
      </c>
      <c r="B1583" s="8" t="s">
        <v>4069</v>
      </c>
      <c r="C1583" s="8" t="s">
        <v>4047</v>
      </c>
      <c r="D1583" s="8" t="s">
        <v>4079</v>
      </c>
      <c r="E1583" s="8" t="s">
        <v>263</v>
      </c>
      <c r="F1583" s="8" t="s">
        <v>212</v>
      </c>
      <c r="G1583" s="8" t="s">
        <v>4073</v>
      </c>
      <c r="H1583" s="3" t="s">
        <v>4070</v>
      </c>
      <c r="I1583" s="8">
        <v>3</v>
      </c>
      <c r="J1583" s="8" t="s">
        <v>4293</v>
      </c>
      <c r="K1583" s="8" t="s">
        <v>4410</v>
      </c>
      <c r="L1583" s="14">
        <v>475</v>
      </c>
      <c r="M1583" s="14" t="s">
        <v>4105</v>
      </c>
      <c r="N1583" s="14"/>
      <c r="O1583" s="110"/>
      <c r="P1583" s="4"/>
      <c r="R1583" s="8" t="s">
        <v>1012</v>
      </c>
      <c r="W1583" s="8" t="s">
        <v>4104</v>
      </c>
      <c r="X1583" s="13">
        <v>-33.548099999999998</v>
      </c>
      <c r="Y1583" s="13">
        <v>121.7539</v>
      </c>
      <c r="Z1583" s="14">
        <v>172</v>
      </c>
      <c r="AA1583" s="8" t="s">
        <v>4101</v>
      </c>
      <c r="AB1583" s="8" t="s">
        <v>4083</v>
      </c>
    </row>
    <row r="1584" spans="1:28" s="8" customFormat="1" ht="21.75" customHeight="1" x14ac:dyDescent="0.2">
      <c r="A1584" s="8" t="s">
        <v>4068</v>
      </c>
      <c r="B1584" s="8" t="s">
        <v>4069</v>
      </c>
      <c r="C1584" s="8" t="s">
        <v>4047</v>
      </c>
      <c r="D1584" s="8" t="s">
        <v>494</v>
      </c>
      <c r="E1584" s="8" t="s">
        <v>33</v>
      </c>
      <c r="F1584" s="8" t="s">
        <v>212</v>
      </c>
      <c r="G1584" s="8" t="s">
        <v>4074</v>
      </c>
      <c r="H1584" s="3" t="s">
        <v>4071</v>
      </c>
      <c r="I1584" s="8">
        <v>5</v>
      </c>
      <c r="J1584" s="8" t="s">
        <v>4293</v>
      </c>
      <c r="K1584" s="8" t="s">
        <v>4410</v>
      </c>
      <c r="L1584" s="14">
        <v>490</v>
      </c>
      <c r="M1584" s="14" t="s">
        <v>4105</v>
      </c>
      <c r="N1584" s="14"/>
      <c r="O1584" s="110"/>
      <c r="P1584" s="4"/>
      <c r="R1584" s="8" t="s">
        <v>1012</v>
      </c>
      <c r="W1584" s="8" t="s">
        <v>4104</v>
      </c>
      <c r="X1584" s="13">
        <v>-33.564999999999998</v>
      </c>
      <c r="Y1584" s="13">
        <v>121.8544</v>
      </c>
      <c r="Z1584" s="14">
        <v>171</v>
      </c>
      <c r="AB1584" s="8" t="s">
        <v>4089</v>
      </c>
    </row>
    <row r="1585" spans="1:28" s="8" customFormat="1" ht="21.75" customHeight="1" x14ac:dyDescent="0.2">
      <c r="A1585" s="8" t="s">
        <v>4068</v>
      </c>
      <c r="B1585" s="8" t="s">
        <v>4069</v>
      </c>
      <c r="C1585" s="8" t="s">
        <v>4047</v>
      </c>
      <c r="D1585" s="8" t="s">
        <v>495</v>
      </c>
      <c r="E1585" s="8" t="s">
        <v>33</v>
      </c>
      <c r="F1585" s="8" t="s">
        <v>212</v>
      </c>
      <c r="G1585" s="8" t="s">
        <v>4074</v>
      </c>
      <c r="H1585" s="3" t="s">
        <v>4071</v>
      </c>
      <c r="I1585" s="8">
        <v>2.5</v>
      </c>
      <c r="J1585" s="8" t="s">
        <v>4293</v>
      </c>
      <c r="K1585" s="8" t="s">
        <v>4410</v>
      </c>
      <c r="L1585" s="14">
        <v>490</v>
      </c>
      <c r="M1585" s="14" t="s">
        <v>4105</v>
      </c>
      <c r="N1585" s="14"/>
      <c r="O1585" s="110"/>
      <c r="P1585" s="4"/>
      <c r="R1585" s="8" t="s">
        <v>1012</v>
      </c>
      <c r="W1585" s="8" t="s">
        <v>4103</v>
      </c>
      <c r="X1585" s="13">
        <v>-33.564399999999999</v>
      </c>
      <c r="Y1585" s="13">
        <v>121.8794</v>
      </c>
      <c r="Z1585" s="14">
        <v>171</v>
      </c>
      <c r="AB1585" s="8" t="s">
        <v>4089</v>
      </c>
    </row>
    <row r="1586" spans="1:28" s="8" customFormat="1" ht="21.75" customHeight="1" x14ac:dyDescent="0.2">
      <c r="A1586" s="8" t="s">
        <v>4068</v>
      </c>
      <c r="B1586" s="8" t="s">
        <v>4069</v>
      </c>
      <c r="C1586" s="8" t="s">
        <v>4047</v>
      </c>
      <c r="D1586" s="8" t="s">
        <v>496</v>
      </c>
      <c r="E1586" s="8" t="s">
        <v>33</v>
      </c>
      <c r="F1586" s="8" t="s">
        <v>212</v>
      </c>
      <c r="G1586" s="8" t="s">
        <v>4074</v>
      </c>
      <c r="H1586" s="3" t="s">
        <v>4071</v>
      </c>
      <c r="I1586" s="8">
        <v>2.5</v>
      </c>
      <c r="J1586" s="8" t="s">
        <v>4293</v>
      </c>
      <c r="K1586" s="8" t="s">
        <v>4410</v>
      </c>
      <c r="L1586" s="14">
        <v>500</v>
      </c>
      <c r="M1586" s="14" t="s">
        <v>4105</v>
      </c>
      <c r="N1586" s="14"/>
      <c r="O1586" s="110"/>
      <c r="P1586" s="4"/>
      <c r="R1586" s="8" t="s">
        <v>4092</v>
      </c>
      <c r="W1586" s="8" t="s">
        <v>4104</v>
      </c>
      <c r="X1586" s="13">
        <v>-33.616100000000003</v>
      </c>
      <c r="Y1586" s="13">
        <v>122.0483</v>
      </c>
      <c r="Z1586" s="14">
        <v>117</v>
      </c>
      <c r="AA1586" s="8" t="s">
        <v>4100</v>
      </c>
      <c r="AB1586" s="8" t="s">
        <v>4085</v>
      </c>
    </row>
    <row r="1587" spans="1:28" s="8" customFormat="1" ht="21.75" customHeight="1" x14ac:dyDescent="0.2">
      <c r="A1587" s="8" t="s">
        <v>4068</v>
      </c>
      <c r="B1587" s="8" t="s">
        <v>4069</v>
      </c>
      <c r="C1587" s="8" t="s">
        <v>4047</v>
      </c>
      <c r="D1587" s="8" t="s">
        <v>506</v>
      </c>
      <c r="E1587" s="8" t="s">
        <v>33</v>
      </c>
      <c r="F1587" s="8" t="s">
        <v>212</v>
      </c>
      <c r="G1587" s="8" t="s">
        <v>4075</v>
      </c>
      <c r="H1587" s="3" t="s">
        <v>56</v>
      </c>
      <c r="I1587" s="8">
        <v>1.5</v>
      </c>
      <c r="J1587" s="8" t="s">
        <v>4293</v>
      </c>
      <c r="K1587" s="8" t="s">
        <v>4410</v>
      </c>
      <c r="L1587" s="14">
        <v>522</v>
      </c>
      <c r="M1587" s="14" t="s">
        <v>4105</v>
      </c>
      <c r="N1587" s="14"/>
      <c r="O1587" s="110"/>
      <c r="P1587" s="4"/>
      <c r="R1587" s="8" t="s">
        <v>4093</v>
      </c>
      <c r="W1587" s="8" t="s">
        <v>4104</v>
      </c>
      <c r="X1587" s="13">
        <v>-33.633099999999999</v>
      </c>
      <c r="Y1587" s="13">
        <v>122.8883</v>
      </c>
      <c r="Z1587" s="14">
        <v>133</v>
      </c>
      <c r="AB1587" s="8" t="s">
        <v>4085</v>
      </c>
    </row>
    <row r="1588" spans="1:28" s="8" customFormat="1" ht="21.75" customHeight="1" x14ac:dyDescent="0.2">
      <c r="A1588" s="8" t="s">
        <v>4068</v>
      </c>
      <c r="B1588" s="8" t="s">
        <v>4069</v>
      </c>
      <c r="C1588" s="8" t="s">
        <v>4047</v>
      </c>
      <c r="D1588" s="8" t="s">
        <v>497</v>
      </c>
      <c r="E1588" s="8" t="s">
        <v>33</v>
      </c>
      <c r="F1588" s="8" t="s">
        <v>212</v>
      </c>
      <c r="G1588" s="8" t="s">
        <v>4075</v>
      </c>
      <c r="H1588" s="3" t="s">
        <v>56</v>
      </c>
      <c r="I1588" s="8">
        <v>3</v>
      </c>
      <c r="J1588" s="8" t="s">
        <v>4293</v>
      </c>
      <c r="K1588" s="8" t="s">
        <v>4410</v>
      </c>
      <c r="L1588" s="14">
        <v>522</v>
      </c>
      <c r="M1588" s="14" t="s">
        <v>4105</v>
      </c>
      <c r="N1588" s="14"/>
      <c r="O1588" s="110"/>
      <c r="P1588" s="4"/>
      <c r="R1588" s="8" t="s">
        <v>1012</v>
      </c>
      <c r="W1588" s="8" t="s">
        <v>4104</v>
      </c>
      <c r="X1588" s="13">
        <v>-33.638100000000001</v>
      </c>
      <c r="Y1588" s="13">
        <v>122.8794</v>
      </c>
      <c r="Z1588" s="14">
        <v>126</v>
      </c>
      <c r="AB1588" s="8" t="s">
        <v>4084</v>
      </c>
    </row>
    <row r="1589" spans="1:28" s="8" customFormat="1" ht="21.75" customHeight="1" x14ac:dyDescent="0.2">
      <c r="A1589" s="8" t="s">
        <v>4068</v>
      </c>
      <c r="B1589" s="8" t="s">
        <v>4069</v>
      </c>
      <c r="C1589" s="8" t="s">
        <v>4047</v>
      </c>
      <c r="D1589" s="8" t="s">
        <v>498</v>
      </c>
      <c r="E1589" s="8" t="s">
        <v>33</v>
      </c>
      <c r="F1589" s="8" t="s">
        <v>212</v>
      </c>
      <c r="G1589" s="8" t="s">
        <v>4075</v>
      </c>
      <c r="H1589" s="3" t="s">
        <v>56</v>
      </c>
      <c r="I1589" s="8">
        <v>1.5</v>
      </c>
      <c r="J1589" s="8" t="s">
        <v>4293</v>
      </c>
      <c r="K1589" s="8" t="s">
        <v>4410</v>
      </c>
      <c r="L1589" s="14">
        <v>522</v>
      </c>
      <c r="M1589" s="14" t="s">
        <v>4105</v>
      </c>
      <c r="N1589" s="14"/>
      <c r="O1589" s="110"/>
      <c r="P1589" s="4"/>
      <c r="R1589" s="8" t="s">
        <v>4094</v>
      </c>
      <c r="W1589" s="8" t="s">
        <v>4103</v>
      </c>
      <c r="X1589" s="13">
        <v>-33.629399999999997</v>
      </c>
      <c r="Y1589" s="13">
        <v>122.8961</v>
      </c>
      <c r="Z1589" s="14">
        <v>144</v>
      </c>
      <c r="AB1589" s="8" t="s">
        <v>4086</v>
      </c>
    </row>
    <row r="1590" spans="1:28" s="8" customFormat="1" ht="21.75" customHeight="1" x14ac:dyDescent="0.2">
      <c r="A1590" s="8" t="s">
        <v>4068</v>
      </c>
      <c r="B1590" s="8" t="s">
        <v>4069</v>
      </c>
      <c r="C1590" s="8" t="s">
        <v>4047</v>
      </c>
      <c r="D1590" s="8" t="s">
        <v>507</v>
      </c>
      <c r="E1590" s="8" t="s">
        <v>33</v>
      </c>
      <c r="F1590" s="8" t="s">
        <v>212</v>
      </c>
      <c r="G1590" s="8" t="s">
        <v>4075</v>
      </c>
      <c r="H1590" s="3" t="s">
        <v>56</v>
      </c>
      <c r="I1590" s="8">
        <v>2.5</v>
      </c>
      <c r="J1590" s="8" t="s">
        <v>4293</v>
      </c>
      <c r="K1590" s="8" t="s">
        <v>4410</v>
      </c>
      <c r="L1590" s="14">
        <v>522</v>
      </c>
      <c r="M1590" s="14" t="s">
        <v>4105</v>
      </c>
      <c r="N1590" s="14"/>
      <c r="O1590" s="110"/>
      <c r="P1590" s="4"/>
      <c r="R1590" s="8" t="s">
        <v>4095</v>
      </c>
      <c r="W1590" s="8" t="s">
        <v>4104</v>
      </c>
      <c r="X1590" s="13">
        <v>-33.629399999999997</v>
      </c>
      <c r="Y1590" s="13">
        <v>122.8961</v>
      </c>
      <c r="Z1590" s="14">
        <v>144</v>
      </c>
      <c r="AB1590" s="8" t="s">
        <v>4087</v>
      </c>
    </row>
    <row r="1591" spans="1:28" s="8" customFormat="1" ht="21.75" customHeight="1" x14ac:dyDescent="0.2">
      <c r="A1591" s="8" t="s">
        <v>4068</v>
      </c>
      <c r="B1591" s="8" t="s">
        <v>4069</v>
      </c>
      <c r="C1591" s="8" t="s">
        <v>4047</v>
      </c>
      <c r="D1591" s="8" t="s">
        <v>505</v>
      </c>
      <c r="E1591" s="8" t="s">
        <v>33</v>
      </c>
      <c r="F1591" s="8" t="s">
        <v>212</v>
      </c>
      <c r="G1591" s="8" t="s">
        <v>4075</v>
      </c>
      <c r="H1591" s="3" t="s">
        <v>56</v>
      </c>
      <c r="I1591" s="8">
        <v>2</v>
      </c>
      <c r="J1591" s="8" t="s">
        <v>4293</v>
      </c>
      <c r="K1591" s="8" t="s">
        <v>4410</v>
      </c>
      <c r="L1591" s="14">
        <v>491</v>
      </c>
      <c r="M1591" s="14" t="s">
        <v>4105</v>
      </c>
      <c r="N1591" s="14"/>
      <c r="O1591" s="110"/>
      <c r="P1591" s="4"/>
      <c r="R1591" s="8" t="s">
        <v>4096</v>
      </c>
      <c r="W1591" s="8" t="s">
        <v>4104</v>
      </c>
      <c r="X1591" s="13">
        <v>-33.5533</v>
      </c>
      <c r="Y1591" s="13">
        <v>121.7064</v>
      </c>
      <c r="Z1591" s="14">
        <v>161</v>
      </c>
      <c r="AB1591" s="8" t="s">
        <v>4088</v>
      </c>
    </row>
    <row r="1592" spans="1:28" s="8" customFormat="1" ht="21.75" customHeight="1" x14ac:dyDescent="0.2">
      <c r="A1592" s="8" t="s">
        <v>4068</v>
      </c>
      <c r="B1592" s="8" t="s">
        <v>4069</v>
      </c>
      <c r="C1592" s="8" t="s">
        <v>4047</v>
      </c>
      <c r="D1592" s="8" t="s">
        <v>500</v>
      </c>
      <c r="E1592" s="8" t="s">
        <v>263</v>
      </c>
      <c r="F1592" s="8" t="s">
        <v>212</v>
      </c>
      <c r="G1592" s="8" t="s">
        <v>4076</v>
      </c>
      <c r="H1592" s="3" t="s">
        <v>4072</v>
      </c>
      <c r="I1592" s="4">
        <v>2</v>
      </c>
      <c r="J1592" s="8" t="s">
        <v>4293</v>
      </c>
      <c r="K1592" s="8" t="s">
        <v>4410</v>
      </c>
      <c r="L1592" s="14">
        <v>386</v>
      </c>
      <c r="M1592" s="14" t="s">
        <v>4105</v>
      </c>
      <c r="N1592" s="14"/>
      <c r="O1592" s="110"/>
      <c r="P1592" s="4"/>
      <c r="R1592" s="8" t="s">
        <v>4097</v>
      </c>
      <c r="W1592" s="8" t="s">
        <v>4104</v>
      </c>
      <c r="X1592" s="13">
        <v>-33.438099999999999</v>
      </c>
      <c r="Y1592" s="13">
        <v>122.06610000000001</v>
      </c>
      <c r="Z1592" s="14">
        <v>164</v>
      </c>
      <c r="AA1592" s="29"/>
      <c r="AB1592" s="8" t="s">
        <v>4082</v>
      </c>
    </row>
    <row r="1593" spans="1:28" s="8" customFormat="1" ht="21.75" customHeight="1" x14ac:dyDescent="0.2">
      <c r="A1593" s="8" t="s">
        <v>4068</v>
      </c>
      <c r="B1593" s="8" t="s">
        <v>4069</v>
      </c>
      <c r="C1593" s="8" t="s">
        <v>4047</v>
      </c>
      <c r="D1593" s="8" t="s">
        <v>502</v>
      </c>
      <c r="E1593" s="8" t="s">
        <v>263</v>
      </c>
      <c r="F1593" s="8" t="s">
        <v>212</v>
      </c>
      <c r="G1593" s="8" t="s">
        <v>4076</v>
      </c>
      <c r="H1593" s="3" t="s">
        <v>4072</v>
      </c>
      <c r="I1593" s="4">
        <v>2</v>
      </c>
      <c r="J1593" s="8" t="s">
        <v>4293</v>
      </c>
      <c r="K1593" s="8" t="s">
        <v>4410</v>
      </c>
      <c r="L1593" s="14">
        <v>386</v>
      </c>
      <c r="M1593" s="14" t="s">
        <v>4105</v>
      </c>
      <c r="N1593" s="14"/>
      <c r="O1593" s="110"/>
      <c r="P1593" s="4"/>
      <c r="R1593" s="8" t="s">
        <v>4098</v>
      </c>
      <c r="W1593" s="8" t="s">
        <v>4104</v>
      </c>
      <c r="X1593" s="13">
        <v>-33.438099999999999</v>
      </c>
      <c r="Y1593" s="13">
        <v>122.06610000000001</v>
      </c>
      <c r="Z1593" s="14">
        <v>164</v>
      </c>
      <c r="AA1593" s="29"/>
      <c r="AB1593" s="8" t="s">
        <v>4080</v>
      </c>
    </row>
    <row r="1594" spans="1:28" s="8" customFormat="1" ht="21.75" customHeight="1" x14ac:dyDescent="0.2">
      <c r="A1594" s="8" t="s">
        <v>4068</v>
      </c>
      <c r="B1594" s="8" t="s">
        <v>4069</v>
      </c>
      <c r="C1594" s="8" t="s">
        <v>4047</v>
      </c>
      <c r="D1594" s="8" t="s">
        <v>501</v>
      </c>
      <c r="E1594" s="8" t="s">
        <v>263</v>
      </c>
      <c r="F1594" s="8" t="s">
        <v>212</v>
      </c>
      <c r="G1594" s="8" t="s">
        <v>4076</v>
      </c>
      <c r="H1594" s="3" t="s">
        <v>4072</v>
      </c>
      <c r="I1594" s="4">
        <v>5</v>
      </c>
      <c r="J1594" s="8" t="s">
        <v>4293</v>
      </c>
      <c r="K1594" s="8" t="s">
        <v>4410</v>
      </c>
      <c r="L1594" s="14">
        <v>386</v>
      </c>
      <c r="M1594" s="14" t="s">
        <v>4105</v>
      </c>
      <c r="N1594" s="14"/>
      <c r="O1594" s="110"/>
      <c r="P1594" s="4"/>
      <c r="Q1594" s="4"/>
      <c r="R1594" s="8" t="s">
        <v>1012</v>
      </c>
      <c r="W1594" s="8" t="s">
        <v>4104</v>
      </c>
      <c r="X1594" s="13">
        <v>-33.438099999999999</v>
      </c>
      <c r="Y1594" s="13">
        <v>122.06610000000001</v>
      </c>
      <c r="Z1594" s="14">
        <v>164</v>
      </c>
      <c r="AA1594" s="29"/>
      <c r="AB1594" s="8" t="s">
        <v>4081</v>
      </c>
    </row>
    <row r="1595" spans="1:28" ht="21.75" customHeight="1" x14ac:dyDescent="0.2">
      <c r="A1595" s="7" t="s">
        <v>5136</v>
      </c>
      <c r="B1595" s="7" t="s">
        <v>5137</v>
      </c>
      <c r="C1595" s="7" t="s">
        <v>5139</v>
      </c>
      <c r="E1595" s="7" t="s">
        <v>398</v>
      </c>
      <c r="F1595" s="7" t="s">
        <v>1557</v>
      </c>
      <c r="G1595" s="7" t="s">
        <v>4287</v>
      </c>
      <c r="H1595" s="1" t="s">
        <v>5138</v>
      </c>
      <c r="I1595" s="2">
        <v>0.65</v>
      </c>
      <c r="J1595" s="2" t="s">
        <v>5140</v>
      </c>
      <c r="K1595" s="2" t="s">
        <v>4292</v>
      </c>
      <c r="Q1595" s="2">
        <v>0.4</v>
      </c>
      <c r="X1595" s="5">
        <v>39.924900000000001</v>
      </c>
      <c r="Y1595" s="5">
        <v>-120.5441</v>
      </c>
      <c r="Z1595" s="6">
        <v>1765</v>
      </c>
      <c r="AA1595" s="23" t="s">
        <v>5142</v>
      </c>
      <c r="AB1595" s="7" t="s">
        <v>5141</v>
      </c>
    </row>
    <row r="1596" spans="1:28" s="8" customFormat="1" ht="21.75" customHeight="1" x14ac:dyDescent="0.2">
      <c r="A1596" s="8" t="s">
        <v>2218</v>
      </c>
      <c r="B1596" s="8" t="s">
        <v>2219</v>
      </c>
      <c r="C1596" s="8" t="s">
        <v>2220</v>
      </c>
      <c r="E1596" s="8" t="s">
        <v>280</v>
      </c>
      <c r="F1596" s="8" t="s">
        <v>212</v>
      </c>
      <c r="G1596" s="8" t="s">
        <v>2221</v>
      </c>
      <c r="H1596" s="3" t="s">
        <v>2222</v>
      </c>
      <c r="I1596" s="4">
        <f>10*0.3048</f>
        <v>3.048</v>
      </c>
      <c r="J1596" s="4" t="s">
        <v>4367</v>
      </c>
      <c r="K1596" s="4" t="s">
        <v>5753</v>
      </c>
      <c r="L1596" s="14">
        <f>32*25.4</f>
        <v>812.8</v>
      </c>
      <c r="M1596" s="14"/>
      <c r="N1596" s="14"/>
      <c r="O1596" s="110" t="s">
        <v>2226</v>
      </c>
      <c r="P1596" s="4"/>
      <c r="R1596" s="8" t="s">
        <v>2223</v>
      </c>
      <c r="X1596" s="13">
        <v>43.278700000000001</v>
      </c>
      <c r="Y1596" s="13">
        <v>-77.759</v>
      </c>
      <c r="Z1596" s="14">
        <v>89</v>
      </c>
      <c r="AA1596" s="138" t="s">
        <v>2232</v>
      </c>
      <c r="AB1596" s="8" t="s">
        <v>2229</v>
      </c>
    </row>
    <row r="1597" spans="1:28" s="8" customFormat="1" ht="21.75" customHeight="1" x14ac:dyDescent="0.2">
      <c r="A1597" s="8" t="s">
        <v>2218</v>
      </c>
      <c r="B1597" s="8" t="s">
        <v>2219</v>
      </c>
      <c r="C1597" s="8" t="s">
        <v>2220</v>
      </c>
      <c r="E1597" s="8" t="s">
        <v>280</v>
      </c>
      <c r="F1597" s="8" t="s">
        <v>212</v>
      </c>
      <c r="G1597" s="8" t="s">
        <v>2221</v>
      </c>
      <c r="H1597" s="3" t="s">
        <v>2222</v>
      </c>
      <c r="I1597" s="4">
        <f>6*0.3048</f>
        <v>1.8288000000000002</v>
      </c>
      <c r="J1597" s="4" t="s">
        <v>4367</v>
      </c>
      <c r="K1597" s="4" t="s">
        <v>5753</v>
      </c>
      <c r="L1597" s="14">
        <f>32*25.4</f>
        <v>812.8</v>
      </c>
      <c r="M1597" s="14"/>
      <c r="N1597" s="14"/>
      <c r="O1597" s="110" t="s">
        <v>2227</v>
      </c>
      <c r="P1597" s="4"/>
      <c r="R1597" s="8" t="s">
        <v>2224</v>
      </c>
      <c r="X1597" s="13">
        <v>43.309800000000003</v>
      </c>
      <c r="Y1597" s="13">
        <v>-77.866799999999998</v>
      </c>
      <c r="Z1597" s="14">
        <v>92</v>
      </c>
      <c r="AA1597" s="138"/>
      <c r="AB1597" s="8" t="s">
        <v>2230</v>
      </c>
    </row>
    <row r="1598" spans="1:28" s="8" customFormat="1" ht="21.75" customHeight="1" x14ac:dyDescent="0.2">
      <c r="A1598" s="8" t="s">
        <v>2218</v>
      </c>
      <c r="B1598" s="8" t="s">
        <v>2219</v>
      </c>
      <c r="C1598" s="8" t="s">
        <v>2220</v>
      </c>
      <c r="E1598" s="8" t="s">
        <v>280</v>
      </c>
      <c r="F1598" s="8" t="s">
        <v>212</v>
      </c>
      <c r="G1598" s="8" t="s">
        <v>2221</v>
      </c>
      <c r="H1598" s="3" t="s">
        <v>2222</v>
      </c>
      <c r="I1598" s="4">
        <f>5*0.3048</f>
        <v>1.524</v>
      </c>
      <c r="J1598" s="4" t="s">
        <v>4367</v>
      </c>
      <c r="K1598" s="4" t="s">
        <v>5753</v>
      </c>
      <c r="L1598" s="14">
        <f>32*25.4</f>
        <v>812.8</v>
      </c>
      <c r="M1598" s="14"/>
      <c r="N1598" s="14"/>
      <c r="O1598" s="110" t="s">
        <v>2228</v>
      </c>
      <c r="P1598" s="4"/>
      <c r="Q1598" s="4">
        <f>5*0.3048</f>
        <v>1.524</v>
      </c>
      <c r="R1598" s="8" t="s">
        <v>2225</v>
      </c>
      <c r="X1598" s="13">
        <v>43.3294</v>
      </c>
      <c r="Y1598" s="13">
        <v>-77.785799999999995</v>
      </c>
      <c r="Z1598" s="14">
        <v>81</v>
      </c>
      <c r="AA1598" s="138"/>
      <c r="AB1598" s="8" t="s">
        <v>2231</v>
      </c>
    </row>
    <row r="1599" spans="1:28" ht="21.75" customHeight="1" x14ac:dyDescent="0.2">
      <c r="A1599" s="7" t="s">
        <v>7228</v>
      </c>
      <c r="B1599" s="7" t="s">
        <v>7238</v>
      </c>
      <c r="C1599" s="7" t="s">
        <v>7239</v>
      </c>
      <c r="E1599" s="7" t="s">
        <v>398</v>
      </c>
      <c r="F1599" s="7" t="s">
        <v>2755</v>
      </c>
      <c r="G1599" s="7" t="s">
        <v>7231</v>
      </c>
      <c r="H1599" s="1" t="s">
        <v>7230</v>
      </c>
      <c r="I1599" s="2">
        <v>1.8</v>
      </c>
      <c r="J1599" s="2" t="s">
        <v>7232</v>
      </c>
      <c r="K1599" s="2" t="s">
        <v>4410</v>
      </c>
      <c r="L1599" s="6">
        <v>2087</v>
      </c>
      <c r="M1599" s="6" t="s">
        <v>5894</v>
      </c>
      <c r="O1599" s="45" t="s">
        <v>3863</v>
      </c>
      <c r="Q1599" s="2"/>
      <c r="R1599" s="7" t="s">
        <v>7241</v>
      </c>
      <c r="W1599" s="7" t="s">
        <v>7243</v>
      </c>
      <c r="X1599" s="5">
        <v>-1.5062</v>
      </c>
      <c r="Y1599" s="5">
        <v>102.4093</v>
      </c>
      <c r="Z1599" s="6">
        <v>50</v>
      </c>
      <c r="AA1599" s="134" t="s">
        <v>7246</v>
      </c>
      <c r="AB1599" s="7" t="s">
        <v>7245</v>
      </c>
    </row>
    <row r="1600" spans="1:28" ht="21.75" customHeight="1" x14ac:dyDescent="0.2">
      <c r="A1600" s="7" t="s">
        <v>7228</v>
      </c>
      <c r="B1600" s="7" t="s">
        <v>7229</v>
      </c>
      <c r="C1600" s="7" t="s">
        <v>7237</v>
      </c>
      <c r="E1600" s="7" t="s">
        <v>398</v>
      </c>
      <c r="F1600" s="7" t="s">
        <v>2755</v>
      </c>
      <c r="G1600" s="7" t="s">
        <v>7231</v>
      </c>
      <c r="H1600" s="1" t="s">
        <v>7230</v>
      </c>
      <c r="I1600" s="2">
        <v>1.8</v>
      </c>
      <c r="J1600" s="2" t="s">
        <v>7232</v>
      </c>
      <c r="K1600" s="2" t="s">
        <v>4410</v>
      </c>
      <c r="L1600" s="6">
        <v>2281</v>
      </c>
      <c r="M1600" s="6" t="s">
        <v>5894</v>
      </c>
      <c r="O1600" s="45" t="s">
        <v>3863</v>
      </c>
      <c r="Q1600" s="2"/>
      <c r="R1600" s="7" t="s">
        <v>7242</v>
      </c>
      <c r="W1600" s="7" t="s">
        <v>7243</v>
      </c>
      <c r="X1600" s="5">
        <v>-1.5205</v>
      </c>
      <c r="Y1600" s="5">
        <v>116.20180000000001</v>
      </c>
      <c r="Z1600" s="6">
        <v>60</v>
      </c>
      <c r="AA1600" s="135"/>
      <c r="AB1600" s="134" t="s">
        <v>7247</v>
      </c>
    </row>
    <row r="1601" spans="1:28" ht="21.75" customHeight="1" x14ac:dyDescent="0.2">
      <c r="A1601" s="7" t="s">
        <v>7228</v>
      </c>
      <c r="B1601" s="7" t="s">
        <v>7229</v>
      </c>
      <c r="C1601" s="7" t="s">
        <v>7237</v>
      </c>
      <c r="E1601" s="7" t="s">
        <v>263</v>
      </c>
      <c r="F1601" s="7" t="s">
        <v>4932</v>
      </c>
      <c r="G1601" s="7" t="s">
        <v>7234</v>
      </c>
      <c r="H1601" s="1" t="s">
        <v>7233</v>
      </c>
      <c r="I1601" s="7">
        <v>5</v>
      </c>
      <c r="J1601" s="2" t="s">
        <v>7232</v>
      </c>
      <c r="K1601" s="2" t="s">
        <v>4410</v>
      </c>
      <c r="L1601" s="6">
        <v>2281</v>
      </c>
      <c r="M1601" s="6" t="s">
        <v>5894</v>
      </c>
      <c r="O1601" s="45" t="s">
        <v>3863</v>
      </c>
      <c r="Q1601" s="2"/>
      <c r="R1601" s="7" t="s">
        <v>7242</v>
      </c>
      <c r="W1601" s="7" t="s">
        <v>7244</v>
      </c>
      <c r="X1601" s="5">
        <v>-1.2032</v>
      </c>
      <c r="Y1601" s="5">
        <v>116.5578</v>
      </c>
      <c r="Z1601" s="6">
        <v>55</v>
      </c>
      <c r="AA1601" s="7" t="s">
        <v>7248</v>
      </c>
      <c r="AB1601" s="135"/>
    </row>
    <row r="1602" spans="1:28" ht="21.75" customHeight="1" x14ac:dyDescent="0.2">
      <c r="A1602" s="7" t="s">
        <v>7228</v>
      </c>
      <c r="B1602" s="7" t="s">
        <v>7238</v>
      </c>
      <c r="C1602" s="7" t="s">
        <v>7239</v>
      </c>
      <c r="E1602" s="7" t="s">
        <v>263</v>
      </c>
      <c r="F1602" s="7" t="s">
        <v>7240</v>
      </c>
      <c r="G1602" s="7" t="s">
        <v>7236</v>
      </c>
      <c r="H1602" s="1" t="s">
        <v>7235</v>
      </c>
      <c r="I1602" s="2" t="s">
        <v>7252</v>
      </c>
      <c r="J1602" s="2" t="s">
        <v>7251</v>
      </c>
      <c r="K1602" s="2" t="s">
        <v>4410</v>
      </c>
      <c r="L1602" s="6">
        <v>2087</v>
      </c>
      <c r="M1602" s="6" t="s">
        <v>5894</v>
      </c>
      <c r="O1602" s="45" t="s">
        <v>3863</v>
      </c>
      <c r="Q1602" s="2"/>
      <c r="R1602" s="7" t="s">
        <v>7241</v>
      </c>
      <c r="W1602" s="7" t="s">
        <v>7249</v>
      </c>
      <c r="X1602" s="5">
        <v>-1.54</v>
      </c>
      <c r="Y1602" s="5">
        <v>102.30159999999999</v>
      </c>
      <c r="Z1602" s="6">
        <v>50</v>
      </c>
      <c r="AA1602" s="134" t="s">
        <v>7254</v>
      </c>
      <c r="AB1602" s="134" t="s">
        <v>7253</v>
      </c>
    </row>
    <row r="1603" spans="1:28" ht="21.75" customHeight="1" x14ac:dyDescent="0.2">
      <c r="A1603" s="7" t="s">
        <v>7228</v>
      </c>
      <c r="B1603" s="7" t="s">
        <v>7229</v>
      </c>
      <c r="C1603" s="7" t="s">
        <v>7237</v>
      </c>
      <c r="E1603" s="7" t="s">
        <v>263</v>
      </c>
      <c r="F1603" s="7" t="s">
        <v>7240</v>
      </c>
      <c r="G1603" s="7" t="s">
        <v>7236</v>
      </c>
      <c r="H1603" s="1" t="s">
        <v>7235</v>
      </c>
      <c r="I1603" s="2" t="s">
        <v>7252</v>
      </c>
      <c r="J1603" s="2" t="s">
        <v>7251</v>
      </c>
      <c r="K1603" s="2" t="s">
        <v>4410</v>
      </c>
      <c r="L1603" s="6">
        <v>2281</v>
      </c>
      <c r="M1603" s="6" t="s">
        <v>5894</v>
      </c>
      <c r="O1603" s="45" t="s">
        <v>3863</v>
      </c>
      <c r="Q1603" s="2"/>
      <c r="R1603" s="7" t="s">
        <v>7242</v>
      </c>
      <c r="W1603" s="7" t="s">
        <v>7250</v>
      </c>
      <c r="X1603" s="5">
        <v>-1.5307999999999999</v>
      </c>
      <c r="Y1603" s="5">
        <v>116.1913</v>
      </c>
      <c r="Z1603" s="6">
        <v>61</v>
      </c>
      <c r="AA1603" s="135"/>
      <c r="AB1603" s="135"/>
    </row>
    <row r="1604" spans="1:28" s="8" customFormat="1" ht="21.75" customHeight="1" x14ac:dyDescent="0.2">
      <c r="A1604" s="8" t="s">
        <v>5302</v>
      </c>
      <c r="B1604" s="8" t="s">
        <v>5305</v>
      </c>
      <c r="C1604" s="8" t="s">
        <v>861</v>
      </c>
      <c r="D1604" s="8" t="s">
        <v>5308</v>
      </c>
      <c r="E1604" s="8" t="s">
        <v>263</v>
      </c>
      <c r="F1604" s="8" t="s">
        <v>214</v>
      </c>
      <c r="G1604" s="8" t="s">
        <v>5304</v>
      </c>
      <c r="H1604" s="3" t="s">
        <v>5303</v>
      </c>
      <c r="I1604" s="4">
        <v>1.63</v>
      </c>
      <c r="J1604" s="4" t="s">
        <v>4367</v>
      </c>
      <c r="K1604" s="4" t="s">
        <v>5713</v>
      </c>
      <c r="L1604" s="14"/>
      <c r="M1604" s="14"/>
      <c r="N1604" s="14"/>
      <c r="O1604" s="110" t="s">
        <v>5313</v>
      </c>
      <c r="P1604" s="4"/>
      <c r="Q1604" s="4"/>
      <c r="R1604" s="8" t="s">
        <v>5321</v>
      </c>
      <c r="X1604" s="13">
        <v>43.703800000000001</v>
      </c>
      <c r="Y1604" s="13">
        <v>-109.4148</v>
      </c>
      <c r="Z1604" s="14">
        <v>2894</v>
      </c>
      <c r="AA1604" s="29" t="s">
        <v>5307</v>
      </c>
      <c r="AB1604" s="8" t="s">
        <v>5312</v>
      </c>
    </row>
    <row r="1605" spans="1:28" s="8" customFormat="1" ht="21.75" customHeight="1" x14ac:dyDescent="0.2">
      <c r="A1605" s="8" t="s">
        <v>5302</v>
      </c>
      <c r="B1605" s="8" t="s">
        <v>5305</v>
      </c>
      <c r="C1605" s="8" t="s">
        <v>861</v>
      </c>
      <c r="D1605" s="8" t="s">
        <v>5309</v>
      </c>
      <c r="E1605" s="8" t="s">
        <v>263</v>
      </c>
      <c r="F1605" s="8" t="s">
        <v>214</v>
      </c>
      <c r="G1605" s="8" t="s">
        <v>5304</v>
      </c>
      <c r="H1605" s="3" t="s">
        <v>5303</v>
      </c>
      <c r="I1605" s="4">
        <v>1.65</v>
      </c>
      <c r="J1605" s="4" t="s">
        <v>4367</v>
      </c>
      <c r="K1605" s="4" t="s">
        <v>5713</v>
      </c>
      <c r="L1605" s="14"/>
      <c r="M1605" s="14"/>
      <c r="N1605" s="14"/>
      <c r="O1605" s="110" t="s">
        <v>5314</v>
      </c>
      <c r="P1605" s="4"/>
      <c r="Q1605" s="4"/>
      <c r="R1605" s="8" t="s">
        <v>5321</v>
      </c>
      <c r="X1605" s="13">
        <v>43.704300000000003</v>
      </c>
      <c r="Y1605" s="13">
        <v>-109.41370000000001</v>
      </c>
      <c r="Z1605" s="14">
        <v>2899</v>
      </c>
      <c r="AA1605" s="132" t="s">
        <v>5306</v>
      </c>
    </row>
    <row r="1606" spans="1:28" s="8" customFormat="1" ht="21.75" customHeight="1" x14ac:dyDescent="0.2">
      <c r="A1606" s="8" t="s">
        <v>5302</v>
      </c>
      <c r="B1606" s="8" t="s">
        <v>5305</v>
      </c>
      <c r="C1606" s="8" t="s">
        <v>861</v>
      </c>
      <c r="D1606" s="8" t="s">
        <v>5310</v>
      </c>
      <c r="E1606" s="8" t="s">
        <v>263</v>
      </c>
      <c r="F1606" s="8" t="s">
        <v>214</v>
      </c>
      <c r="G1606" s="8" t="s">
        <v>5304</v>
      </c>
      <c r="H1606" s="3" t="s">
        <v>5303</v>
      </c>
      <c r="I1606" s="4">
        <v>1.83</v>
      </c>
      <c r="J1606" s="4" t="s">
        <v>4367</v>
      </c>
      <c r="K1606" s="4" t="s">
        <v>5713</v>
      </c>
      <c r="L1606" s="14"/>
      <c r="M1606" s="14"/>
      <c r="N1606" s="14"/>
      <c r="O1606" s="110" t="s">
        <v>5315</v>
      </c>
      <c r="P1606" s="4"/>
      <c r="Q1606" s="4"/>
      <c r="R1606" s="8" t="s">
        <v>5321</v>
      </c>
      <c r="X1606" s="13">
        <v>43.704500000000003</v>
      </c>
      <c r="Y1606" s="13">
        <v>-109.4158</v>
      </c>
      <c r="Z1606" s="14">
        <v>2914</v>
      </c>
      <c r="AA1606" s="137"/>
    </row>
    <row r="1607" spans="1:28" s="8" customFormat="1" ht="21.75" customHeight="1" x14ac:dyDescent="0.2">
      <c r="A1607" s="8" t="s">
        <v>5302</v>
      </c>
      <c r="B1607" s="8" t="s">
        <v>5305</v>
      </c>
      <c r="C1607" s="8" t="s">
        <v>861</v>
      </c>
      <c r="D1607" s="8" t="s">
        <v>5311</v>
      </c>
      <c r="E1607" s="8" t="s">
        <v>263</v>
      </c>
      <c r="F1607" s="8" t="s">
        <v>214</v>
      </c>
      <c r="G1607" s="8" t="s">
        <v>5304</v>
      </c>
      <c r="H1607" s="3" t="s">
        <v>5303</v>
      </c>
      <c r="I1607" s="4">
        <v>1.47</v>
      </c>
      <c r="J1607" s="4" t="s">
        <v>4367</v>
      </c>
      <c r="K1607" s="4" t="s">
        <v>5713</v>
      </c>
      <c r="L1607" s="14"/>
      <c r="M1607" s="14"/>
      <c r="N1607" s="14"/>
      <c r="O1607" s="110" t="s">
        <v>5316</v>
      </c>
      <c r="P1607" s="4"/>
      <c r="Q1607" s="4"/>
      <c r="R1607" s="8" t="s">
        <v>5321</v>
      </c>
      <c r="X1607" s="13">
        <v>43.703499999999998</v>
      </c>
      <c r="Y1607" s="13">
        <v>-109.4139</v>
      </c>
      <c r="Z1607" s="14">
        <v>2873</v>
      </c>
      <c r="AA1607" s="133"/>
    </row>
    <row r="1608" spans="1:28" ht="21.75" customHeight="1" x14ac:dyDescent="0.2">
      <c r="A1608" s="7" t="s">
        <v>5128</v>
      </c>
      <c r="B1608" s="7" t="s">
        <v>5130</v>
      </c>
      <c r="C1608" s="7" t="s">
        <v>4320</v>
      </c>
      <c r="E1608" s="7" t="s">
        <v>280</v>
      </c>
      <c r="F1608" s="7" t="s">
        <v>212</v>
      </c>
      <c r="G1608" s="7" t="s">
        <v>5133</v>
      </c>
      <c r="H1608" s="1" t="s">
        <v>5132</v>
      </c>
      <c r="I1608" s="2">
        <v>1.5</v>
      </c>
      <c r="J1608" s="2" t="s">
        <v>5816</v>
      </c>
      <c r="K1608" s="2" t="s">
        <v>4480</v>
      </c>
      <c r="O1608" s="45" t="s">
        <v>5131</v>
      </c>
      <c r="Q1608" s="2"/>
      <c r="R1608" s="7" t="s">
        <v>5134</v>
      </c>
      <c r="X1608" s="5">
        <v>38.753</v>
      </c>
      <c r="Y1608" s="5">
        <v>-92.199200000000005</v>
      </c>
      <c r="Z1608" s="6">
        <v>245</v>
      </c>
      <c r="AA1608" s="7" t="s">
        <v>5135</v>
      </c>
      <c r="AB1608" s="23" t="s">
        <v>5129</v>
      </c>
    </row>
    <row r="1609" spans="1:28" s="8" customFormat="1" ht="21.75" customHeight="1" x14ac:dyDescent="0.2">
      <c r="A1609" s="8" t="s">
        <v>4307</v>
      </c>
      <c r="B1609" s="8" t="s">
        <v>4313</v>
      </c>
      <c r="C1609" s="8" t="s">
        <v>4320</v>
      </c>
      <c r="D1609" s="8" t="s">
        <v>4308</v>
      </c>
      <c r="E1609" s="8" t="s">
        <v>280</v>
      </c>
      <c r="F1609" s="8" t="s">
        <v>212</v>
      </c>
      <c r="G1609" s="8" t="s">
        <v>4318</v>
      </c>
      <c r="H1609" s="3" t="s">
        <v>1729</v>
      </c>
      <c r="I1609" s="4">
        <v>1.05</v>
      </c>
      <c r="J1609" s="4" t="s">
        <v>4293</v>
      </c>
      <c r="K1609" s="4" t="s">
        <v>4292</v>
      </c>
      <c r="L1609" s="14">
        <v>801</v>
      </c>
      <c r="M1609" s="14"/>
      <c r="N1609" s="14"/>
      <c r="O1609" s="110" t="s">
        <v>4326</v>
      </c>
      <c r="P1609" s="4"/>
      <c r="Q1609" s="4"/>
      <c r="R1609" s="8" t="s">
        <v>4314</v>
      </c>
      <c r="X1609" s="13">
        <f>53+23/60</f>
        <v>53.383333333333333</v>
      </c>
      <c r="Y1609" s="13">
        <f>8+8/60</f>
        <v>8.1333333333333329</v>
      </c>
      <c r="Z1609" s="14">
        <v>10</v>
      </c>
      <c r="AA1609" s="132" t="s">
        <v>4325</v>
      </c>
      <c r="AB1609" s="8" t="s">
        <v>4321</v>
      </c>
    </row>
    <row r="1610" spans="1:28" s="8" customFormat="1" ht="21.75" customHeight="1" x14ac:dyDescent="0.2">
      <c r="A1610" s="8" t="s">
        <v>4307</v>
      </c>
      <c r="B1610" s="8" t="s">
        <v>4313</v>
      </c>
      <c r="C1610" s="8" t="s">
        <v>4320</v>
      </c>
      <c r="D1610" s="8" t="s">
        <v>4309</v>
      </c>
      <c r="E1610" s="8" t="s">
        <v>280</v>
      </c>
      <c r="F1610" s="8" t="s">
        <v>212</v>
      </c>
      <c r="G1610" s="8" t="s">
        <v>4319</v>
      </c>
      <c r="H1610" s="3" t="s">
        <v>2568</v>
      </c>
      <c r="I1610" s="4">
        <v>1</v>
      </c>
      <c r="J1610" s="4" t="s">
        <v>4293</v>
      </c>
      <c r="K1610" s="4" t="s">
        <v>4292</v>
      </c>
      <c r="L1610" s="14">
        <v>618</v>
      </c>
      <c r="M1610" s="14"/>
      <c r="N1610" s="14"/>
      <c r="O1610" s="110" t="s">
        <v>4326</v>
      </c>
      <c r="P1610" s="4"/>
      <c r="Q1610" s="4"/>
      <c r="R1610" s="8" t="s">
        <v>4316</v>
      </c>
      <c r="X1610" s="13">
        <f>52+47/60</f>
        <v>52.783333333333331</v>
      </c>
      <c r="Y1610" s="13">
        <f>10+25/60</f>
        <v>10.416666666666666</v>
      </c>
      <c r="Z1610" s="14">
        <v>115</v>
      </c>
      <c r="AA1610" s="137"/>
      <c r="AB1610" s="8" t="s">
        <v>4322</v>
      </c>
    </row>
    <row r="1611" spans="1:28" s="8" customFormat="1" ht="21.75" customHeight="1" x14ac:dyDescent="0.2">
      <c r="A1611" s="8" t="s">
        <v>4307</v>
      </c>
      <c r="B1611" s="8" t="s">
        <v>4313</v>
      </c>
      <c r="C1611" s="8" t="s">
        <v>4320</v>
      </c>
      <c r="D1611" s="8" t="s">
        <v>4310</v>
      </c>
      <c r="E1611" s="8" t="s">
        <v>280</v>
      </c>
      <c r="F1611" s="8" t="s">
        <v>212</v>
      </c>
      <c r="G1611" s="8" t="s">
        <v>4319</v>
      </c>
      <c r="H1611" s="3" t="s">
        <v>2568</v>
      </c>
      <c r="I1611" s="4">
        <v>1</v>
      </c>
      <c r="J1611" s="4" t="s">
        <v>4293</v>
      </c>
      <c r="K1611" s="4" t="s">
        <v>4292</v>
      </c>
      <c r="L1611" s="14">
        <v>624</v>
      </c>
      <c r="M1611" s="14"/>
      <c r="N1611" s="14"/>
      <c r="O1611" s="110" t="s">
        <v>4326</v>
      </c>
      <c r="P1611" s="4"/>
      <c r="Q1611" s="4"/>
      <c r="R1611" s="8" t="s">
        <v>4315</v>
      </c>
      <c r="X1611" s="13">
        <f>52+16/60</f>
        <v>52.266666666666666</v>
      </c>
      <c r="Y1611" s="13">
        <v>11</v>
      </c>
      <c r="Z1611" s="14">
        <v>162</v>
      </c>
      <c r="AA1611" s="137"/>
      <c r="AB1611" s="8" t="s">
        <v>4323</v>
      </c>
    </row>
    <row r="1612" spans="1:28" s="8" customFormat="1" ht="21.75" customHeight="1" x14ac:dyDescent="0.2">
      <c r="A1612" s="8" t="s">
        <v>4307</v>
      </c>
      <c r="B1612" s="8" t="s">
        <v>4312</v>
      </c>
      <c r="C1612" s="8" t="s">
        <v>4320</v>
      </c>
      <c r="D1612" s="8" t="s">
        <v>4311</v>
      </c>
      <c r="E1612" s="8" t="s">
        <v>280</v>
      </c>
      <c r="F1612" s="8" t="s">
        <v>212</v>
      </c>
      <c r="G1612" s="8" t="s">
        <v>4319</v>
      </c>
      <c r="H1612" s="3" t="s">
        <v>2568</v>
      </c>
      <c r="I1612" s="4">
        <v>0.6</v>
      </c>
      <c r="J1612" s="4" t="s">
        <v>4293</v>
      </c>
      <c r="K1612" s="4" t="s">
        <v>4292</v>
      </c>
      <c r="L1612" s="14">
        <v>508</v>
      </c>
      <c r="M1612" s="14"/>
      <c r="N1612" s="14"/>
      <c r="O1612" s="110" t="s">
        <v>4326</v>
      </c>
      <c r="P1612" s="4"/>
      <c r="Q1612" s="4"/>
      <c r="R1612" s="8" t="s">
        <v>4317</v>
      </c>
      <c r="X1612" s="13">
        <v>51.897300000000001</v>
      </c>
      <c r="Y1612" s="13">
        <v>11.327</v>
      </c>
      <c r="Z1612" s="14">
        <v>200</v>
      </c>
      <c r="AA1612" s="133"/>
      <c r="AB1612" s="8" t="s">
        <v>4324</v>
      </c>
    </row>
    <row r="1613" spans="1:28" ht="21.75" customHeight="1" x14ac:dyDescent="0.2">
      <c r="A1613" s="7" t="s">
        <v>3176</v>
      </c>
      <c r="B1613" s="7" t="s">
        <v>3177</v>
      </c>
      <c r="C1613" s="7" t="s">
        <v>116</v>
      </c>
      <c r="D1613" s="7" t="s">
        <v>3783</v>
      </c>
      <c r="E1613" s="7" t="s">
        <v>280</v>
      </c>
      <c r="F1613" s="7" t="s">
        <v>212</v>
      </c>
      <c r="G1613" s="7" t="s">
        <v>3208</v>
      </c>
      <c r="H1613" s="1" t="s">
        <v>3028</v>
      </c>
      <c r="I1613" s="2">
        <v>3.3</v>
      </c>
      <c r="J1613" s="2" t="s">
        <v>4367</v>
      </c>
      <c r="K1613" s="2" t="s">
        <v>5713</v>
      </c>
      <c r="L1613" s="6">
        <v>650</v>
      </c>
      <c r="Q1613" s="2"/>
      <c r="R1613" s="7" t="s">
        <v>3780</v>
      </c>
      <c r="X1613" s="7">
        <v>-17.309699999999999</v>
      </c>
      <c r="Y1613" s="7">
        <v>24.892299999999999</v>
      </c>
      <c r="Z1613" s="7">
        <v>959</v>
      </c>
      <c r="AA1613" s="7" t="s">
        <v>3786</v>
      </c>
      <c r="AB1613" s="7" t="s">
        <v>3787</v>
      </c>
    </row>
    <row r="1614" spans="1:28" ht="21.75" customHeight="1" x14ac:dyDescent="0.2">
      <c r="A1614" s="7" t="s">
        <v>3176</v>
      </c>
      <c r="B1614" s="7" t="s">
        <v>3177</v>
      </c>
      <c r="C1614" s="7" t="s">
        <v>116</v>
      </c>
      <c r="D1614" s="7" t="s">
        <v>3784</v>
      </c>
      <c r="E1614" s="7" t="s">
        <v>280</v>
      </c>
      <c r="F1614" s="7" t="s">
        <v>212</v>
      </c>
      <c r="G1614" s="7" t="s">
        <v>3208</v>
      </c>
      <c r="H1614" s="1" t="s">
        <v>3028</v>
      </c>
      <c r="I1614" s="2">
        <v>4.0999999999999996</v>
      </c>
      <c r="J1614" s="2" t="s">
        <v>4367</v>
      </c>
      <c r="K1614" s="2" t="s">
        <v>5713</v>
      </c>
      <c r="L1614" s="6">
        <v>650</v>
      </c>
      <c r="Q1614" s="2"/>
      <c r="R1614" s="7" t="s">
        <v>3781</v>
      </c>
      <c r="X1614" s="7">
        <v>-17.3063</v>
      </c>
      <c r="Y1614" s="7">
        <v>24.903500000000001</v>
      </c>
      <c r="Z1614" s="7">
        <v>954</v>
      </c>
      <c r="AA1614" s="7" t="s">
        <v>3785</v>
      </c>
      <c r="AB1614" s="7" t="s">
        <v>3796</v>
      </c>
    </row>
    <row r="1615" spans="1:28" ht="21.75" customHeight="1" x14ac:dyDescent="0.2">
      <c r="A1615" s="7" t="s">
        <v>3176</v>
      </c>
      <c r="B1615" s="7" t="s">
        <v>3177</v>
      </c>
      <c r="C1615" s="7" t="s">
        <v>116</v>
      </c>
      <c r="D1615" s="7" t="s">
        <v>3779</v>
      </c>
      <c r="E1615" s="7" t="s">
        <v>280</v>
      </c>
      <c r="F1615" s="7" t="s">
        <v>212</v>
      </c>
      <c r="G1615" s="7" t="s">
        <v>3210</v>
      </c>
      <c r="H1615" s="1" t="s">
        <v>3209</v>
      </c>
      <c r="I1615" s="2">
        <v>5.3</v>
      </c>
      <c r="J1615" s="2" t="s">
        <v>4367</v>
      </c>
      <c r="K1615" s="2" t="s">
        <v>5713</v>
      </c>
      <c r="L1615" s="6">
        <v>650</v>
      </c>
      <c r="Q1615" s="2"/>
      <c r="R1615" s="7" t="s">
        <v>3780</v>
      </c>
      <c r="X1615" s="5">
        <v>-17.068899999999999</v>
      </c>
      <c r="Y1615" s="5">
        <v>24.840699999999998</v>
      </c>
      <c r="Z1615" s="6">
        <v>986</v>
      </c>
      <c r="AA1615" s="7" t="s">
        <v>3782</v>
      </c>
      <c r="AB1615" s="7" t="s">
        <v>3788</v>
      </c>
    </row>
    <row r="1616" spans="1:28" ht="21.75" customHeight="1" x14ac:dyDescent="0.2">
      <c r="A1616" s="7" t="s">
        <v>3176</v>
      </c>
      <c r="B1616" s="7" t="s">
        <v>3177</v>
      </c>
      <c r="C1616" s="7" t="s">
        <v>116</v>
      </c>
      <c r="D1616" s="7" t="s">
        <v>3778</v>
      </c>
      <c r="E1616" s="7" t="s">
        <v>280</v>
      </c>
      <c r="F1616" s="7" t="s">
        <v>212</v>
      </c>
      <c r="G1616" s="7" t="s">
        <v>3210</v>
      </c>
      <c r="H1616" s="1" t="s">
        <v>3209</v>
      </c>
      <c r="I1616" s="2">
        <v>4.0999999999999996</v>
      </c>
      <c r="J1616" s="2" t="s">
        <v>4367</v>
      </c>
      <c r="K1616" s="2" t="s">
        <v>5713</v>
      </c>
      <c r="L1616" s="6">
        <v>650</v>
      </c>
      <c r="Q1616" s="2"/>
      <c r="R1616" s="7" t="s">
        <v>3781</v>
      </c>
      <c r="X1616" s="5">
        <v>-17.1524</v>
      </c>
      <c r="Y1616" s="5">
        <v>25.036000000000001</v>
      </c>
      <c r="Z1616" s="6">
        <v>961</v>
      </c>
      <c r="AA1616" s="7" t="s">
        <v>3782</v>
      </c>
      <c r="AB1616" s="7" t="s">
        <v>3788</v>
      </c>
    </row>
    <row r="1617" spans="1:28" ht="21.75" customHeight="1" x14ac:dyDescent="0.2">
      <c r="A1617" s="7" t="s">
        <v>3176</v>
      </c>
      <c r="B1617" s="7" t="s">
        <v>3178</v>
      </c>
      <c r="C1617" s="7" t="s">
        <v>116</v>
      </c>
      <c r="D1617" s="7" t="s">
        <v>3789</v>
      </c>
      <c r="E1617" s="7" t="s">
        <v>280</v>
      </c>
      <c r="F1617" s="7" t="s">
        <v>212</v>
      </c>
      <c r="G1617" s="7" t="s">
        <v>3212</v>
      </c>
      <c r="H1617" s="1" t="s">
        <v>3211</v>
      </c>
      <c r="I1617" s="2">
        <v>2</v>
      </c>
      <c r="J1617" s="2" t="s">
        <v>4367</v>
      </c>
      <c r="K1617" s="2" t="s">
        <v>5713</v>
      </c>
      <c r="L1617" s="6">
        <v>1000</v>
      </c>
      <c r="Q1617" s="2"/>
      <c r="R1617" s="7" t="s">
        <v>2538</v>
      </c>
      <c r="X1617" s="5">
        <v>-12.8246</v>
      </c>
      <c r="Y1617" s="5">
        <v>28.042000000000002</v>
      </c>
      <c r="Z1617" s="6">
        <v>1260</v>
      </c>
      <c r="AA1617" s="7" t="s">
        <v>3791</v>
      </c>
    </row>
    <row r="1618" spans="1:28" ht="21.75" customHeight="1" x14ac:dyDescent="0.2">
      <c r="A1618" s="7" t="s">
        <v>3176</v>
      </c>
      <c r="B1618" s="7" t="s">
        <v>3178</v>
      </c>
      <c r="C1618" s="7" t="s">
        <v>116</v>
      </c>
      <c r="D1618" s="7" t="s">
        <v>3790</v>
      </c>
      <c r="E1618" s="7" t="s">
        <v>280</v>
      </c>
      <c r="F1618" s="7" t="s">
        <v>212</v>
      </c>
      <c r="G1618" s="7" t="s">
        <v>3212</v>
      </c>
      <c r="H1618" s="1" t="s">
        <v>3211</v>
      </c>
      <c r="I1618" s="2">
        <v>3</v>
      </c>
      <c r="J1618" s="2" t="s">
        <v>4367</v>
      </c>
      <c r="K1618" s="2" t="s">
        <v>5713</v>
      </c>
      <c r="L1618" s="6">
        <v>1000</v>
      </c>
      <c r="Q1618" s="2"/>
      <c r="R1618" s="7" t="s">
        <v>1012</v>
      </c>
      <c r="X1618" s="5">
        <v>-12.8222</v>
      </c>
      <c r="Y1618" s="5">
        <v>28.048300000000001</v>
      </c>
      <c r="Z1618" s="6">
        <v>1273</v>
      </c>
      <c r="AA1618" s="7" t="s">
        <v>3792</v>
      </c>
    </row>
    <row r="1619" spans="1:28" ht="21.75" customHeight="1" x14ac:dyDescent="0.2">
      <c r="A1619" s="7" t="s">
        <v>3176</v>
      </c>
      <c r="B1619" s="7" t="s">
        <v>3178</v>
      </c>
      <c r="C1619" s="7" t="s">
        <v>116</v>
      </c>
      <c r="D1619" s="7" t="s">
        <v>3217</v>
      </c>
      <c r="E1619" s="7" t="s">
        <v>280</v>
      </c>
      <c r="F1619" s="7" t="s">
        <v>212</v>
      </c>
      <c r="G1619" s="7" t="s">
        <v>3214</v>
      </c>
      <c r="H1619" s="1" t="s">
        <v>3213</v>
      </c>
      <c r="I1619" s="2">
        <v>3.3</v>
      </c>
      <c r="J1619" s="2" t="s">
        <v>4367</v>
      </c>
      <c r="K1619" s="2" t="s">
        <v>5713</v>
      </c>
      <c r="L1619" s="6">
        <v>1000</v>
      </c>
      <c r="Q1619" s="2"/>
      <c r="R1619" s="7" t="s">
        <v>3215</v>
      </c>
      <c r="X1619" s="5">
        <v>-12.8057</v>
      </c>
      <c r="Y1619" s="5">
        <v>28.0427</v>
      </c>
      <c r="Z1619" s="6">
        <v>1256</v>
      </c>
      <c r="AA1619" s="7" t="s">
        <v>3250</v>
      </c>
      <c r="AB1619" s="7" t="s">
        <v>3221</v>
      </c>
    </row>
    <row r="1620" spans="1:28" ht="21.75" customHeight="1" x14ac:dyDescent="0.2">
      <c r="A1620" s="7" t="s">
        <v>3176</v>
      </c>
      <c r="B1620" s="7" t="s">
        <v>3178</v>
      </c>
      <c r="C1620" s="7" t="s">
        <v>116</v>
      </c>
      <c r="D1620" s="7" t="s">
        <v>3218</v>
      </c>
      <c r="E1620" s="7" t="s">
        <v>280</v>
      </c>
      <c r="F1620" s="7" t="s">
        <v>212</v>
      </c>
      <c r="G1620" s="7" t="s">
        <v>3214</v>
      </c>
      <c r="H1620" s="1" t="s">
        <v>3213</v>
      </c>
      <c r="I1620" s="2">
        <v>2.2000000000000002</v>
      </c>
      <c r="J1620" s="2" t="s">
        <v>4367</v>
      </c>
      <c r="K1620" s="2" t="s">
        <v>5713</v>
      </c>
      <c r="L1620" s="6">
        <v>1000</v>
      </c>
      <c r="Q1620" s="2"/>
      <c r="R1620" s="7" t="s">
        <v>3216</v>
      </c>
      <c r="X1620" s="5">
        <v>-12.8109</v>
      </c>
      <c r="Y1620" s="5">
        <v>28.0138</v>
      </c>
      <c r="Z1620" s="6">
        <v>1242</v>
      </c>
      <c r="AA1620" s="7" t="s">
        <v>3251</v>
      </c>
      <c r="AB1620" s="7" t="s">
        <v>3222</v>
      </c>
    </row>
    <row r="1621" spans="1:28" ht="21.75" customHeight="1" x14ac:dyDescent="0.2">
      <c r="A1621" s="7" t="s">
        <v>3176</v>
      </c>
      <c r="B1621" s="7" t="s">
        <v>3178</v>
      </c>
      <c r="C1621" s="7" t="s">
        <v>116</v>
      </c>
      <c r="D1621" s="7" t="s">
        <v>3220</v>
      </c>
      <c r="E1621" s="7" t="s">
        <v>280</v>
      </c>
      <c r="F1621" s="7" t="s">
        <v>212</v>
      </c>
      <c r="H1621" s="1" t="s">
        <v>3219</v>
      </c>
      <c r="I1621" s="2">
        <v>3.1</v>
      </c>
      <c r="J1621" s="2" t="s">
        <v>4367</v>
      </c>
      <c r="K1621" s="2" t="s">
        <v>5713</v>
      </c>
      <c r="L1621" s="6">
        <v>1000</v>
      </c>
      <c r="Q1621" s="2"/>
      <c r="R1621" s="7" t="s">
        <v>3215</v>
      </c>
      <c r="X1621" s="5">
        <v>-12.501200000000001</v>
      </c>
      <c r="Y1621" s="5">
        <v>28.042300000000001</v>
      </c>
      <c r="Z1621" s="6">
        <v>1255</v>
      </c>
      <c r="AA1621" s="7" t="s">
        <v>3252</v>
      </c>
      <c r="AB1621" s="7" t="s">
        <v>3223</v>
      </c>
    </row>
    <row r="1622" spans="1:28" ht="21.75" customHeight="1" x14ac:dyDescent="0.2">
      <c r="A1622" s="7" t="s">
        <v>3176</v>
      </c>
      <c r="B1622" s="7" t="s">
        <v>3178</v>
      </c>
      <c r="C1622" s="7" t="s">
        <v>116</v>
      </c>
      <c r="D1622" s="7" t="s">
        <v>3224</v>
      </c>
      <c r="E1622" s="7" t="s">
        <v>280</v>
      </c>
      <c r="F1622" s="7" t="s">
        <v>212</v>
      </c>
      <c r="H1622" s="1" t="s">
        <v>3219</v>
      </c>
      <c r="I1622" s="2">
        <v>2.9</v>
      </c>
      <c r="J1622" s="2" t="s">
        <v>4367</v>
      </c>
      <c r="K1622" s="2" t="s">
        <v>5713</v>
      </c>
      <c r="L1622" s="6">
        <v>1000</v>
      </c>
      <c r="Q1622" s="2"/>
      <c r="R1622" s="7" t="s">
        <v>3216</v>
      </c>
      <c r="X1622" s="5">
        <v>-12.816599999999999</v>
      </c>
      <c r="Y1622" s="5">
        <v>28.010400000000001</v>
      </c>
      <c r="Z1622" s="6">
        <v>1247</v>
      </c>
      <c r="AA1622" s="7" t="s">
        <v>3253</v>
      </c>
      <c r="AB1622" s="7" t="s">
        <v>3225</v>
      </c>
    </row>
    <row r="1623" spans="1:28" ht="21.75" customHeight="1" x14ac:dyDescent="0.2">
      <c r="A1623" s="7" t="s">
        <v>3176</v>
      </c>
      <c r="B1623" s="7" t="s">
        <v>3178</v>
      </c>
      <c r="C1623" s="7" t="s">
        <v>116</v>
      </c>
      <c r="D1623" s="7" t="s">
        <v>3228</v>
      </c>
      <c r="E1623" s="7" t="s">
        <v>280</v>
      </c>
      <c r="F1623" s="7" t="s">
        <v>212</v>
      </c>
      <c r="H1623" s="1" t="s">
        <v>3219</v>
      </c>
      <c r="I1623" s="2">
        <v>2</v>
      </c>
      <c r="J1623" s="2" t="s">
        <v>4367</v>
      </c>
      <c r="K1623" s="2" t="s">
        <v>5713</v>
      </c>
      <c r="L1623" s="6">
        <v>1000</v>
      </c>
      <c r="O1623" s="45" t="s">
        <v>3793</v>
      </c>
      <c r="Q1623" s="2">
        <v>2</v>
      </c>
      <c r="R1623" s="7" t="s">
        <v>3226</v>
      </c>
      <c r="X1623" s="5">
        <v>-12.771800000000001</v>
      </c>
      <c r="Y1623" s="5">
        <v>28.044599999999999</v>
      </c>
      <c r="Z1623" s="6">
        <v>1223</v>
      </c>
      <c r="AA1623" s="7" t="s">
        <v>3254</v>
      </c>
      <c r="AB1623" s="7" t="s">
        <v>3233</v>
      </c>
    </row>
    <row r="1624" spans="1:28" ht="21.75" customHeight="1" x14ac:dyDescent="0.2">
      <c r="A1624" s="7" t="s">
        <v>3176</v>
      </c>
      <c r="B1624" s="7" t="s">
        <v>3178</v>
      </c>
      <c r="C1624" s="7" t="s">
        <v>116</v>
      </c>
      <c r="D1624" s="7" t="s">
        <v>3229</v>
      </c>
      <c r="E1624" s="7" t="s">
        <v>280</v>
      </c>
      <c r="F1624" s="7" t="s">
        <v>212</v>
      </c>
      <c r="H1624" s="1" t="s">
        <v>3219</v>
      </c>
      <c r="I1624" s="2">
        <v>3.4</v>
      </c>
      <c r="J1624" s="2" t="s">
        <v>4367</v>
      </c>
      <c r="K1624" s="2" t="s">
        <v>5713</v>
      </c>
      <c r="L1624" s="6">
        <v>1000</v>
      </c>
      <c r="Q1624" s="2"/>
      <c r="R1624" s="7" t="s">
        <v>3230</v>
      </c>
      <c r="X1624" s="5">
        <v>-12.7759</v>
      </c>
      <c r="Y1624" s="5">
        <v>28.053999999999998</v>
      </c>
      <c r="Z1624" s="6">
        <v>1256</v>
      </c>
      <c r="AA1624" s="7" t="s">
        <v>3255</v>
      </c>
      <c r="AB1624" s="7" t="s">
        <v>3227</v>
      </c>
    </row>
    <row r="1625" spans="1:28" ht="21.75" customHeight="1" x14ac:dyDescent="0.2">
      <c r="A1625" s="7" t="s">
        <v>3176</v>
      </c>
      <c r="B1625" s="7" t="s">
        <v>3178</v>
      </c>
      <c r="C1625" s="7" t="s">
        <v>116</v>
      </c>
      <c r="D1625" s="7" t="s">
        <v>3234</v>
      </c>
      <c r="E1625" s="7" t="s">
        <v>280</v>
      </c>
      <c r="F1625" s="7" t="s">
        <v>212</v>
      </c>
      <c r="H1625" s="1" t="s">
        <v>3231</v>
      </c>
      <c r="I1625" s="2">
        <v>2.95</v>
      </c>
      <c r="J1625" s="2" t="s">
        <v>4367</v>
      </c>
      <c r="K1625" s="2" t="s">
        <v>5713</v>
      </c>
      <c r="L1625" s="6">
        <v>1000</v>
      </c>
      <c r="O1625" s="45" t="s">
        <v>3794</v>
      </c>
      <c r="Q1625" s="2">
        <v>2.8</v>
      </c>
      <c r="R1625" s="7" t="s">
        <v>3232</v>
      </c>
      <c r="X1625" s="5">
        <v>-12.7524</v>
      </c>
      <c r="Y1625" s="5">
        <v>28.028099999999998</v>
      </c>
      <c r="Z1625" s="6">
        <v>1214</v>
      </c>
      <c r="AA1625" s="7" t="s">
        <v>3256</v>
      </c>
      <c r="AB1625" s="7" t="s">
        <v>3241</v>
      </c>
    </row>
    <row r="1626" spans="1:28" ht="21.75" customHeight="1" x14ac:dyDescent="0.2">
      <c r="A1626" s="7" t="s">
        <v>3176</v>
      </c>
      <c r="B1626" s="7" t="s">
        <v>3178</v>
      </c>
      <c r="C1626" s="7" t="s">
        <v>116</v>
      </c>
      <c r="D1626" s="7" t="s">
        <v>3235</v>
      </c>
      <c r="E1626" s="7" t="s">
        <v>280</v>
      </c>
      <c r="F1626" s="7" t="s">
        <v>212</v>
      </c>
      <c r="H1626" s="1" t="s">
        <v>3231</v>
      </c>
      <c r="I1626" s="2">
        <v>3.2</v>
      </c>
      <c r="J1626" s="2" t="s">
        <v>4367</v>
      </c>
      <c r="K1626" s="2" t="s">
        <v>5713</v>
      </c>
      <c r="L1626" s="6">
        <v>1000</v>
      </c>
      <c r="Q1626" s="2"/>
      <c r="R1626" s="7" t="s">
        <v>3215</v>
      </c>
      <c r="X1626" s="5">
        <v>-12.8073</v>
      </c>
      <c r="Y1626" s="5">
        <v>28.0456</v>
      </c>
      <c r="Z1626" s="6">
        <v>1259</v>
      </c>
      <c r="AA1626" s="7" t="s">
        <v>3257</v>
      </c>
      <c r="AB1626" s="7" t="s">
        <v>3236</v>
      </c>
    </row>
    <row r="1627" spans="1:28" ht="21.75" customHeight="1" x14ac:dyDescent="0.2">
      <c r="A1627" s="7" t="s">
        <v>3176</v>
      </c>
      <c r="B1627" s="7" t="s">
        <v>3178</v>
      </c>
      <c r="C1627" s="7" t="s">
        <v>116</v>
      </c>
      <c r="D1627" s="7" t="s">
        <v>3239</v>
      </c>
      <c r="E1627" s="7" t="s">
        <v>280</v>
      </c>
      <c r="F1627" s="7" t="s">
        <v>212</v>
      </c>
      <c r="H1627" s="1" t="s">
        <v>3231</v>
      </c>
      <c r="I1627" s="2">
        <v>2.4</v>
      </c>
      <c r="J1627" s="2" t="s">
        <v>4367</v>
      </c>
      <c r="K1627" s="2" t="s">
        <v>5713</v>
      </c>
      <c r="L1627" s="6">
        <v>1000</v>
      </c>
      <c r="Q1627" s="2"/>
      <c r="R1627" s="7" t="s">
        <v>3216</v>
      </c>
      <c r="X1627" s="5">
        <v>-12.815799999999999</v>
      </c>
      <c r="Y1627" s="5">
        <v>28.020099999999999</v>
      </c>
      <c r="Z1627" s="6">
        <v>1245</v>
      </c>
      <c r="AA1627" s="7" t="s">
        <v>3258</v>
      </c>
      <c r="AB1627" s="7" t="s">
        <v>3240</v>
      </c>
    </row>
    <row r="1628" spans="1:28" ht="21.75" customHeight="1" x14ac:dyDescent="0.2">
      <c r="A1628" s="7" t="s">
        <v>3176</v>
      </c>
      <c r="B1628" s="7" t="s">
        <v>3178</v>
      </c>
      <c r="C1628" s="7" t="s">
        <v>116</v>
      </c>
      <c r="D1628" s="7" t="s">
        <v>3238</v>
      </c>
      <c r="E1628" s="7" t="s">
        <v>280</v>
      </c>
      <c r="F1628" s="7" t="s">
        <v>212</v>
      </c>
      <c r="H1628" s="1" t="s">
        <v>3231</v>
      </c>
      <c r="I1628" s="2">
        <v>3.2</v>
      </c>
      <c r="J1628" s="2" t="s">
        <v>4367</v>
      </c>
      <c r="K1628" s="2" t="s">
        <v>5713</v>
      </c>
      <c r="L1628" s="6">
        <v>1000</v>
      </c>
      <c r="Q1628" s="2"/>
      <c r="R1628" s="7" t="s">
        <v>2538</v>
      </c>
      <c r="X1628" s="5">
        <v>-12.8177</v>
      </c>
      <c r="Y1628" s="5">
        <v>28.0411</v>
      </c>
      <c r="Z1628" s="6">
        <v>1263</v>
      </c>
      <c r="AA1628" s="7" t="s">
        <v>3259</v>
      </c>
      <c r="AB1628" s="7" t="s">
        <v>3237</v>
      </c>
    </row>
    <row r="1629" spans="1:28" ht="21.75" customHeight="1" x14ac:dyDescent="0.2">
      <c r="A1629" s="7" t="s">
        <v>3176</v>
      </c>
      <c r="B1629" s="7" t="s">
        <v>3178</v>
      </c>
      <c r="C1629" s="7" t="s">
        <v>116</v>
      </c>
      <c r="D1629" s="7" t="s">
        <v>3242</v>
      </c>
      <c r="E1629" s="7" t="s">
        <v>280</v>
      </c>
      <c r="F1629" s="7" t="s">
        <v>212</v>
      </c>
      <c r="H1629" s="1" t="s">
        <v>3231</v>
      </c>
      <c r="I1629" s="2">
        <v>2.2999999999999998</v>
      </c>
      <c r="J1629" s="2" t="s">
        <v>4367</v>
      </c>
      <c r="K1629" s="2" t="s">
        <v>5713</v>
      </c>
      <c r="L1629" s="6">
        <v>1000</v>
      </c>
      <c r="O1629" s="45" t="s">
        <v>3794</v>
      </c>
      <c r="Q1629" s="2">
        <v>2.2999999999999998</v>
      </c>
      <c r="R1629" s="7" t="s">
        <v>3232</v>
      </c>
      <c r="X1629" s="5">
        <v>-12.7791</v>
      </c>
      <c r="Y1629" s="5">
        <v>28.039899999999999</v>
      </c>
      <c r="Z1629" s="6">
        <v>1218</v>
      </c>
      <c r="AA1629" s="7" t="s">
        <v>3259</v>
      </c>
      <c r="AB1629" s="7" t="s">
        <v>3233</v>
      </c>
    </row>
    <row r="1630" spans="1:28" ht="21.75" customHeight="1" x14ac:dyDescent="0.2">
      <c r="A1630" s="7" t="s">
        <v>3176</v>
      </c>
      <c r="B1630" s="7" t="s">
        <v>3178</v>
      </c>
      <c r="C1630" s="7" t="s">
        <v>116</v>
      </c>
      <c r="D1630" s="7" t="s">
        <v>3179</v>
      </c>
      <c r="E1630" s="7" t="s">
        <v>280</v>
      </c>
      <c r="F1630" s="7" t="s">
        <v>212</v>
      </c>
      <c r="H1630" s="1" t="s">
        <v>3231</v>
      </c>
      <c r="I1630" s="2">
        <v>5.3</v>
      </c>
      <c r="J1630" s="2" t="s">
        <v>4367</v>
      </c>
      <c r="K1630" s="2" t="s">
        <v>5713</v>
      </c>
      <c r="L1630" s="6">
        <v>1000</v>
      </c>
      <c r="Q1630" s="2"/>
      <c r="R1630" s="7" t="s">
        <v>1012</v>
      </c>
      <c r="X1630" s="5">
        <v>-12.8187</v>
      </c>
      <c r="Y1630" s="5">
        <v>28.0564</v>
      </c>
      <c r="Z1630" s="6">
        <v>1276</v>
      </c>
      <c r="AA1630" s="7" t="s">
        <v>3260</v>
      </c>
      <c r="AB1630" s="7" t="s">
        <v>3227</v>
      </c>
    </row>
    <row r="1631" spans="1:28" ht="21.75" customHeight="1" x14ac:dyDescent="0.2">
      <c r="A1631" s="7" t="s">
        <v>3176</v>
      </c>
      <c r="B1631" s="7" t="s">
        <v>3178</v>
      </c>
      <c r="C1631" s="7" t="s">
        <v>116</v>
      </c>
      <c r="D1631" s="7" t="s">
        <v>3244</v>
      </c>
      <c r="E1631" s="7" t="s">
        <v>280</v>
      </c>
      <c r="F1631" s="7" t="s">
        <v>212</v>
      </c>
      <c r="G1631" s="7" t="s">
        <v>3037</v>
      </c>
      <c r="H1631" s="1" t="s">
        <v>3034</v>
      </c>
      <c r="I1631" s="2">
        <v>3.7</v>
      </c>
      <c r="J1631" s="2" t="s">
        <v>4367</v>
      </c>
      <c r="K1631" s="2" t="s">
        <v>5713</v>
      </c>
      <c r="L1631" s="6">
        <v>1000</v>
      </c>
      <c r="Q1631" s="2"/>
      <c r="R1631" s="7" t="s">
        <v>3215</v>
      </c>
      <c r="X1631" s="5">
        <v>-12.8078</v>
      </c>
      <c r="Y1631" s="5">
        <v>28.046800000000001</v>
      </c>
      <c r="Z1631" s="6">
        <v>1264</v>
      </c>
      <c r="AA1631" s="7" t="s">
        <v>3261</v>
      </c>
      <c r="AB1631" s="7" t="s">
        <v>3243</v>
      </c>
    </row>
    <row r="1632" spans="1:28" ht="21.75" customHeight="1" x14ac:dyDescent="0.2">
      <c r="A1632" s="7" t="s">
        <v>3176</v>
      </c>
      <c r="B1632" s="7" t="s">
        <v>3178</v>
      </c>
      <c r="C1632" s="7" t="s">
        <v>116</v>
      </c>
      <c r="D1632" s="7" t="s">
        <v>3245</v>
      </c>
      <c r="E1632" s="7" t="s">
        <v>280</v>
      </c>
      <c r="F1632" s="7" t="s">
        <v>212</v>
      </c>
      <c r="G1632" s="7" t="s">
        <v>3037</v>
      </c>
      <c r="H1632" s="1" t="s">
        <v>3034</v>
      </c>
      <c r="I1632" s="2">
        <v>2</v>
      </c>
      <c r="J1632" s="2" t="s">
        <v>4367</v>
      </c>
      <c r="K1632" s="2" t="s">
        <v>5713</v>
      </c>
      <c r="L1632" s="6">
        <v>1000</v>
      </c>
      <c r="Q1632" s="2"/>
      <c r="R1632" s="7" t="s">
        <v>3216</v>
      </c>
      <c r="X1632" s="5">
        <v>-12.8165</v>
      </c>
      <c r="Y1632" s="5">
        <v>28.018899999999999</v>
      </c>
      <c r="Z1632" s="6">
        <v>1246</v>
      </c>
      <c r="AA1632" s="7" t="s">
        <v>3262</v>
      </c>
      <c r="AB1632" s="7" t="s">
        <v>3227</v>
      </c>
    </row>
    <row r="1633" spans="1:28" ht="21.75" customHeight="1" x14ac:dyDescent="0.2">
      <c r="A1633" s="7" t="s">
        <v>3176</v>
      </c>
      <c r="B1633" s="7" t="s">
        <v>3178</v>
      </c>
      <c r="C1633" s="7" t="s">
        <v>116</v>
      </c>
      <c r="D1633" s="7" t="s">
        <v>3247</v>
      </c>
      <c r="E1633" s="7" t="s">
        <v>280</v>
      </c>
      <c r="F1633" s="7" t="s">
        <v>212</v>
      </c>
      <c r="G1633" s="7" t="s">
        <v>3037</v>
      </c>
      <c r="H1633" s="1" t="s">
        <v>3034</v>
      </c>
      <c r="I1633" s="2">
        <v>2.9</v>
      </c>
      <c r="J1633" s="2" t="s">
        <v>4367</v>
      </c>
      <c r="K1633" s="2" t="s">
        <v>5713</v>
      </c>
      <c r="L1633" s="6">
        <v>1000</v>
      </c>
      <c r="Q1633" s="2"/>
      <c r="R1633" s="7" t="s">
        <v>3246</v>
      </c>
      <c r="S1633" s="7" t="s">
        <v>2654</v>
      </c>
      <c r="T1633" s="7">
        <v>2.1</v>
      </c>
      <c r="X1633" s="5">
        <v>-12.8088</v>
      </c>
      <c r="Y1633" s="5">
        <v>28.042899999999999</v>
      </c>
      <c r="Z1633" s="6">
        <v>1261</v>
      </c>
      <c r="AA1633" s="7" t="s">
        <v>3263</v>
      </c>
      <c r="AB1633" s="7" t="s">
        <v>3248</v>
      </c>
    </row>
    <row r="1634" spans="1:28" ht="21.75" customHeight="1" x14ac:dyDescent="0.2">
      <c r="A1634" s="7" t="s">
        <v>3176</v>
      </c>
      <c r="B1634" s="7" t="s">
        <v>3178</v>
      </c>
      <c r="C1634" s="7" t="s">
        <v>116</v>
      </c>
      <c r="D1634" s="7" t="s">
        <v>3249</v>
      </c>
      <c r="E1634" s="7" t="s">
        <v>280</v>
      </c>
      <c r="F1634" s="7" t="s">
        <v>212</v>
      </c>
      <c r="G1634" s="7" t="s">
        <v>3037</v>
      </c>
      <c r="H1634" s="1" t="s">
        <v>3034</v>
      </c>
      <c r="I1634" s="2">
        <v>4.3</v>
      </c>
      <c r="J1634" s="2" t="s">
        <v>4367</v>
      </c>
      <c r="K1634" s="2" t="s">
        <v>5713</v>
      </c>
      <c r="L1634" s="6">
        <v>1000</v>
      </c>
      <c r="Q1634" s="2"/>
      <c r="R1634" s="7" t="s">
        <v>3230</v>
      </c>
      <c r="X1634" s="5">
        <v>-12.779</v>
      </c>
      <c r="Y1634" s="5">
        <v>28.058700000000002</v>
      </c>
      <c r="Z1634" s="6">
        <v>1254</v>
      </c>
      <c r="AA1634" s="7" t="s">
        <v>3263</v>
      </c>
      <c r="AB1634" s="7" t="s">
        <v>3289</v>
      </c>
    </row>
    <row r="1635" spans="1:28" ht="21.75" customHeight="1" x14ac:dyDescent="0.2">
      <c r="A1635" s="7" t="s">
        <v>3176</v>
      </c>
      <c r="B1635" s="7" t="s">
        <v>3178</v>
      </c>
      <c r="C1635" s="7" t="s">
        <v>116</v>
      </c>
      <c r="D1635" s="7" t="s">
        <v>3180</v>
      </c>
      <c r="E1635" s="7" t="s">
        <v>280</v>
      </c>
      <c r="F1635" s="7" t="s">
        <v>212</v>
      </c>
      <c r="G1635" s="7" t="s">
        <v>3037</v>
      </c>
      <c r="H1635" s="1" t="s">
        <v>3034</v>
      </c>
      <c r="I1635" s="2">
        <v>3.8</v>
      </c>
      <c r="J1635" s="2" t="s">
        <v>4367</v>
      </c>
      <c r="K1635" s="2" t="s">
        <v>5713</v>
      </c>
      <c r="L1635" s="6">
        <v>1000</v>
      </c>
      <c r="Q1635" s="2"/>
      <c r="R1635" s="7" t="s">
        <v>2538</v>
      </c>
      <c r="X1635" s="5">
        <v>-12.8185</v>
      </c>
      <c r="Y1635" s="5">
        <v>28.049099999999999</v>
      </c>
      <c r="Z1635" s="6">
        <v>1280</v>
      </c>
      <c r="AA1635" s="7" t="s">
        <v>3259</v>
      </c>
      <c r="AB1635" s="7" t="s">
        <v>3289</v>
      </c>
    </row>
    <row r="1636" spans="1:28" ht="21.75" customHeight="1" x14ac:dyDescent="0.2">
      <c r="A1636" s="7" t="s">
        <v>3176</v>
      </c>
      <c r="B1636" s="7" t="s">
        <v>3178</v>
      </c>
      <c r="C1636" s="7" t="s">
        <v>116</v>
      </c>
      <c r="D1636" s="7" t="s">
        <v>3181</v>
      </c>
      <c r="E1636" s="7" t="s">
        <v>280</v>
      </c>
      <c r="F1636" s="7" t="s">
        <v>212</v>
      </c>
      <c r="G1636" s="7" t="s">
        <v>3037</v>
      </c>
      <c r="H1636" s="1" t="s">
        <v>3034</v>
      </c>
      <c r="I1636" s="2">
        <v>5.5</v>
      </c>
      <c r="J1636" s="2" t="s">
        <v>4367</v>
      </c>
      <c r="K1636" s="2" t="s">
        <v>5713</v>
      </c>
      <c r="L1636" s="6">
        <v>1000</v>
      </c>
      <c r="Q1636" s="2"/>
      <c r="R1636" s="7" t="s">
        <v>1012</v>
      </c>
      <c r="X1636" s="5">
        <v>-12.82</v>
      </c>
      <c r="Y1636" s="5">
        <v>28.059799999999999</v>
      </c>
      <c r="Z1636" s="6">
        <v>1280</v>
      </c>
      <c r="AA1636" s="7" t="s">
        <v>3264</v>
      </c>
      <c r="AB1636" s="7" t="s">
        <v>3289</v>
      </c>
    </row>
    <row r="1637" spans="1:28" ht="21.75" customHeight="1" x14ac:dyDescent="0.2">
      <c r="A1637" s="7" t="s">
        <v>3176</v>
      </c>
      <c r="B1637" s="7" t="s">
        <v>3178</v>
      </c>
      <c r="C1637" s="7" t="s">
        <v>116</v>
      </c>
      <c r="D1637" s="7" t="s">
        <v>3182</v>
      </c>
      <c r="E1637" s="7" t="s">
        <v>280</v>
      </c>
      <c r="F1637" s="7" t="s">
        <v>212</v>
      </c>
      <c r="H1637" s="1" t="s">
        <v>3265</v>
      </c>
      <c r="I1637" s="2">
        <v>1.8</v>
      </c>
      <c r="J1637" s="2" t="s">
        <v>4367</v>
      </c>
      <c r="K1637" s="2" t="s">
        <v>5713</v>
      </c>
      <c r="L1637" s="6">
        <v>1000</v>
      </c>
      <c r="Q1637" s="2"/>
      <c r="R1637" s="7" t="s">
        <v>3216</v>
      </c>
      <c r="X1637" s="5">
        <v>-12.8102</v>
      </c>
      <c r="Y1637" s="5">
        <v>28.002800000000001</v>
      </c>
      <c r="Z1637" s="6">
        <v>1243</v>
      </c>
      <c r="AA1637" s="7" t="s">
        <v>3262</v>
      </c>
      <c r="AB1637" s="7" t="s">
        <v>3289</v>
      </c>
    </row>
    <row r="1638" spans="1:28" ht="21.75" customHeight="1" x14ac:dyDescent="0.2">
      <c r="A1638" s="7" t="s">
        <v>3176</v>
      </c>
      <c r="B1638" s="7" t="s">
        <v>3178</v>
      </c>
      <c r="C1638" s="7" t="s">
        <v>116</v>
      </c>
      <c r="D1638" s="7" t="s">
        <v>3266</v>
      </c>
      <c r="E1638" s="7" t="s">
        <v>280</v>
      </c>
      <c r="F1638" s="7" t="s">
        <v>212</v>
      </c>
      <c r="H1638" s="1" t="s">
        <v>3265</v>
      </c>
      <c r="I1638" s="2">
        <v>2.2000000000000002</v>
      </c>
      <c r="J1638" s="2" t="s">
        <v>4367</v>
      </c>
      <c r="K1638" s="2" t="s">
        <v>5713</v>
      </c>
      <c r="L1638" s="6">
        <v>1000</v>
      </c>
      <c r="Q1638" s="2"/>
      <c r="R1638" s="7" t="s">
        <v>3215</v>
      </c>
      <c r="X1638" s="5">
        <v>-12.805999999999999</v>
      </c>
      <c r="Y1638" s="5">
        <v>28.037800000000001</v>
      </c>
      <c r="Z1638" s="6">
        <v>1249</v>
      </c>
      <c r="AA1638" s="7" t="s">
        <v>3259</v>
      </c>
      <c r="AB1638" s="7" t="s">
        <v>3268</v>
      </c>
    </row>
    <row r="1639" spans="1:28" ht="21.75" customHeight="1" x14ac:dyDescent="0.2">
      <c r="A1639" s="7" t="s">
        <v>3176</v>
      </c>
      <c r="B1639" s="7" t="s">
        <v>3178</v>
      </c>
      <c r="C1639" s="7" t="s">
        <v>116</v>
      </c>
      <c r="D1639" s="7" t="s">
        <v>3267</v>
      </c>
      <c r="E1639" s="7" t="s">
        <v>280</v>
      </c>
      <c r="F1639" s="7" t="s">
        <v>212</v>
      </c>
      <c r="H1639" s="1" t="s">
        <v>3265</v>
      </c>
      <c r="I1639" s="2">
        <v>4</v>
      </c>
      <c r="J1639" s="2" t="s">
        <v>4367</v>
      </c>
      <c r="K1639" s="2" t="s">
        <v>5713</v>
      </c>
      <c r="L1639" s="6">
        <v>1000</v>
      </c>
      <c r="Q1639" s="2"/>
      <c r="R1639" s="7" t="s">
        <v>3215</v>
      </c>
      <c r="X1639" s="5">
        <v>-12.81</v>
      </c>
      <c r="Y1639" s="5">
        <v>28.0426</v>
      </c>
      <c r="Z1639" s="6">
        <v>1264</v>
      </c>
      <c r="AA1639" s="7" t="s">
        <v>3264</v>
      </c>
      <c r="AB1639" s="7" t="s">
        <v>3273</v>
      </c>
    </row>
    <row r="1640" spans="1:28" ht="21.75" customHeight="1" x14ac:dyDescent="0.2">
      <c r="A1640" s="7" t="s">
        <v>3176</v>
      </c>
      <c r="B1640" s="7" t="s">
        <v>3178</v>
      </c>
      <c r="C1640" s="7" t="s">
        <v>116</v>
      </c>
      <c r="D1640" s="7" t="s">
        <v>3269</v>
      </c>
      <c r="E1640" s="7" t="s">
        <v>280</v>
      </c>
      <c r="F1640" s="7" t="s">
        <v>212</v>
      </c>
      <c r="G1640" s="7" t="s">
        <v>3272</v>
      </c>
      <c r="H1640" s="1" t="s">
        <v>3271</v>
      </c>
      <c r="I1640" s="2">
        <v>2</v>
      </c>
      <c r="J1640" s="2" t="s">
        <v>4367</v>
      </c>
      <c r="K1640" s="2" t="s">
        <v>5713</v>
      </c>
      <c r="L1640" s="6">
        <v>1000</v>
      </c>
      <c r="O1640" s="45" t="s">
        <v>3794</v>
      </c>
      <c r="Q1640" s="2">
        <v>2</v>
      </c>
      <c r="R1640" s="7" t="s">
        <v>3270</v>
      </c>
      <c r="X1640" s="5">
        <v>-12.775399999999999</v>
      </c>
      <c r="Y1640" s="5">
        <v>28.026199999999999</v>
      </c>
      <c r="Z1640" s="6">
        <v>1217</v>
      </c>
      <c r="AA1640" s="7" t="s">
        <v>3274</v>
      </c>
      <c r="AB1640" s="7" t="s">
        <v>3275</v>
      </c>
    </row>
    <row r="1641" spans="1:28" ht="21.75" customHeight="1" x14ac:dyDescent="0.2">
      <c r="A1641" s="7" t="s">
        <v>3176</v>
      </c>
      <c r="B1641" s="7" t="s">
        <v>3178</v>
      </c>
      <c r="C1641" s="7" t="s">
        <v>116</v>
      </c>
      <c r="D1641" s="7" t="s">
        <v>3276</v>
      </c>
      <c r="E1641" s="7" t="s">
        <v>280</v>
      </c>
      <c r="F1641" s="7" t="s">
        <v>212</v>
      </c>
      <c r="G1641" s="7" t="s">
        <v>3278</v>
      </c>
      <c r="H1641" s="1" t="s">
        <v>3277</v>
      </c>
      <c r="I1641" s="2">
        <v>1.5</v>
      </c>
      <c r="J1641" s="2" t="s">
        <v>4367</v>
      </c>
      <c r="K1641" s="2" t="s">
        <v>5713</v>
      </c>
      <c r="L1641" s="6">
        <v>1000</v>
      </c>
      <c r="Q1641" s="2"/>
      <c r="R1641" s="7" t="s">
        <v>3216</v>
      </c>
      <c r="X1641" s="5">
        <v>-12.808199999999999</v>
      </c>
      <c r="Y1641" s="5">
        <v>28.010999999999999</v>
      </c>
      <c r="Z1641" s="6">
        <v>1236</v>
      </c>
      <c r="AA1641" s="7" t="s">
        <v>3279</v>
      </c>
      <c r="AB1641" s="7" t="s">
        <v>3280</v>
      </c>
    </row>
    <row r="1642" spans="1:28" ht="21.75" customHeight="1" x14ac:dyDescent="0.2">
      <c r="A1642" s="7" t="s">
        <v>3176</v>
      </c>
      <c r="B1642" s="7" t="s">
        <v>3178</v>
      </c>
      <c r="C1642" s="7" t="s">
        <v>116</v>
      </c>
      <c r="D1642" s="7" t="s">
        <v>3281</v>
      </c>
      <c r="E1642" s="7" t="s">
        <v>280</v>
      </c>
      <c r="F1642" s="7" t="s">
        <v>212</v>
      </c>
      <c r="G1642" s="7" t="s">
        <v>3278</v>
      </c>
      <c r="H1642" s="1" t="s">
        <v>3277</v>
      </c>
      <c r="I1642" s="2">
        <v>1.7</v>
      </c>
      <c r="J1642" s="2" t="s">
        <v>4367</v>
      </c>
      <c r="K1642" s="2" t="s">
        <v>5713</v>
      </c>
      <c r="L1642" s="6">
        <v>1000</v>
      </c>
      <c r="Q1642" s="2"/>
      <c r="R1642" s="7" t="s">
        <v>3215</v>
      </c>
      <c r="X1642" s="5">
        <v>-12.8002</v>
      </c>
      <c r="Y1642" s="5">
        <v>28.035499999999999</v>
      </c>
      <c r="Z1642" s="6">
        <v>1242</v>
      </c>
      <c r="AA1642" s="7" t="s">
        <v>3282</v>
      </c>
      <c r="AB1642" s="7" t="s">
        <v>3283</v>
      </c>
    </row>
    <row r="1643" spans="1:28" ht="21.75" customHeight="1" x14ac:dyDescent="0.2">
      <c r="A1643" s="7" t="s">
        <v>3176</v>
      </c>
      <c r="B1643" s="7" t="s">
        <v>3178</v>
      </c>
      <c r="C1643" s="7" t="s">
        <v>116</v>
      </c>
      <c r="D1643" s="7" t="s">
        <v>3284</v>
      </c>
      <c r="E1643" s="7" t="s">
        <v>280</v>
      </c>
      <c r="F1643" s="7" t="s">
        <v>212</v>
      </c>
      <c r="G1643" s="7" t="s">
        <v>3278</v>
      </c>
      <c r="H1643" s="1" t="s">
        <v>3277</v>
      </c>
      <c r="I1643" s="2">
        <v>2.4</v>
      </c>
      <c r="J1643" s="2" t="s">
        <v>4367</v>
      </c>
      <c r="K1643" s="2" t="s">
        <v>5713</v>
      </c>
      <c r="L1643" s="6">
        <v>1000</v>
      </c>
      <c r="O1643" s="45" t="s">
        <v>3794</v>
      </c>
      <c r="Q1643" s="2">
        <v>2.4</v>
      </c>
      <c r="R1643" s="7" t="s">
        <v>3270</v>
      </c>
      <c r="X1643" s="5">
        <v>-12.764900000000001</v>
      </c>
      <c r="Y1643" s="5">
        <v>28.032800000000002</v>
      </c>
      <c r="Z1643" s="6">
        <v>1218</v>
      </c>
      <c r="AA1643" s="7" t="s">
        <v>3256</v>
      </c>
      <c r="AB1643" s="7" t="s">
        <v>3287</v>
      </c>
    </row>
    <row r="1644" spans="1:28" ht="21.75" customHeight="1" x14ac:dyDescent="0.2">
      <c r="A1644" s="7" t="s">
        <v>3176</v>
      </c>
      <c r="B1644" s="7" t="s">
        <v>3178</v>
      </c>
      <c r="C1644" s="7" t="s">
        <v>116</v>
      </c>
      <c r="D1644" s="7" t="s">
        <v>3285</v>
      </c>
      <c r="E1644" s="7" t="s">
        <v>280</v>
      </c>
      <c r="F1644" s="7" t="s">
        <v>212</v>
      </c>
      <c r="G1644" s="7" t="s">
        <v>3278</v>
      </c>
      <c r="H1644" s="1" t="s">
        <v>3277</v>
      </c>
      <c r="I1644" s="2">
        <v>1.9</v>
      </c>
      <c r="J1644" s="2" t="s">
        <v>4367</v>
      </c>
      <c r="K1644" s="2" t="s">
        <v>5713</v>
      </c>
      <c r="L1644" s="6">
        <v>1000</v>
      </c>
      <c r="O1644" s="45" t="s">
        <v>3794</v>
      </c>
      <c r="Q1644" s="2">
        <v>1.9</v>
      </c>
      <c r="R1644" s="7" t="s">
        <v>3270</v>
      </c>
      <c r="X1644" s="5">
        <v>-12.7707</v>
      </c>
      <c r="Y1644" s="5">
        <v>28.027100000000001</v>
      </c>
      <c r="Z1644" s="6">
        <v>1217</v>
      </c>
      <c r="AA1644" s="7" t="s">
        <v>3254</v>
      </c>
      <c r="AB1644" s="7" t="s">
        <v>3286</v>
      </c>
    </row>
    <row r="1645" spans="1:28" ht="21.75" customHeight="1" x14ac:dyDescent="0.2">
      <c r="A1645" s="7" t="s">
        <v>3176</v>
      </c>
      <c r="B1645" s="7" t="s">
        <v>3178</v>
      </c>
      <c r="C1645" s="7" t="s">
        <v>116</v>
      </c>
      <c r="D1645" s="7" t="s">
        <v>3288</v>
      </c>
      <c r="E1645" s="7" t="s">
        <v>280</v>
      </c>
      <c r="F1645" s="7" t="s">
        <v>212</v>
      </c>
      <c r="G1645" s="7" t="s">
        <v>3278</v>
      </c>
      <c r="H1645" s="1" t="s">
        <v>3277</v>
      </c>
      <c r="I1645" s="2">
        <v>3.1</v>
      </c>
      <c r="J1645" s="2" t="s">
        <v>4367</v>
      </c>
      <c r="K1645" s="2" t="s">
        <v>5713</v>
      </c>
      <c r="L1645" s="6">
        <v>1000</v>
      </c>
      <c r="Q1645" s="2"/>
      <c r="R1645" s="7" t="s">
        <v>1012</v>
      </c>
      <c r="X1645" s="5">
        <v>-12.8194</v>
      </c>
      <c r="Y1645" s="5">
        <v>28.0532</v>
      </c>
      <c r="Z1645" s="6">
        <v>1278</v>
      </c>
      <c r="AA1645" s="7" t="s">
        <v>3262</v>
      </c>
      <c r="AB1645" s="7" t="s">
        <v>3227</v>
      </c>
    </row>
    <row r="1646" spans="1:28" ht="21.75" customHeight="1" x14ac:dyDescent="0.2">
      <c r="A1646" s="7" t="s">
        <v>3176</v>
      </c>
      <c r="B1646" s="7" t="s">
        <v>3178</v>
      </c>
      <c r="C1646" s="7" t="s">
        <v>116</v>
      </c>
      <c r="D1646" s="7" t="s">
        <v>3291</v>
      </c>
      <c r="E1646" s="7" t="s">
        <v>5049</v>
      </c>
      <c r="F1646" s="7" t="s">
        <v>212</v>
      </c>
      <c r="G1646" s="7" t="s">
        <v>3292</v>
      </c>
      <c r="H1646" s="1" t="s">
        <v>3290</v>
      </c>
      <c r="I1646" s="2">
        <v>1.5</v>
      </c>
      <c r="J1646" s="2" t="s">
        <v>4367</v>
      </c>
      <c r="K1646" s="2" t="s">
        <v>5713</v>
      </c>
      <c r="L1646" s="6">
        <v>1000</v>
      </c>
      <c r="Q1646" s="2"/>
      <c r="R1646" s="7" t="s">
        <v>3216</v>
      </c>
      <c r="X1646" s="5">
        <v>-12.804500000000001</v>
      </c>
      <c r="Y1646" s="5">
        <v>28.020199999999999</v>
      </c>
      <c r="Z1646" s="6">
        <v>1236</v>
      </c>
      <c r="AA1646" s="7" t="s">
        <v>3293</v>
      </c>
      <c r="AB1646" s="7" t="s">
        <v>3275</v>
      </c>
    </row>
    <row r="1647" spans="1:28" ht="21.75" customHeight="1" x14ac:dyDescent="0.2">
      <c r="A1647" s="7" t="s">
        <v>3176</v>
      </c>
      <c r="B1647" s="7" t="s">
        <v>3178</v>
      </c>
      <c r="C1647" s="7" t="s">
        <v>116</v>
      </c>
      <c r="D1647" s="7" t="s">
        <v>3295</v>
      </c>
      <c r="E1647" s="7" t="s">
        <v>263</v>
      </c>
      <c r="F1647" s="7" t="s">
        <v>1302</v>
      </c>
      <c r="H1647" s="1" t="s">
        <v>3294</v>
      </c>
      <c r="I1647" s="2">
        <v>1.2</v>
      </c>
      <c r="J1647" s="2" t="s">
        <v>4367</v>
      </c>
      <c r="K1647" s="2" t="s">
        <v>5713</v>
      </c>
      <c r="L1647" s="6">
        <v>1000</v>
      </c>
      <c r="O1647" s="45" t="s">
        <v>3794</v>
      </c>
      <c r="Q1647" s="2"/>
      <c r="R1647" s="7" t="s">
        <v>3297</v>
      </c>
      <c r="X1647" s="5">
        <v>-12.772600000000001</v>
      </c>
      <c r="Y1647" s="5">
        <v>28.034700000000001</v>
      </c>
      <c r="Z1647" s="6">
        <v>1213</v>
      </c>
      <c r="AA1647" s="7" t="s">
        <v>3298</v>
      </c>
      <c r="AB1647" s="7" t="s">
        <v>3296</v>
      </c>
    </row>
    <row r="1648" spans="1:28" ht="21.75" customHeight="1" x14ac:dyDescent="0.2">
      <c r="A1648" s="7" t="s">
        <v>3176</v>
      </c>
      <c r="B1648" s="7" t="s">
        <v>3178</v>
      </c>
      <c r="C1648" s="7" t="s">
        <v>116</v>
      </c>
      <c r="D1648" s="7" t="s">
        <v>3300</v>
      </c>
      <c r="E1648" s="7" t="s">
        <v>5049</v>
      </c>
      <c r="F1648" s="7" t="s">
        <v>212</v>
      </c>
      <c r="H1648" s="1" t="s">
        <v>3299</v>
      </c>
      <c r="I1648" s="2">
        <v>1.6</v>
      </c>
      <c r="J1648" s="2" t="s">
        <v>4367</v>
      </c>
      <c r="K1648" s="2" t="s">
        <v>5713</v>
      </c>
      <c r="L1648" s="6">
        <v>1000</v>
      </c>
      <c r="Q1648" s="2"/>
      <c r="R1648" s="7" t="s">
        <v>3216</v>
      </c>
      <c r="X1648" s="5">
        <v>-12.8094</v>
      </c>
      <c r="Y1648" s="5">
        <v>28.020499999999998</v>
      </c>
      <c r="Z1648" s="6">
        <v>1239</v>
      </c>
      <c r="AA1648" s="7" t="s">
        <v>3301</v>
      </c>
      <c r="AB1648" s="7" t="s">
        <v>3418</v>
      </c>
    </row>
    <row r="1649" spans="1:28" ht="21.75" customHeight="1" x14ac:dyDescent="0.2">
      <c r="A1649" s="7" t="s">
        <v>3176</v>
      </c>
      <c r="B1649" s="7" t="s">
        <v>3178</v>
      </c>
      <c r="C1649" s="7" t="s">
        <v>116</v>
      </c>
      <c r="D1649" s="7" t="s">
        <v>3304</v>
      </c>
      <c r="E1649" s="7" t="s">
        <v>5049</v>
      </c>
      <c r="F1649" s="7" t="s">
        <v>212</v>
      </c>
      <c r="H1649" s="1" t="s">
        <v>3299</v>
      </c>
      <c r="I1649" s="2">
        <v>3.4</v>
      </c>
      <c r="J1649" s="2" t="s">
        <v>4367</v>
      </c>
      <c r="K1649" s="2" t="s">
        <v>5713</v>
      </c>
      <c r="L1649" s="6">
        <v>1000</v>
      </c>
      <c r="O1649" s="45" t="s">
        <v>3794</v>
      </c>
      <c r="Q1649" s="2">
        <v>3.4</v>
      </c>
      <c r="R1649" s="7" t="s">
        <v>3270</v>
      </c>
      <c r="X1649" s="5">
        <v>-12.7494</v>
      </c>
      <c r="Y1649" s="5">
        <v>28.034500000000001</v>
      </c>
      <c r="Z1649" s="6">
        <v>1222</v>
      </c>
      <c r="AA1649" s="7" t="s">
        <v>3256</v>
      </c>
      <c r="AB1649" s="7" t="s">
        <v>3302</v>
      </c>
    </row>
    <row r="1650" spans="1:28" ht="21.75" customHeight="1" x14ac:dyDescent="0.2">
      <c r="A1650" s="7" t="s">
        <v>3176</v>
      </c>
      <c r="B1650" s="7" t="s">
        <v>3178</v>
      </c>
      <c r="C1650" s="7" t="s">
        <v>116</v>
      </c>
      <c r="D1650" s="7" t="s">
        <v>3305</v>
      </c>
      <c r="E1650" s="7" t="s">
        <v>5049</v>
      </c>
      <c r="F1650" s="7" t="s">
        <v>212</v>
      </c>
      <c r="H1650" s="1" t="s">
        <v>3299</v>
      </c>
      <c r="I1650" s="2">
        <v>3.4</v>
      </c>
      <c r="J1650" s="2" t="s">
        <v>4367</v>
      </c>
      <c r="K1650" s="2" t="s">
        <v>5713</v>
      </c>
      <c r="L1650" s="6">
        <v>1000</v>
      </c>
      <c r="Q1650" s="2"/>
      <c r="R1650" s="7" t="s">
        <v>3230</v>
      </c>
      <c r="X1650" s="5">
        <v>-12.7799</v>
      </c>
      <c r="Y1650" s="5">
        <v>28.0624</v>
      </c>
      <c r="Z1650" s="6">
        <v>1257</v>
      </c>
      <c r="AA1650" s="7" t="s">
        <v>3303</v>
      </c>
      <c r="AB1650" s="7" t="s">
        <v>3227</v>
      </c>
    </row>
    <row r="1651" spans="1:28" ht="21.75" customHeight="1" x14ac:dyDescent="0.2">
      <c r="A1651" s="7" t="s">
        <v>3176</v>
      </c>
      <c r="B1651" s="7" t="s">
        <v>3178</v>
      </c>
      <c r="C1651" s="7" t="s">
        <v>116</v>
      </c>
      <c r="D1651" s="7" t="s">
        <v>3306</v>
      </c>
      <c r="E1651" s="7" t="s">
        <v>5049</v>
      </c>
      <c r="F1651" s="7" t="s">
        <v>212</v>
      </c>
      <c r="H1651" s="1" t="s">
        <v>3299</v>
      </c>
      <c r="I1651" s="2">
        <v>2.7</v>
      </c>
      <c r="J1651" s="2" t="s">
        <v>4367</v>
      </c>
      <c r="K1651" s="2" t="s">
        <v>5713</v>
      </c>
      <c r="L1651" s="6">
        <v>1000</v>
      </c>
      <c r="Q1651" s="2"/>
      <c r="R1651" s="7" t="s">
        <v>3215</v>
      </c>
      <c r="X1651" s="5">
        <v>-12.813000000000001</v>
      </c>
      <c r="Y1651" s="5">
        <v>28.0395</v>
      </c>
      <c r="Z1651" s="6">
        <v>1263</v>
      </c>
      <c r="AA1651" s="7" t="s">
        <v>3307</v>
      </c>
      <c r="AB1651" s="7" t="s">
        <v>3419</v>
      </c>
    </row>
    <row r="1652" spans="1:28" ht="21.75" customHeight="1" x14ac:dyDescent="0.2">
      <c r="A1652" s="7" t="s">
        <v>3176</v>
      </c>
      <c r="B1652" s="7" t="s">
        <v>3178</v>
      </c>
      <c r="C1652" s="7" t="s">
        <v>116</v>
      </c>
      <c r="D1652" s="7" t="s">
        <v>3308</v>
      </c>
      <c r="E1652" s="7" t="s">
        <v>5049</v>
      </c>
      <c r="F1652" s="7" t="s">
        <v>212</v>
      </c>
      <c r="H1652" s="1" t="s">
        <v>3299</v>
      </c>
      <c r="I1652" s="2">
        <v>3.7</v>
      </c>
      <c r="J1652" s="2" t="s">
        <v>4367</v>
      </c>
      <c r="K1652" s="2" t="s">
        <v>5713</v>
      </c>
      <c r="L1652" s="6">
        <v>1000</v>
      </c>
      <c r="Q1652" s="2"/>
      <c r="R1652" s="7" t="s">
        <v>1012</v>
      </c>
      <c r="X1652" s="5">
        <v>-12.823</v>
      </c>
      <c r="Y1652" s="5">
        <v>28.046700000000001</v>
      </c>
      <c r="Z1652" s="6">
        <v>1271</v>
      </c>
      <c r="AA1652" s="7" t="s">
        <v>3259</v>
      </c>
      <c r="AB1652" s="7" t="s">
        <v>3227</v>
      </c>
    </row>
    <row r="1653" spans="1:28" ht="21.75" customHeight="1" x14ac:dyDescent="0.2">
      <c r="A1653" s="7" t="s">
        <v>3176</v>
      </c>
      <c r="B1653" s="7" t="s">
        <v>3178</v>
      </c>
      <c r="C1653" s="7" t="s">
        <v>116</v>
      </c>
      <c r="D1653" s="7" t="s">
        <v>3313</v>
      </c>
      <c r="E1653" s="7" t="s">
        <v>263</v>
      </c>
      <c r="F1653" s="7" t="s">
        <v>212</v>
      </c>
      <c r="G1653" s="7" t="s">
        <v>3310</v>
      </c>
      <c r="H1653" s="1" t="s">
        <v>3309</v>
      </c>
      <c r="I1653" s="2">
        <v>1.3</v>
      </c>
      <c r="J1653" s="2" t="s">
        <v>4367</v>
      </c>
      <c r="K1653" s="2" t="s">
        <v>5713</v>
      </c>
      <c r="L1653" s="6">
        <v>1000</v>
      </c>
      <c r="O1653" s="45" t="s">
        <v>969</v>
      </c>
      <c r="Q1653" s="2">
        <v>1.3</v>
      </c>
      <c r="R1653" s="7" t="s">
        <v>3311</v>
      </c>
      <c r="X1653" s="5">
        <v>-12.7849</v>
      </c>
      <c r="Y1653" s="5">
        <v>28.041499999999999</v>
      </c>
      <c r="Z1653" s="6">
        <v>1222</v>
      </c>
      <c r="AA1653" s="7" t="s">
        <v>3279</v>
      </c>
      <c r="AB1653" s="7" t="s">
        <v>3312</v>
      </c>
    </row>
    <row r="1654" spans="1:28" ht="21.75" customHeight="1" x14ac:dyDescent="0.2">
      <c r="A1654" s="7" t="s">
        <v>3176</v>
      </c>
      <c r="B1654" s="7" t="s">
        <v>3178</v>
      </c>
      <c r="C1654" s="7" t="s">
        <v>116</v>
      </c>
      <c r="D1654" s="7" t="s">
        <v>3315</v>
      </c>
      <c r="E1654" s="7" t="s">
        <v>263</v>
      </c>
      <c r="F1654" s="7" t="s">
        <v>212</v>
      </c>
      <c r="G1654" s="7" t="s">
        <v>3310</v>
      </c>
      <c r="H1654" s="1" t="s">
        <v>3309</v>
      </c>
      <c r="I1654" s="2">
        <v>2</v>
      </c>
      <c r="J1654" s="2" t="s">
        <v>4367</v>
      </c>
      <c r="K1654" s="2" t="s">
        <v>5713</v>
      </c>
      <c r="L1654" s="6">
        <v>1000</v>
      </c>
      <c r="Q1654" s="2"/>
      <c r="R1654" s="7" t="s">
        <v>3216</v>
      </c>
      <c r="X1654" s="5">
        <v>-12.816000000000001</v>
      </c>
      <c r="Y1654" s="5">
        <v>28.0152</v>
      </c>
      <c r="Z1654" s="6">
        <v>1246</v>
      </c>
      <c r="AA1654" s="7" t="s">
        <v>3316</v>
      </c>
      <c r="AB1654" s="7" t="s">
        <v>3420</v>
      </c>
    </row>
    <row r="1655" spans="1:28" ht="21.75" customHeight="1" x14ac:dyDescent="0.2">
      <c r="A1655" s="7" t="s">
        <v>3176</v>
      </c>
      <c r="B1655" s="7" t="s">
        <v>3178</v>
      </c>
      <c r="C1655" s="7" t="s">
        <v>116</v>
      </c>
      <c r="D1655" s="7" t="s">
        <v>3314</v>
      </c>
      <c r="E1655" s="7" t="s">
        <v>263</v>
      </c>
      <c r="F1655" s="7" t="s">
        <v>212</v>
      </c>
      <c r="G1655" s="7" t="s">
        <v>3310</v>
      </c>
      <c r="H1655" s="1" t="s">
        <v>3309</v>
      </c>
      <c r="I1655" s="2">
        <v>3.7</v>
      </c>
      <c r="J1655" s="2" t="s">
        <v>4367</v>
      </c>
      <c r="K1655" s="2" t="s">
        <v>5713</v>
      </c>
      <c r="L1655" s="6">
        <v>1000</v>
      </c>
      <c r="Q1655" s="2"/>
      <c r="R1655" s="7" t="s">
        <v>3215</v>
      </c>
      <c r="X1655" s="5">
        <v>-12.808299999999999</v>
      </c>
      <c r="Y1655" s="5">
        <v>28.049800000000001</v>
      </c>
      <c r="Z1655" s="6">
        <v>1265</v>
      </c>
      <c r="AA1655" s="7" t="s">
        <v>3318</v>
      </c>
      <c r="AB1655" s="7" t="s">
        <v>3421</v>
      </c>
    </row>
    <row r="1656" spans="1:28" ht="21.75" customHeight="1" x14ac:dyDescent="0.2">
      <c r="A1656" s="7" t="s">
        <v>3176</v>
      </c>
      <c r="B1656" s="7" t="s">
        <v>3178</v>
      </c>
      <c r="C1656" s="7" t="s">
        <v>116</v>
      </c>
      <c r="D1656" s="7" t="s">
        <v>3183</v>
      </c>
      <c r="E1656" s="7" t="s">
        <v>263</v>
      </c>
      <c r="F1656" s="7" t="s">
        <v>212</v>
      </c>
      <c r="G1656" s="7" t="s">
        <v>3310</v>
      </c>
      <c r="H1656" s="1" t="s">
        <v>3309</v>
      </c>
      <c r="I1656" s="2">
        <v>4.5999999999999996</v>
      </c>
      <c r="J1656" s="2" t="s">
        <v>4367</v>
      </c>
      <c r="K1656" s="2" t="s">
        <v>5713</v>
      </c>
      <c r="L1656" s="6">
        <v>1000</v>
      </c>
      <c r="Q1656" s="2"/>
      <c r="R1656" s="7" t="s">
        <v>1012</v>
      </c>
      <c r="X1656" s="5">
        <v>-12.8217</v>
      </c>
      <c r="Y1656" s="5">
        <v>28.049499999999998</v>
      </c>
      <c r="Z1656" s="6">
        <v>1274</v>
      </c>
      <c r="AA1656" s="7" t="s">
        <v>3317</v>
      </c>
      <c r="AB1656" s="7" t="s">
        <v>3227</v>
      </c>
    </row>
    <row r="1657" spans="1:28" ht="21.75" customHeight="1" x14ac:dyDescent="0.2">
      <c r="A1657" s="7" t="s">
        <v>3176</v>
      </c>
      <c r="B1657" s="7" t="s">
        <v>3178</v>
      </c>
      <c r="C1657" s="7" t="s">
        <v>116</v>
      </c>
      <c r="D1657" s="7" t="s">
        <v>3184</v>
      </c>
      <c r="E1657" s="7" t="s">
        <v>263</v>
      </c>
      <c r="F1657" s="7" t="s">
        <v>212</v>
      </c>
      <c r="G1657" s="7" t="s">
        <v>3310</v>
      </c>
      <c r="H1657" s="1" t="s">
        <v>3309</v>
      </c>
      <c r="I1657" s="2">
        <v>3.7</v>
      </c>
      <c r="J1657" s="2" t="s">
        <v>4367</v>
      </c>
      <c r="K1657" s="2" t="s">
        <v>5713</v>
      </c>
      <c r="L1657" s="6">
        <v>1000</v>
      </c>
      <c r="Q1657" s="2"/>
      <c r="R1657" s="7" t="s">
        <v>3230</v>
      </c>
      <c r="X1657" s="5">
        <v>-12.7791</v>
      </c>
      <c r="Y1657" s="5">
        <v>28.060500000000001</v>
      </c>
      <c r="Z1657" s="6">
        <v>1256</v>
      </c>
      <c r="AA1657" s="7" t="s">
        <v>3319</v>
      </c>
      <c r="AB1657" s="7" t="s">
        <v>3227</v>
      </c>
    </row>
    <row r="1658" spans="1:28" ht="21.75" customHeight="1" x14ac:dyDescent="0.2">
      <c r="A1658" s="7" t="s">
        <v>3176</v>
      </c>
      <c r="B1658" s="7" t="s">
        <v>3178</v>
      </c>
      <c r="C1658" s="7" t="s">
        <v>116</v>
      </c>
      <c r="D1658" s="7" t="s">
        <v>3322</v>
      </c>
      <c r="E1658" s="7" t="s">
        <v>263</v>
      </c>
      <c r="F1658" s="7" t="s">
        <v>212</v>
      </c>
      <c r="H1658" s="1" t="s">
        <v>3320</v>
      </c>
      <c r="I1658" s="2">
        <v>1.4</v>
      </c>
      <c r="J1658" s="2" t="s">
        <v>4367</v>
      </c>
      <c r="K1658" s="2" t="s">
        <v>5713</v>
      </c>
      <c r="L1658" s="6">
        <v>1000</v>
      </c>
      <c r="Q1658" s="2"/>
      <c r="R1658" s="7" t="s">
        <v>3215</v>
      </c>
      <c r="X1658" s="5">
        <v>-12.8024</v>
      </c>
      <c r="Y1658" s="5">
        <v>28.033799999999999</v>
      </c>
      <c r="Z1658" s="6">
        <v>1244</v>
      </c>
      <c r="AA1658" s="7" t="s">
        <v>3321</v>
      </c>
      <c r="AB1658" s="7" t="s">
        <v>3422</v>
      </c>
    </row>
    <row r="1659" spans="1:28" ht="21.75" customHeight="1" x14ac:dyDescent="0.2">
      <c r="A1659" s="7" t="s">
        <v>3176</v>
      </c>
      <c r="B1659" s="7" t="s">
        <v>3178</v>
      </c>
      <c r="C1659" s="7" t="s">
        <v>116</v>
      </c>
      <c r="D1659" s="7" t="s">
        <v>3323</v>
      </c>
      <c r="E1659" s="7" t="s">
        <v>263</v>
      </c>
      <c r="F1659" s="7" t="s">
        <v>212</v>
      </c>
      <c r="H1659" s="1" t="s">
        <v>3320</v>
      </c>
      <c r="I1659" s="2">
        <v>3.8</v>
      </c>
      <c r="J1659" s="2" t="s">
        <v>4367</v>
      </c>
      <c r="K1659" s="2" t="s">
        <v>5713</v>
      </c>
      <c r="L1659" s="6">
        <v>1000</v>
      </c>
      <c r="Q1659" s="2"/>
      <c r="R1659" s="7" t="s">
        <v>1012</v>
      </c>
      <c r="X1659" s="5">
        <v>-12.8254</v>
      </c>
      <c r="Y1659" s="5">
        <v>28.0459</v>
      </c>
      <c r="Z1659" s="6">
        <v>1270</v>
      </c>
      <c r="AA1659" s="7" t="s">
        <v>3324</v>
      </c>
      <c r="AB1659" s="7" t="s">
        <v>3423</v>
      </c>
    </row>
    <row r="1660" spans="1:28" ht="21.75" customHeight="1" x14ac:dyDescent="0.2">
      <c r="A1660" s="7" t="s">
        <v>3176</v>
      </c>
      <c r="B1660" s="7" t="s">
        <v>3178</v>
      </c>
      <c r="C1660" s="7" t="s">
        <v>116</v>
      </c>
      <c r="D1660" s="7" t="s">
        <v>3327</v>
      </c>
      <c r="E1660" s="7" t="s">
        <v>3326</v>
      </c>
      <c r="F1660" s="7" t="s">
        <v>212</v>
      </c>
      <c r="H1660" s="1" t="s">
        <v>3325</v>
      </c>
      <c r="I1660" s="2">
        <v>2.2999999999999998</v>
      </c>
      <c r="J1660" s="2" t="s">
        <v>4367</v>
      </c>
      <c r="K1660" s="2" t="s">
        <v>5713</v>
      </c>
      <c r="L1660" s="6">
        <v>1000</v>
      </c>
      <c r="Q1660" s="2"/>
      <c r="R1660" s="7" t="s">
        <v>3215</v>
      </c>
      <c r="X1660" s="5">
        <v>-12.8073</v>
      </c>
      <c r="Y1660" s="5">
        <v>28.036999999999999</v>
      </c>
      <c r="Z1660" s="6">
        <v>1249</v>
      </c>
      <c r="AA1660" s="7" t="s">
        <v>3331</v>
      </c>
      <c r="AB1660" s="7" t="s">
        <v>3424</v>
      </c>
    </row>
    <row r="1661" spans="1:28" ht="21.75" customHeight="1" x14ac:dyDescent="0.2">
      <c r="A1661" s="7" t="s">
        <v>3176</v>
      </c>
      <c r="B1661" s="7" t="s">
        <v>3178</v>
      </c>
      <c r="C1661" s="7" t="s">
        <v>116</v>
      </c>
      <c r="D1661" s="7" t="s">
        <v>3328</v>
      </c>
      <c r="E1661" s="7" t="s">
        <v>3326</v>
      </c>
      <c r="F1661" s="7" t="s">
        <v>212</v>
      </c>
      <c r="H1661" s="1" t="s">
        <v>3325</v>
      </c>
      <c r="I1661" s="2">
        <v>1.8</v>
      </c>
      <c r="J1661" s="2" t="s">
        <v>4367</v>
      </c>
      <c r="K1661" s="2" t="s">
        <v>5713</v>
      </c>
      <c r="L1661" s="6">
        <v>1000</v>
      </c>
      <c r="Q1661" s="2"/>
      <c r="R1661" s="7" t="s">
        <v>3216</v>
      </c>
      <c r="X1661" s="5">
        <v>-12.809900000000001</v>
      </c>
      <c r="Y1661" s="5">
        <v>28.098800000000001</v>
      </c>
      <c r="Z1661" s="6">
        <v>1243</v>
      </c>
      <c r="AA1661" s="7" t="s">
        <v>3332</v>
      </c>
      <c r="AB1661" s="7" t="s">
        <v>3227</v>
      </c>
    </row>
    <row r="1662" spans="1:28" ht="21.75" customHeight="1" x14ac:dyDescent="0.2">
      <c r="A1662" s="7" t="s">
        <v>3176</v>
      </c>
      <c r="B1662" s="7" t="s">
        <v>3178</v>
      </c>
      <c r="C1662" s="7" t="s">
        <v>116</v>
      </c>
      <c r="D1662" s="7" t="s">
        <v>3185</v>
      </c>
      <c r="E1662" s="7" t="s">
        <v>3326</v>
      </c>
      <c r="F1662" s="7" t="s">
        <v>212</v>
      </c>
      <c r="H1662" s="1" t="s">
        <v>3325</v>
      </c>
      <c r="I1662" s="2">
        <v>2.7</v>
      </c>
      <c r="J1662" s="2" t="s">
        <v>4367</v>
      </c>
      <c r="K1662" s="2" t="s">
        <v>5713</v>
      </c>
      <c r="L1662" s="6">
        <v>1000</v>
      </c>
      <c r="Q1662" s="2"/>
      <c r="R1662" s="7" t="s">
        <v>1012</v>
      </c>
      <c r="X1662" s="5">
        <v>-12.814399999999999</v>
      </c>
      <c r="Y1662" s="5">
        <v>28.043500000000002</v>
      </c>
      <c r="Z1662" s="6">
        <v>1269</v>
      </c>
      <c r="AA1662" s="7" t="s">
        <v>3333</v>
      </c>
      <c r="AB1662" s="7" t="s">
        <v>3227</v>
      </c>
    </row>
    <row r="1663" spans="1:28" ht="21.75" customHeight="1" x14ac:dyDescent="0.2">
      <c r="A1663" s="7" t="s">
        <v>3176</v>
      </c>
      <c r="B1663" s="7" t="s">
        <v>3178</v>
      </c>
      <c r="C1663" s="7" t="s">
        <v>116</v>
      </c>
      <c r="D1663" s="7" t="s">
        <v>3186</v>
      </c>
      <c r="E1663" s="7" t="s">
        <v>3326</v>
      </c>
      <c r="F1663" s="7" t="s">
        <v>212</v>
      </c>
      <c r="H1663" s="1" t="s">
        <v>3325</v>
      </c>
      <c r="I1663" s="2">
        <v>1.1000000000000001</v>
      </c>
      <c r="J1663" s="2" t="s">
        <v>4367</v>
      </c>
      <c r="K1663" s="2" t="s">
        <v>5713</v>
      </c>
      <c r="L1663" s="6">
        <v>1000</v>
      </c>
      <c r="O1663" s="45" t="s">
        <v>969</v>
      </c>
      <c r="Q1663" s="2">
        <v>1.1000000000000001</v>
      </c>
      <c r="R1663" s="7" t="s">
        <v>3311</v>
      </c>
      <c r="X1663" s="5">
        <v>-12.782299999999999</v>
      </c>
      <c r="Y1663" s="5">
        <v>28.038499999999999</v>
      </c>
      <c r="Z1663" s="6">
        <v>1219</v>
      </c>
      <c r="AA1663" s="7" t="s">
        <v>3293</v>
      </c>
      <c r="AB1663" s="7" t="s">
        <v>3312</v>
      </c>
    </row>
    <row r="1664" spans="1:28" ht="21.75" customHeight="1" x14ac:dyDescent="0.2">
      <c r="A1664" s="7" t="s">
        <v>3176</v>
      </c>
      <c r="B1664" s="7" t="s">
        <v>3178</v>
      </c>
      <c r="C1664" s="7" t="s">
        <v>116</v>
      </c>
      <c r="D1664" s="7" t="s">
        <v>3334</v>
      </c>
      <c r="E1664" s="7" t="s">
        <v>263</v>
      </c>
      <c r="F1664" s="7" t="s">
        <v>212</v>
      </c>
      <c r="G1664" s="7" t="s">
        <v>3330</v>
      </c>
      <c r="H1664" s="1" t="s">
        <v>3329</v>
      </c>
      <c r="I1664" s="2">
        <v>2.9</v>
      </c>
      <c r="J1664" s="2" t="s">
        <v>4367</v>
      </c>
      <c r="K1664" s="2" t="s">
        <v>5713</v>
      </c>
      <c r="L1664" s="6">
        <v>1000</v>
      </c>
      <c r="Q1664" s="2"/>
      <c r="R1664" s="7" t="s">
        <v>3215</v>
      </c>
      <c r="X1664" s="5">
        <v>-12.805300000000001</v>
      </c>
      <c r="Y1664" s="5">
        <v>28.038399999999999</v>
      </c>
      <c r="Z1664" s="6">
        <v>1251</v>
      </c>
      <c r="AA1664" s="7" t="s">
        <v>3338</v>
      </c>
      <c r="AB1664" s="7" t="s">
        <v>3425</v>
      </c>
    </row>
    <row r="1665" spans="1:28" ht="21.75" customHeight="1" x14ac:dyDescent="0.2">
      <c r="A1665" s="7" t="s">
        <v>3176</v>
      </c>
      <c r="B1665" s="7" t="s">
        <v>3178</v>
      </c>
      <c r="C1665" s="7" t="s">
        <v>116</v>
      </c>
      <c r="D1665" s="7" t="s">
        <v>3335</v>
      </c>
      <c r="E1665" s="7" t="s">
        <v>263</v>
      </c>
      <c r="F1665" s="7" t="s">
        <v>212</v>
      </c>
      <c r="G1665" s="7" t="s">
        <v>3330</v>
      </c>
      <c r="H1665" s="1" t="s">
        <v>3329</v>
      </c>
      <c r="I1665" s="2">
        <v>1.8</v>
      </c>
      <c r="J1665" s="2" t="s">
        <v>4367</v>
      </c>
      <c r="K1665" s="2" t="s">
        <v>5713</v>
      </c>
      <c r="L1665" s="6">
        <v>1000</v>
      </c>
      <c r="Q1665" s="2"/>
      <c r="R1665" s="7" t="s">
        <v>3216</v>
      </c>
      <c r="X1665" s="5">
        <v>-12.8064</v>
      </c>
      <c r="Y1665" s="5">
        <v>28.005099999999999</v>
      </c>
      <c r="Z1665" s="6">
        <v>1236</v>
      </c>
      <c r="AA1665" s="7" t="s">
        <v>3339</v>
      </c>
      <c r="AB1665" s="7" t="s">
        <v>3426</v>
      </c>
    </row>
    <row r="1666" spans="1:28" ht="21.75" customHeight="1" x14ac:dyDescent="0.2">
      <c r="A1666" s="7" t="s">
        <v>3176</v>
      </c>
      <c r="B1666" s="7" t="s">
        <v>3178</v>
      </c>
      <c r="C1666" s="7" t="s">
        <v>116</v>
      </c>
      <c r="D1666" s="7" t="s">
        <v>3336</v>
      </c>
      <c r="E1666" s="7" t="s">
        <v>263</v>
      </c>
      <c r="F1666" s="7" t="s">
        <v>212</v>
      </c>
      <c r="G1666" s="7" t="s">
        <v>3330</v>
      </c>
      <c r="H1666" s="1" t="s">
        <v>3329</v>
      </c>
      <c r="I1666" s="2">
        <v>2</v>
      </c>
      <c r="J1666" s="2" t="s">
        <v>4367</v>
      </c>
      <c r="K1666" s="2" t="s">
        <v>5713</v>
      </c>
      <c r="L1666" s="6">
        <v>1000</v>
      </c>
      <c r="O1666" s="45" t="s">
        <v>3794</v>
      </c>
      <c r="Q1666" s="2">
        <v>2</v>
      </c>
      <c r="R1666" s="7" t="s">
        <v>3232</v>
      </c>
      <c r="X1666" s="5">
        <v>-12.7721</v>
      </c>
      <c r="Y1666" s="5">
        <v>28.0261</v>
      </c>
      <c r="Z1666" s="6">
        <v>1218</v>
      </c>
      <c r="AA1666" s="7" t="s">
        <v>3340</v>
      </c>
      <c r="AB1666" s="7" t="s">
        <v>3346</v>
      </c>
    </row>
    <row r="1667" spans="1:28" ht="21.75" customHeight="1" x14ac:dyDescent="0.2">
      <c r="A1667" s="7" t="s">
        <v>3176</v>
      </c>
      <c r="B1667" s="7" t="s">
        <v>3178</v>
      </c>
      <c r="C1667" s="7" t="s">
        <v>116</v>
      </c>
      <c r="D1667" s="7" t="s">
        <v>3337</v>
      </c>
      <c r="E1667" s="7" t="s">
        <v>263</v>
      </c>
      <c r="F1667" s="7" t="s">
        <v>212</v>
      </c>
      <c r="G1667" s="7" t="s">
        <v>3330</v>
      </c>
      <c r="H1667" s="1" t="s">
        <v>3329</v>
      </c>
      <c r="I1667" s="2">
        <v>1.8</v>
      </c>
      <c r="J1667" s="2" t="s">
        <v>4367</v>
      </c>
      <c r="K1667" s="2" t="s">
        <v>5713</v>
      </c>
      <c r="L1667" s="6">
        <v>1000</v>
      </c>
      <c r="O1667" s="45" t="s">
        <v>969</v>
      </c>
      <c r="Q1667" s="2">
        <v>1.8</v>
      </c>
      <c r="R1667" s="7" t="s">
        <v>3311</v>
      </c>
      <c r="X1667" s="5">
        <v>-12.786099999999999</v>
      </c>
      <c r="Y1667" s="5">
        <v>28.042200000000001</v>
      </c>
      <c r="Z1667" s="6">
        <v>1223</v>
      </c>
      <c r="AA1667" s="7" t="s">
        <v>3341</v>
      </c>
      <c r="AB1667" s="7" t="s">
        <v>3345</v>
      </c>
    </row>
    <row r="1668" spans="1:28" ht="21.75" customHeight="1" x14ac:dyDescent="0.2">
      <c r="A1668" s="7" t="s">
        <v>3176</v>
      </c>
      <c r="B1668" s="7" t="s">
        <v>3178</v>
      </c>
      <c r="C1668" s="7" t="s">
        <v>116</v>
      </c>
      <c r="D1668" s="7" t="s">
        <v>3342</v>
      </c>
      <c r="E1668" s="7" t="s">
        <v>280</v>
      </c>
      <c r="F1668" s="7" t="s">
        <v>212</v>
      </c>
      <c r="H1668" s="1" t="s">
        <v>3344</v>
      </c>
      <c r="I1668" s="2">
        <v>1.5</v>
      </c>
      <c r="J1668" s="2" t="s">
        <v>4367</v>
      </c>
      <c r="K1668" s="2" t="s">
        <v>5713</v>
      </c>
      <c r="L1668" s="6">
        <v>1000</v>
      </c>
      <c r="O1668" s="45" t="s">
        <v>3794</v>
      </c>
      <c r="Q1668" s="2">
        <v>1.5</v>
      </c>
      <c r="R1668" s="7" t="s">
        <v>3232</v>
      </c>
      <c r="X1668" s="5">
        <v>-12.7644</v>
      </c>
      <c r="Y1668" s="5">
        <v>28.024100000000001</v>
      </c>
      <c r="Z1668" s="6">
        <v>1215</v>
      </c>
      <c r="AA1668" s="7" t="s">
        <v>3347</v>
      </c>
      <c r="AB1668" s="7" t="s">
        <v>3346</v>
      </c>
    </row>
    <row r="1669" spans="1:28" ht="21.75" customHeight="1" x14ac:dyDescent="0.2">
      <c r="A1669" s="7" t="s">
        <v>3176</v>
      </c>
      <c r="B1669" s="7" t="s">
        <v>3178</v>
      </c>
      <c r="C1669" s="7" t="s">
        <v>116</v>
      </c>
      <c r="D1669" s="7" t="s">
        <v>3343</v>
      </c>
      <c r="E1669" s="7" t="s">
        <v>280</v>
      </c>
      <c r="F1669" s="7" t="s">
        <v>212</v>
      </c>
      <c r="H1669" s="1" t="s">
        <v>3344</v>
      </c>
      <c r="I1669" s="2">
        <v>2</v>
      </c>
      <c r="J1669" s="2" t="s">
        <v>4367</v>
      </c>
      <c r="K1669" s="2" t="s">
        <v>5713</v>
      </c>
      <c r="L1669" s="6">
        <v>1000</v>
      </c>
      <c r="O1669" s="45" t="s">
        <v>969</v>
      </c>
      <c r="P1669" s="7"/>
      <c r="Q1669" s="2">
        <v>2</v>
      </c>
      <c r="R1669" s="7" t="s">
        <v>3311</v>
      </c>
      <c r="X1669" s="5">
        <v>-12.786899999999999</v>
      </c>
      <c r="Y1669" s="5">
        <v>28.038699999999999</v>
      </c>
      <c r="Z1669" s="6">
        <v>1227</v>
      </c>
      <c r="AA1669" s="7" t="s">
        <v>3303</v>
      </c>
      <c r="AB1669" s="7" t="s">
        <v>3345</v>
      </c>
    </row>
    <row r="1670" spans="1:28" ht="21.75" customHeight="1" x14ac:dyDescent="0.2">
      <c r="A1670" s="7" t="s">
        <v>3176</v>
      </c>
      <c r="B1670" s="7" t="s">
        <v>3178</v>
      </c>
      <c r="C1670" s="7" t="s">
        <v>116</v>
      </c>
      <c r="D1670" s="7" t="s">
        <v>3350</v>
      </c>
      <c r="E1670" s="7" t="s">
        <v>280</v>
      </c>
      <c r="F1670" s="7" t="s">
        <v>1302</v>
      </c>
      <c r="G1670" s="7" t="s">
        <v>3349</v>
      </c>
      <c r="H1670" s="1" t="s">
        <v>3348</v>
      </c>
      <c r="I1670" s="2">
        <v>1.2</v>
      </c>
      <c r="J1670" s="2" t="s">
        <v>4367</v>
      </c>
      <c r="K1670" s="2" t="s">
        <v>5713</v>
      </c>
      <c r="L1670" s="6">
        <v>1000</v>
      </c>
      <c r="Q1670" s="2"/>
      <c r="R1670" s="7" t="s">
        <v>3216</v>
      </c>
      <c r="X1670" s="5">
        <v>-12.8004</v>
      </c>
      <c r="Y1670" s="5">
        <v>28.034400000000002</v>
      </c>
      <c r="Z1670" s="6">
        <v>1241</v>
      </c>
      <c r="AA1670" s="7" t="s">
        <v>3353</v>
      </c>
      <c r="AB1670" s="7" t="s">
        <v>3227</v>
      </c>
    </row>
    <row r="1671" spans="1:28" ht="21.75" customHeight="1" x14ac:dyDescent="0.2">
      <c r="A1671" s="7" t="s">
        <v>3176</v>
      </c>
      <c r="B1671" s="7" t="s">
        <v>3178</v>
      </c>
      <c r="C1671" s="7" t="s">
        <v>116</v>
      </c>
      <c r="D1671" s="7" t="s">
        <v>3351</v>
      </c>
      <c r="E1671" s="7" t="s">
        <v>280</v>
      </c>
      <c r="F1671" s="7" t="s">
        <v>1302</v>
      </c>
      <c r="G1671" s="7" t="s">
        <v>3349</v>
      </c>
      <c r="H1671" s="1" t="s">
        <v>3348</v>
      </c>
      <c r="I1671" s="2">
        <v>1.4</v>
      </c>
      <c r="J1671" s="2" t="s">
        <v>4367</v>
      </c>
      <c r="K1671" s="2" t="s">
        <v>5713</v>
      </c>
      <c r="L1671" s="6">
        <v>1000</v>
      </c>
      <c r="O1671" s="45" t="s">
        <v>3794</v>
      </c>
      <c r="Q1671" s="2">
        <v>1.4</v>
      </c>
      <c r="R1671" s="7" t="s">
        <v>3232</v>
      </c>
      <c r="X1671" s="5">
        <v>-12.769600000000001</v>
      </c>
      <c r="Y1671" s="5">
        <v>28.03</v>
      </c>
      <c r="Z1671" s="6">
        <v>1214</v>
      </c>
      <c r="AA1671" s="7" t="s">
        <v>3354</v>
      </c>
      <c r="AB1671" s="7" t="s">
        <v>3352</v>
      </c>
    </row>
    <row r="1672" spans="1:28" ht="21.75" customHeight="1" x14ac:dyDescent="0.2">
      <c r="A1672" s="7" t="s">
        <v>3176</v>
      </c>
      <c r="B1672" s="7" t="s">
        <v>3178</v>
      </c>
      <c r="C1672" s="7" t="s">
        <v>116</v>
      </c>
      <c r="D1672" s="7" t="s">
        <v>3356</v>
      </c>
      <c r="E1672" s="7" t="s">
        <v>280</v>
      </c>
      <c r="F1672" s="7" t="s">
        <v>1302</v>
      </c>
      <c r="G1672" s="7" t="s">
        <v>3349</v>
      </c>
      <c r="H1672" s="1" t="s">
        <v>3348</v>
      </c>
      <c r="I1672" s="2">
        <v>1.9</v>
      </c>
      <c r="J1672" s="2" t="s">
        <v>4367</v>
      </c>
      <c r="K1672" s="2" t="s">
        <v>5713</v>
      </c>
      <c r="L1672" s="6">
        <v>1000</v>
      </c>
      <c r="Q1672" s="2"/>
      <c r="R1672" s="7" t="s">
        <v>1012</v>
      </c>
      <c r="X1672" s="5">
        <v>-12.818899999999999</v>
      </c>
      <c r="Y1672" s="5">
        <v>28.0382</v>
      </c>
      <c r="Z1672" s="6">
        <v>1255</v>
      </c>
      <c r="AA1672" s="7" t="s">
        <v>3357</v>
      </c>
      <c r="AB1672" s="7" t="s">
        <v>3227</v>
      </c>
    </row>
    <row r="1673" spans="1:28" ht="21.75" customHeight="1" x14ac:dyDescent="0.2">
      <c r="A1673" s="7" t="s">
        <v>3176</v>
      </c>
      <c r="B1673" s="7" t="s">
        <v>3178</v>
      </c>
      <c r="C1673" s="7" t="s">
        <v>116</v>
      </c>
      <c r="D1673" s="7" t="s">
        <v>3355</v>
      </c>
      <c r="E1673" s="7" t="s">
        <v>280</v>
      </c>
      <c r="F1673" s="7" t="s">
        <v>1302</v>
      </c>
      <c r="G1673" s="7" t="s">
        <v>3349</v>
      </c>
      <c r="H1673" s="1" t="s">
        <v>3348</v>
      </c>
      <c r="I1673" s="2">
        <v>2</v>
      </c>
      <c r="J1673" s="2" t="s">
        <v>4367</v>
      </c>
      <c r="K1673" s="2" t="s">
        <v>5713</v>
      </c>
      <c r="L1673" s="6">
        <v>1000</v>
      </c>
      <c r="O1673" s="45" t="s">
        <v>3794</v>
      </c>
      <c r="Q1673" s="2">
        <v>2</v>
      </c>
      <c r="R1673" s="7" t="s">
        <v>3232</v>
      </c>
      <c r="X1673" s="5">
        <v>-12.776300000000001</v>
      </c>
      <c r="Y1673" s="5">
        <v>28.039300000000001</v>
      </c>
      <c r="Z1673" s="6">
        <v>1217</v>
      </c>
      <c r="AA1673" s="7" t="s">
        <v>3332</v>
      </c>
      <c r="AB1673" s="7" t="s">
        <v>3352</v>
      </c>
    </row>
    <row r="1674" spans="1:28" ht="21.75" customHeight="1" x14ac:dyDescent="0.2">
      <c r="A1674" s="7" t="s">
        <v>3176</v>
      </c>
      <c r="B1674" s="7" t="s">
        <v>3178</v>
      </c>
      <c r="C1674" s="7" t="s">
        <v>116</v>
      </c>
      <c r="D1674" s="7" t="s">
        <v>3358</v>
      </c>
      <c r="E1674" s="7" t="s">
        <v>263</v>
      </c>
      <c r="F1674" s="7" t="s">
        <v>1302</v>
      </c>
      <c r="G1674" s="7" t="s">
        <v>3362</v>
      </c>
      <c r="H1674" s="1" t="s">
        <v>3361</v>
      </c>
      <c r="I1674" s="2">
        <v>2.5</v>
      </c>
      <c r="J1674" s="2" t="s">
        <v>4367</v>
      </c>
      <c r="K1674" s="2" t="s">
        <v>5713</v>
      </c>
      <c r="L1674" s="6">
        <v>1000</v>
      </c>
      <c r="O1674" s="45" t="s">
        <v>3794</v>
      </c>
      <c r="Q1674" s="2">
        <v>2.5</v>
      </c>
      <c r="R1674" s="7" t="s">
        <v>3232</v>
      </c>
      <c r="X1674" s="5">
        <v>-12.775600000000001</v>
      </c>
      <c r="Y1674" s="5">
        <v>28.040700000000001</v>
      </c>
      <c r="Z1674" s="6">
        <v>1220</v>
      </c>
      <c r="AA1674" s="7" t="s">
        <v>3363</v>
      </c>
      <c r="AB1674" s="7" t="s">
        <v>3352</v>
      </c>
    </row>
    <row r="1675" spans="1:28" ht="21.75" customHeight="1" x14ac:dyDescent="0.2">
      <c r="A1675" s="7" t="s">
        <v>3176</v>
      </c>
      <c r="B1675" s="7" t="s">
        <v>3178</v>
      </c>
      <c r="C1675" s="7" t="s">
        <v>116</v>
      </c>
      <c r="D1675" s="7" t="s">
        <v>3359</v>
      </c>
      <c r="E1675" s="7" t="s">
        <v>263</v>
      </c>
      <c r="F1675" s="7" t="s">
        <v>1302</v>
      </c>
      <c r="G1675" s="7" t="s">
        <v>3362</v>
      </c>
      <c r="H1675" s="1" t="s">
        <v>3361</v>
      </c>
      <c r="I1675" s="2">
        <v>0.9</v>
      </c>
      <c r="J1675" s="2" t="s">
        <v>4367</v>
      </c>
      <c r="K1675" s="2" t="s">
        <v>5713</v>
      </c>
      <c r="L1675" s="6">
        <v>1000</v>
      </c>
      <c r="Q1675" s="2"/>
      <c r="R1675" s="7" t="s">
        <v>3216</v>
      </c>
      <c r="X1675" s="5">
        <v>-12.7995</v>
      </c>
      <c r="Y1675" s="5">
        <v>28.013500000000001</v>
      </c>
      <c r="Z1675" s="6">
        <v>1230</v>
      </c>
      <c r="AA1675" s="7" t="s">
        <v>3364</v>
      </c>
      <c r="AB1675" s="7" t="s">
        <v>3227</v>
      </c>
    </row>
    <row r="1676" spans="1:28" ht="21.75" customHeight="1" x14ac:dyDescent="0.2">
      <c r="A1676" s="7" t="s">
        <v>3176</v>
      </c>
      <c r="B1676" s="7" t="s">
        <v>3178</v>
      </c>
      <c r="C1676" s="7" t="s">
        <v>116</v>
      </c>
      <c r="D1676" s="7" t="s">
        <v>3360</v>
      </c>
      <c r="E1676" s="7" t="s">
        <v>263</v>
      </c>
      <c r="F1676" s="7" t="s">
        <v>1302</v>
      </c>
      <c r="G1676" s="7" t="s">
        <v>3362</v>
      </c>
      <c r="H1676" s="1" t="s">
        <v>3361</v>
      </c>
      <c r="I1676" s="2">
        <v>2.5</v>
      </c>
      <c r="J1676" s="2" t="s">
        <v>4367</v>
      </c>
      <c r="K1676" s="2" t="s">
        <v>5713</v>
      </c>
      <c r="L1676" s="6">
        <v>1000</v>
      </c>
      <c r="Q1676" s="2"/>
      <c r="R1676" s="7" t="s">
        <v>3215</v>
      </c>
      <c r="X1676" s="5">
        <v>-12.807700000000001</v>
      </c>
      <c r="Y1676" s="5">
        <v>28.033999999999999</v>
      </c>
      <c r="Z1676" s="6">
        <v>1245</v>
      </c>
      <c r="AA1676" s="7" t="s">
        <v>3364</v>
      </c>
      <c r="AB1676" s="7" t="s">
        <v>3227</v>
      </c>
    </row>
    <row r="1677" spans="1:28" ht="21.75" customHeight="1" x14ac:dyDescent="0.2">
      <c r="A1677" s="7" t="s">
        <v>3176</v>
      </c>
      <c r="B1677" s="7" t="s">
        <v>3178</v>
      </c>
      <c r="C1677" s="7" t="s">
        <v>116</v>
      </c>
      <c r="D1677" s="7" t="s">
        <v>3367</v>
      </c>
      <c r="E1677" s="7" t="s">
        <v>263</v>
      </c>
      <c r="F1677" s="7" t="s">
        <v>1302</v>
      </c>
      <c r="H1677" s="1" t="s">
        <v>3365</v>
      </c>
      <c r="I1677" s="2">
        <v>1.3</v>
      </c>
      <c r="J1677" s="2" t="s">
        <v>4367</v>
      </c>
      <c r="K1677" s="2" t="s">
        <v>5713</v>
      </c>
      <c r="L1677" s="6">
        <v>1000</v>
      </c>
      <c r="O1677" s="45" t="s">
        <v>3794</v>
      </c>
      <c r="Q1677" s="2"/>
      <c r="R1677" s="7" t="s">
        <v>3232</v>
      </c>
      <c r="U1677" s="7" t="s">
        <v>3366</v>
      </c>
      <c r="V1677" s="7">
        <v>1.3</v>
      </c>
      <c r="X1677" s="5">
        <v>-12.8454</v>
      </c>
      <c r="Y1677" s="5">
        <v>28.07</v>
      </c>
      <c r="Z1677" s="6">
        <v>1328</v>
      </c>
      <c r="AA1677" s="7" t="s">
        <v>3353</v>
      </c>
      <c r="AB1677" s="7" t="s">
        <v>3797</v>
      </c>
    </row>
    <row r="1678" spans="1:28" ht="21.75" customHeight="1" x14ac:dyDescent="0.2">
      <c r="A1678" s="7" t="s">
        <v>3176</v>
      </c>
      <c r="B1678" s="7" t="s">
        <v>3178</v>
      </c>
      <c r="C1678" s="7" t="s">
        <v>116</v>
      </c>
      <c r="D1678" s="7" t="s">
        <v>3368</v>
      </c>
      <c r="E1678" s="7" t="s">
        <v>263</v>
      </c>
      <c r="F1678" s="7" t="s">
        <v>212</v>
      </c>
      <c r="G1678" s="7" t="s">
        <v>3369</v>
      </c>
      <c r="H1678" s="1" t="s">
        <v>3371</v>
      </c>
      <c r="I1678" s="2">
        <v>1.9</v>
      </c>
      <c r="J1678" s="2" t="s">
        <v>4367</v>
      </c>
      <c r="K1678" s="2" t="s">
        <v>5713</v>
      </c>
      <c r="L1678" s="6">
        <v>1000</v>
      </c>
      <c r="Q1678" s="2"/>
      <c r="R1678" s="7" t="s">
        <v>3215</v>
      </c>
      <c r="X1678" s="5">
        <v>-12.807</v>
      </c>
      <c r="Y1678" s="5">
        <v>28.031099999999999</v>
      </c>
      <c r="Z1678" s="6">
        <v>1239</v>
      </c>
      <c r="AA1678" s="7" t="s">
        <v>3293</v>
      </c>
      <c r="AB1678" s="7" t="s">
        <v>3373</v>
      </c>
    </row>
    <row r="1679" spans="1:28" ht="21.75" customHeight="1" x14ac:dyDescent="0.2">
      <c r="A1679" s="7" t="s">
        <v>3176</v>
      </c>
      <c r="B1679" s="7" t="s">
        <v>3178</v>
      </c>
      <c r="C1679" s="7" t="s">
        <v>116</v>
      </c>
      <c r="D1679" s="7" t="s">
        <v>3370</v>
      </c>
      <c r="E1679" s="7" t="s">
        <v>263</v>
      </c>
      <c r="F1679" s="7" t="s">
        <v>212</v>
      </c>
      <c r="G1679" s="7" t="s">
        <v>3369</v>
      </c>
      <c r="H1679" s="1" t="s">
        <v>3371</v>
      </c>
      <c r="I1679" s="2">
        <v>3.1</v>
      </c>
      <c r="J1679" s="2" t="s">
        <v>4367</v>
      </c>
      <c r="K1679" s="2" t="s">
        <v>5713</v>
      </c>
      <c r="L1679" s="6">
        <v>1000</v>
      </c>
      <c r="O1679" s="45" t="s">
        <v>3794</v>
      </c>
      <c r="Q1679" s="2">
        <v>3.1</v>
      </c>
      <c r="R1679" s="7" t="s">
        <v>3232</v>
      </c>
      <c r="X1679" s="5">
        <v>-12.7593</v>
      </c>
      <c r="Y1679" s="5">
        <v>28.0337</v>
      </c>
      <c r="Z1679" s="6">
        <v>1221</v>
      </c>
      <c r="AA1679" s="7" t="s">
        <v>3341</v>
      </c>
      <c r="AB1679" s="7" t="s">
        <v>3374</v>
      </c>
    </row>
    <row r="1680" spans="1:28" ht="21.75" customHeight="1" x14ac:dyDescent="0.2">
      <c r="A1680" s="7" t="s">
        <v>3176</v>
      </c>
      <c r="B1680" s="7" t="s">
        <v>3178</v>
      </c>
      <c r="C1680" s="7" t="s">
        <v>116</v>
      </c>
      <c r="D1680" s="7" t="s">
        <v>3379</v>
      </c>
      <c r="E1680" s="7" t="s">
        <v>263</v>
      </c>
      <c r="F1680" s="7" t="s">
        <v>1302</v>
      </c>
      <c r="G1680" s="7" t="s">
        <v>3375</v>
      </c>
      <c r="H1680" s="1" t="s">
        <v>3372</v>
      </c>
      <c r="I1680" s="2">
        <v>1.6</v>
      </c>
      <c r="J1680" s="2" t="s">
        <v>4367</v>
      </c>
      <c r="K1680" s="2" t="s">
        <v>5713</v>
      </c>
      <c r="L1680" s="6">
        <v>1000</v>
      </c>
      <c r="Q1680" s="2"/>
      <c r="R1680" s="7" t="s">
        <v>3216</v>
      </c>
      <c r="X1680" s="5">
        <v>-12.8161</v>
      </c>
      <c r="Y1680" s="5">
        <v>28.023900000000001</v>
      </c>
      <c r="Z1680" s="6">
        <v>1243</v>
      </c>
      <c r="AA1680" s="7" t="s">
        <v>3380</v>
      </c>
      <c r="AB1680" s="7" t="s">
        <v>3227</v>
      </c>
    </row>
    <row r="1681" spans="1:28" ht="21.75" customHeight="1" x14ac:dyDescent="0.2">
      <c r="A1681" s="7" t="s">
        <v>3176</v>
      </c>
      <c r="B1681" s="7" t="s">
        <v>3178</v>
      </c>
      <c r="C1681" s="7" t="s">
        <v>116</v>
      </c>
      <c r="D1681" s="7" t="s">
        <v>3377</v>
      </c>
      <c r="E1681" s="7" t="s">
        <v>263</v>
      </c>
      <c r="F1681" s="7" t="s">
        <v>1302</v>
      </c>
      <c r="G1681" s="7" t="s">
        <v>3375</v>
      </c>
      <c r="H1681" s="1" t="s">
        <v>3372</v>
      </c>
      <c r="I1681" s="2">
        <v>1.8</v>
      </c>
      <c r="J1681" s="2" t="s">
        <v>4367</v>
      </c>
      <c r="K1681" s="2" t="s">
        <v>5713</v>
      </c>
      <c r="L1681" s="6">
        <v>1000</v>
      </c>
      <c r="O1681" s="45" t="s">
        <v>3794</v>
      </c>
      <c r="Q1681" s="2">
        <v>1.8</v>
      </c>
      <c r="R1681" s="7" t="s">
        <v>3232</v>
      </c>
      <c r="X1681" s="5">
        <v>-12.7706</v>
      </c>
      <c r="Y1681" s="5">
        <v>28.026900000000001</v>
      </c>
      <c r="Z1681" s="6">
        <v>1216</v>
      </c>
      <c r="AA1681" s="7" t="s">
        <v>3378</v>
      </c>
      <c r="AB1681" s="7" t="s">
        <v>3427</v>
      </c>
    </row>
    <row r="1682" spans="1:28" ht="21.75" customHeight="1" x14ac:dyDescent="0.2">
      <c r="A1682" s="7" t="s">
        <v>3176</v>
      </c>
      <c r="B1682" s="7" t="s">
        <v>3178</v>
      </c>
      <c r="C1682" s="7" t="s">
        <v>116</v>
      </c>
      <c r="D1682" s="7" t="s">
        <v>3376</v>
      </c>
      <c r="E1682" s="7" t="s">
        <v>263</v>
      </c>
      <c r="F1682" s="7" t="s">
        <v>1302</v>
      </c>
      <c r="G1682" s="7" t="s">
        <v>3375</v>
      </c>
      <c r="H1682" s="1" t="s">
        <v>3372</v>
      </c>
      <c r="I1682" s="2">
        <v>1.4</v>
      </c>
      <c r="J1682" s="2" t="s">
        <v>4367</v>
      </c>
      <c r="K1682" s="2" t="s">
        <v>5713</v>
      </c>
      <c r="L1682" s="6">
        <v>1000</v>
      </c>
      <c r="Q1682" s="2"/>
      <c r="R1682" s="7" t="s">
        <v>2538</v>
      </c>
      <c r="X1682" s="5">
        <v>-12.823</v>
      </c>
      <c r="Y1682" s="5">
        <v>28.035</v>
      </c>
      <c r="Z1682" s="6">
        <v>1252</v>
      </c>
      <c r="AA1682" s="7" t="s">
        <v>3354</v>
      </c>
      <c r="AB1682" s="7" t="s">
        <v>3227</v>
      </c>
    </row>
    <row r="1683" spans="1:28" ht="21.75" customHeight="1" x14ac:dyDescent="0.2">
      <c r="A1683" s="7" t="s">
        <v>3176</v>
      </c>
      <c r="B1683" s="7" t="s">
        <v>3178</v>
      </c>
      <c r="C1683" s="7" t="s">
        <v>116</v>
      </c>
      <c r="D1683" s="7" t="s">
        <v>3383</v>
      </c>
      <c r="E1683" s="7" t="s">
        <v>280</v>
      </c>
      <c r="F1683" s="7" t="s">
        <v>212</v>
      </c>
      <c r="G1683" s="7" t="s">
        <v>3382</v>
      </c>
      <c r="H1683" s="1" t="s">
        <v>3381</v>
      </c>
      <c r="I1683" s="2">
        <v>0.8</v>
      </c>
      <c r="J1683" s="2" t="s">
        <v>4367</v>
      </c>
      <c r="K1683" s="2" t="s">
        <v>5713</v>
      </c>
      <c r="L1683" s="6">
        <v>1000</v>
      </c>
      <c r="O1683" s="45" t="s">
        <v>969</v>
      </c>
      <c r="Q1683" s="2">
        <v>0.8</v>
      </c>
      <c r="R1683" s="7" t="s">
        <v>3311</v>
      </c>
      <c r="X1683" s="5">
        <v>-12.780900000000001</v>
      </c>
      <c r="Y1683" s="5">
        <v>28.0367</v>
      </c>
      <c r="Z1683" s="6">
        <v>1217</v>
      </c>
      <c r="AA1683" s="7" t="s">
        <v>3387</v>
      </c>
      <c r="AB1683" s="7" t="s">
        <v>3386</v>
      </c>
    </row>
    <row r="1684" spans="1:28" ht="21.75" customHeight="1" x14ac:dyDescent="0.2">
      <c r="A1684" s="7" t="s">
        <v>3176</v>
      </c>
      <c r="B1684" s="7" t="s">
        <v>3178</v>
      </c>
      <c r="C1684" s="7" t="s">
        <v>116</v>
      </c>
      <c r="D1684" s="7" t="s">
        <v>3384</v>
      </c>
      <c r="E1684" s="7" t="s">
        <v>280</v>
      </c>
      <c r="F1684" s="7" t="s">
        <v>212</v>
      </c>
      <c r="G1684" s="7" t="s">
        <v>3382</v>
      </c>
      <c r="H1684" s="1" t="s">
        <v>3381</v>
      </c>
      <c r="I1684" s="2">
        <v>1.4</v>
      </c>
      <c r="J1684" s="2" t="s">
        <v>4367</v>
      </c>
      <c r="K1684" s="2" t="s">
        <v>5713</v>
      </c>
      <c r="L1684" s="6">
        <v>1000</v>
      </c>
      <c r="Q1684" s="2"/>
      <c r="R1684" s="7" t="s">
        <v>3215</v>
      </c>
      <c r="X1684" s="5">
        <v>-12.8028</v>
      </c>
      <c r="Y1684" s="5">
        <v>28.030999999999999</v>
      </c>
      <c r="Z1684" s="6">
        <v>1236</v>
      </c>
      <c r="AA1684" s="7" t="s">
        <v>3332</v>
      </c>
      <c r="AB1684" s="7" t="s">
        <v>3227</v>
      </c>
    </row>
    <row r="1685" spans="1:28" ht="21.75" customHeight="1" x14ac:dyDescent="0.2">
      <c r="A1685" s="7" t="s">
        <v>3176</v>
      </c>
      <c r="B1685" s="7" t="s">
        <v>3178</v>
      </c>
      <c r="C1685" s="7" t="s">
        <v>116</v>
      </c>
      <c r="D1685" s="7" t="s">
        <v>3385</v>
      </c>
      <c r="E1685" s="7" t="s">
        <v>280</v>
      </c>
      <c r="F1685" s="7" t="s">
        <v>212</v>
      </c>
      <c r="G1685" s="7" t="s">
        <v>3382</v>
      </c>
      <c r="H1685" s="1" t="s">
        <v>3381</v>
      </c>
      <c r="I1685" s="2">
        <v>1.4</v>
      </c>
      <c r="J1685" s="2" t="s">
        <v>4367</v>
      </c>
      <c r="K1685" s="2" t="s">
        <v>5713</v>
      </c>
      <c r="L1685" s="6">
        <v>1000</v>
      </c>
      <c r="Q1685" s="2"/>
      <c r="R1685" s="7" t="s">
        <v>3216</v>
      </c>
      <c r="X1685" s="5">
        <v>-12.8101</v>
      </c>
      <c r="Y1685" s="5">
        <v>28.002500000000001</v>
      </c>
      <c r="Z1685" s="6">
        <v>1243</v>
      </c>
      <c r="AA1685" s="7" t="s">
        <v>3333</v>
      </c>
      <c r="AB1685" s="7" t="s">
        <v>3227</v>
      </c>
    </row>
    <row r="1686" spans="1:28" ht="21.75" customHeight="1" x14ac:dyDescent="0.2">
      <c r="A1686" s="7" t="s">
        <v>3176</v>
      </c>
      <c r="B1686" s="7" t="s">
        <v>3178</v>
      </c>
      <c r="C1686" s="7" t="s">
        <v>116</v>
      </c>
      <c r="D1686" s="7" t="s">
        <v>3390</v>
      </c>
      <c r="E1686" s="7" t="s">
        <v>263</v>
      </c>
      <c r="F1686" s="7" t="s">
        <v>212</v>
      </c>
      <c r="G1686" s="7" t="s">
        <v>3389</v>
      </c>
      <c r="H1686" s="1" t="s">
        <v>3388</v>
      </c>
      <c r="I1686" s="2">
        <v>1.5</v>
      </c>
      <c r="J1686" s="2" t="s">
        <v>4367</v>
      </c>
      <c r="K1686" s="2" t="s">
        <v>5713</v>
      </c>
      <c r="L1686" s="6">
        <v>1000</v>
      </c>
      <c r="Q1686" s="2"/>
      <c r="R1686" s="7" t="s">
        <v>3216</v>
      </c>
      <c r="X1686" s="5">
        <v>-12.814</v>
      </c>
      <c r="Y1686" s="5">
        <v>27.996300000000002</v>
      </c>
      <c r="Z1686" s="6">
        <v>1244</v>
      </c>
      <c r="AA1686" s="7" t="s">
        <v>3391</v>
      </c>
      <c r="AB1686" s="7" t="s">
        <v>3428</v>
      </c>
    </row>
    <row r="1687" spans="1:28" ht="21.75" customHeight="1" x14ac:dyDescent="0.2">
      <c r="A1687" s="7" t="s">
        <v>3176</v>
      </c>
      <c r="B1687" s="7" t="s">
        <v>3187</v>
      </c>
      <c r="C1687" s="7" t="s">
        <v>116</v>
      </c>
      <c r="D1687" s="7" t="s">
        <v>3394</v>
      </c>
      <c r="E1687" s="7" t="s">
        <v>280</v>
      </c>
      <c r="F1687" s="7" t="s">
        <v>212</v>
      </c>
      <c r="G1687" s="7" t="s">
        <v>3393</v>
      </c>
      <c r="H1687" s="1" t="s">
        <v>3392</v>
      </c>
      <c r="I1687" s="2">
        <v>3.3</v>
      </c>
      <c r="J1687" s="2" t="s">
        <v>4367</v>
      </c>
      <c r="K1687" s="2" t="s">
        <v>5713</v>
      </c>
      <c r="L1687" s="6">
        <v>800</v>
      </c>
      <c r="Q1687" s="2"/>
      <c r="R1687" s="7" t="s">
        <v>3395</v>
      </c>
      <c r="U1687" s="7" t="s">
        <v>3396</v>
      </c>
      <c r="V1687" s="7" t="s">
        <v>3831</v>
      </c>
      <c r="W1687" s="7" t="s">
        <v>3438</v>
      </c>
      <c r="X1687" s="5">
        <v>-15.524100000000001</v>
      </c>
      <c r="Y1687" s="5">
        <v>28.207699999999999</v>
      </c>
      <c r="Z1687" s="6">
        <v>1232</v>
      </c>
      <c r="AA1687" s="7" t="s">
        <v>3397</v>
      </c>
      <c r="AB1687" s="7" t="s">
        <v>3429</v>
      </c>
    </row>
    <row r="1688" spans="1:28" ht="21.75" customHeight="1" x14ac:dyDescent="0.2">
      <c r="A1688" s="7" t="s">
        <v>3176</v>
      </c>
      <c r="B1688" s="7" t="s">
        <v>3187</v>
      </c>
      <c r="C1688" s="7" t="s">
        <v>116</v>
      </c>
      <c r="D1688" s="7" t="s">
        <v>3399</v>
      </c>
      <c r="E1688" s="7" t="s">
        <v>280</v>
      </c>
      <c r="F1688" s="7" t="s">
        <v>212</v>
      </c>
      <c r="G1688" s="7" t="s">
        <v>3400</v>
      </c>
      <c r="H1688" s="1" t="s">
        <v>3398</v>
      </c>
      <c r="I1688" s="2">
        <v>3.3</v>
      </c>
      <c r="J1688" s="2" t="s">
        <v>4367</v>
      </c>
      <c r="K1688" s="2" t="s">
        <v>5713</v>
      </c>
      <c r="L1688" s="6">
        <v>800</v>
      </c>
      <c r="Q1688" s="2"/>
      <c r="R1688" s="7" t="s">
        <v>3395</v>
      </c>
      <c r="U1688" s="7" t="s">
        <v>3396</v>
      </c>
      <c r="V1688" s="7" t="s">
        <v>3831</v>
      </c>
      <c r="W1688" s="7" t="s">
        <v>3438</v>
      </c>
      <c r="X1688" s="5">
        <v>-15.5199</v>
      </c>
      <c r="Y1688" s="5">
        <v>28.2044</v>
      </c>
      <c r="Z1688" s="6">
        <v>1236</v>
      </c>
      <c r="AA1688" s="7" t="s">
        <v>3401</v>
      </c>
      <c r="AB1688" s="7" t="s">
        <v>3798</v>
      </c>
    </row>
    <row r="1689" spans="1:28" ht="21.75" customHeight="1" x14ac:dyDescent="0.2">
      <c r="A1689" s="7" t="s">
        <v>3176</v>
      </c>
      <c r="B1689" s="7" t="s">
        <v>3187</v>
      </c>
      <c r="C1689" s="7" t="s">
        <v>116</v>
      </c>
      <c r="D1689" s="7" t="s">
        <v>3409</v>
      </c>
      <c r="E1689" s="7" t="s">
        <v>280</v>
      </c>
      <c r="F1689" s="7" t="s">
        <v>212</v>
      </c>
      <c r="H1689" s="1" t="s">
        <v>3402</v>
      </c>
      <c r="I1689" s="2">
        <v>1.7</v>
      </c>
      <c r="J1689" s="2" t="s">
        <v>4367</v>
      </c>
      <c r="K1689" s="2" t="s">
        <v>5713</v>
      </c>
      <c r="L1689" s="6">
        <v>800</v>
      </c>
      <c r="Q1689" s="2"/>
      <c r="R1689" s="7" t="s">
        <v>3395</v>
      </c>
      <c r="U1689" s="7" t="s">
        <v>3396</v>
      </c>
      <c r="V1689" s="7" t="s">
        <v>3831</v>
      </c>
      <c r="W1689" s="7" t="s">
        <v>3438</v>
      </c>
      <c r="X1689" s="5">
        <v>-15.5213</v>
      </c>
      <c r="Y1689" s="5">
        <v>28.212800000000001</v>
      </c>
      <c r="Z1689" s="6">
        <v>1245</v>
      </c>
      <c r="AA1689" s="7" t="s">
        <v>3403</v>
      </c>
      <c r="AB1689" s="7" t="s">
        <v>3227</v>
      </c>
    </row>
    <row r="1690" spans="1:28" ht="21.75" customHeight="1" x14ac:dyDescent="0.2">
      <c r="A1690" s="7" t="s">
        <v>3176</v>
      </c>
      <c r="B1690" s="7" t="s">
        <v>3187</v>
      </c>
      <c r="C1690" s="7" t="s">
        <v>116</v>
      </c>
      <c r="D1690" s="7" t="s">
        <v>3410</v>
      </c>
      <c r="E1690" s="7" t="s">
        <v>280</v>
      </c>
      <c r="F1690" s="7" t="s">
        <v>212</v>
      </c>
      <c r="H1690" s="1" t="s">
        <v>3402</v>
      </c>
      <c r="I1690" s="2">
        <v>2.5</v>
      </c>
      <c r="J1690" s="2" t="s">
        <v>4367</v>
      </c>
      <c r="K1690" s="2" t="s">
        <v>5713</v>
      </c>
      <c r="L1690" s="6">
        <v>800</v>
      </c>
      <c r="Q1690" s="2"/>
      <c r="R1690" s="7" t="s">
        <v>3230</v>
      </c>
      <c r="W1690" s="7" t="s">
        <v>3438</v>
      </c>
      <c r="X1690" s="5">
        <v>-15.5237</v>
      </c>
      <c r="Y1690" s="5">
        <v>28.222799999999999</v>
      </c>
      <c r="Z1690" s="6">
        <v>1235</v>
      </c>
      <c r="AA1690" s="7" t="s">
        <v>3404</v>
      </c>
      <c r="AB1690" s="7" t="s">
        <v>3227</v>
      </c>
    </row>
    <row r="1691" spans="1:28" ht="21.75" customHeight="1" x14ac:dyDescent="0.2">
      <c r="A1691" s="7" t="s">
        <v>3176</v>
      </c>
      <c r="B1691" s="7" t="s">
        <v>3187</v>
      </c>
      <c r="C1691" s="7" t="s">
        <v>116</v>
      </c>
      <c r="D1691" s="7" t="s">
        <v>3407</v>
      </c>
      <c r="E1691" s="7" t="s">
        <v>280</v>
      </c>
      <c r="F1691" s="7" t="s">
        <v>212</v>
      </c>
      <c r="G1691" s="7" t="s">
        <v>3406</v>
      </c>
      <c r="H1691" s="1" t="s">
        <v>3405</v>
      </c>
      <c r="I1691" s="2">
        <v>2.9</v>
      </c>
      <c r="J1691" s="2" t="s">
        <v>4367</v>
      </c>
      <c r="K1691" s="2" t="s">
        <v>5713</v>
      </c>
      <c r="L1691" s="6">
        <v>800</v>
      </c>
      <c r="Q1691" s="2"/>
      <c r="R1691" s="7" t="s">
        <v>3395</v>
      </c>
      <c r="U1691" s="7" t="s">
        <v>3396</v>
      </c>
      <c r="V1691" s="7" t="s">
        <v>3831</v>
      </c>
      <c r="W1691" s="7" t="s">
        <v>3438</v>
      </c>
      <c r="X1691" s="5">
        <v>-15.523300000000001</v>
      </c>
      <c r="Y1691" s="5">
        <v>28.211099999999998</v>
      </c>
      <c r="Z1691" s="6">
        <v>1238</v>
      </c>
      <c r="AA1691" s="7" t="s">
        <v>3416</v>
      </c>
      <c r="AB1691" s="7" t="s">
        <v>3430</v>
      </c>
    </row>
    <row r="1692" spans="1:28" ht="21.75" customHeight="1" x14ac:dyDescent="0.2">
      <c r="A1692" s="7" t="s">
        <v>3176</v>
      </c>
      <c r="B1692" s="7" t="s">
        <v>3187</v>
      </c>
      <c r="C1692" s="7" t="s">
        <v>116</v>
      </c>
      <c r="D1692" s="7" t="s">
        <v>3411</v>
      </c>
      <c r="E1692" s="7" t="s">
        <v>280</v>
      </c>
      <c r="F1692" s="7" t="s">
        <v>212</v>
      </c>
      <c r="G1692" s="7" t="s">
        <v>3412</v>
      </c>
      <c r="H1692" s="1" t="s">
        <v>3408</v>
      </c>
      <c r="I1692" s="2">
        <v>3.6</v>
      </c>
      <c r="J1692" s="2" t="s">
        <v>4367</v>
      </c>
      <c r="K1692" s="2" t="s">
        <v>5713</v>
      </c>
      <c r="L1692" s="6">
        <v>800</v>
      </c>
      <c r="Q1692" s="2"/>
      <c r="R1692" s="7" t="s">
        <v>3395</v>
      </c>
      <c r="U1692" s="7" t="s">
        <v>3396</v>
      </c>
      <c r="V1692" s="7" t="s">
        <v>3831</v>
      </c>
      <c r="W1692" s="7" t="s">
        <v>3438</v>
      </c>
      <c r="X1692" s="5">
        <v>-15.524699999999999</v>
      </c>
      <c r="Y1692" s="5">
        <v>28.205100000000002</v>
      </c>
      <c r="Z1692" s="6">
        <v>1230</v>
      </c>
      <c r="AA1692" s="7" t="s">
        <v>3413</v>
      </c>
    </row>
    <row r="1693" spans="1:28" ht="21.75" customHeight="1" x14ac:dyDescent="0.2">
      <c r="A1693" s="7" t="s">
        <v>3176</v>
      </c>
      <c r="B1693" s="7" t="s">
        <v>3187</v>
      </c>
      <c r="C1693" s="7" t="s">
        <v>116</v>
      </c>
      <c r="D1693" s="7" t="s">
        <v>3415</v>
      </c>
      <c r="E1693" s="7" t="s">
        <v>280</v>
      </c>
      <c r="F1693" s="7" t="s">
        <v>212</v>
      </c>
      <c r="G1693" s="7" t="s">
        <v>3435</v>
      </c>
      <c r="H1693" s="1" t="s">
        <v>3414</v>
      </c>
      <c r="I1693" s="2">
        <v>2.1</v>
      </c>
      <c r="J1693" s="2" t="s">
        <v>4367</v>
      </c>
      <c r="K1693" s="2" t="s">
        <v>5713</v>
      </c>
      <c r="L1693" s="6">
        <v>800</v>
      </c>
      <c r="Q1693" s="2"/>
      <c r="R1693" s="7" t="s">
        <v>3395</v>
      </c>
      <c r="U1693" s="7" t="s">
        <v>3396</v>
      </c>
      <c r="V1693" s="7" t="s">
        <v>3831</v>
      </c>
      <c r="W1693" s="7" t="s">
        <v>3438</v>
      </c>
      <c r="X1693" s="5">
        <v>-15.5158</v>
      </c>
      <c r="Y1693" s="5">
        <v>28.2103</v>
      </c>
      <c r="Z1693" s="6">
        <v>1241</v>
      </c>
      <c r="AA1693" s="7" t="s">
        <v>3417</v>
      </c>
      <c r="AB1693" s="7" t="s">
        <v>3431</v>
      </c>
    </row>
    <row r="1694" spans="1:28" ht="21.75" customHeight="1" x14ac:dyDescent="0.2">
      <c r="A1694" s="7" t="s">
        <v>3176</v>
      </c>
      <c r="B1694" s="7" t="s">
        <v>3187</v>
      </c>
      <c r="C1694" s="7" t="s">
        <v>116</v>
      </c>
      <c r="D1694" s="7" t="s">
        <v>3433</v>
      </c>
      <c r="E1694" s="7" t="s">
        <v>280</v>
      </c>
      <c r="F1694" s="7" t="s">
        <v>212</v>
      </c>
      <c r="G1694" s="7" t="s">
        <v>3434</v>
      </c>
      <c r="H1694" s="1" t="s">
        <v>3432</v>
      </c>
      <c r="I1694" s="2">
        <v>2.8</v>
      </c>
      <c r="J1694" s="2" t="s">
        <v>4367</v>
      </c>
      <c r="K1694" s="2" t="s">
        <v>5713</v>
      </c>
      <c r="L1694" s="6">
        <v>800</v>
      </c>
      <c r="Q1694" s="2"/>
      <c r="R1694" s="7" t="s">
        <v>3395</v>
      </c>
      <c r="U1694" s="7" t="s">
        <v>3396</v>
      </c>
      <c r="V1694" s="7" t="s">
        <v>3831</v>
      </c>
      <c r="W1694" s="7" t="s">
        <v>3438</v>
      </c>
      <c r="X1694" s="5">
        <v>-15.52</v>
      </c>
      <c r="Y1694" s="5">
        <v>28.2105</v>
      </c>
      <c r="Z1694" s="6">
        <v>1238</v>
      </c>
      <c r="AA1694" s="7" t="s">
        <v>3436</v>
      </c>
      <c r="AB1694" s="7" t="s">
        <v>3437</v>
      </c>
    </row>
    <row r="1695" spans="1:28" ht="21.75" customHeight="1" x14ac:dyDescent="0.2">
      <c r="A1695" s="7" t="s">
        <v>3176</v>
      </c>
      <c r="B1695" s="7" t="s">
        <v>3187</v>
      </c>
      <c r="C1695" s="7" t="s">
        <v>116</v>
      </c>
      <c r="D1695" s="7" t="s">
        <v>3440</v>
      </c>
      <c r="E1695" s="7" t="s">
        <v>280</v>
      </c>
      <c r="F1695" s="7" t="s">
        <v>1302</v>
      </c>
      <c r="G1695" s="7" t="s">
        <v>3442</v>
      </c>
      <c r="H1695" s="1" t="s">
        <v>3439</v>
      </c>
      <c r="I1695" s="2">
        <v>2.2999999999999998</v>
      </c>
      <c r="J1695" s="2" t="s">
        <v>4367</v>
      </c>
      <c r="K1695" s="2" t="s">
        <v>5713</v>
      </c>
      <c r="L1695" s="6">
        <v>800</v>
      </c>
      <c r="Q1695" s="2"/>
      <c r="R1695" s="7" t="s">
        <v>3441</v>
      </c>
      <c r="U1695" s="7" t="s">
        <v>3396</v>
      </c>
      <c r="V1695" s="7" t="s">
        <v>3831</v>
      </c>
      <c r="W1695" s="7" t="s">
        <v>3438</v>
      </c>
      <c r="X1695" s="5">
        <v>-15.5167</v>
      </c>
      <c r="Y1695" s="5">
        <v>28.209099999999999</v>
      </c>
      <c r="Z1695" s="6">
        <v>1241</v>
      </c>
      <c r="AA1695" s="7" t="s">
        <v>3446</v>
      </c>
      <c r="AB1695" s="7" t="s">
        <v>3443</v>
      </c>
    </row>
    <row r="1696" spans="1:28" ht="21.75" customHeight="1" x14ac:dyDescent="0.2">
      <c r="A1696" s="7" t="s">
        <v>3176</v>
      </c>
      <c r="B1696" s="7" t="s">
        <v>3187</v>
      </c>
      <c r="C1696" s="7" t="s">
        <v>116</v>
      </c>
      <c r="D1696" s="7" t="s">
        <v>3445</v>
      </c>
      <c r="E1696" s="7" t="s">
        <v>280</v>
      </c>
      <c r="F1696" s="7" t="s">
        <v>1302</v>
      </c>
      <c r="G1696" s="7" t="s">
        <v>3448</v>
      </c>
      <c r="H1696" s="1" t="s">
        <v>3444</v>
      </c>
      <c r="I1696" s="2">
        <v>1.5</v>
      </c>
      <c r="J1696" s="2" t="s">
        <v>4367</v>
      </c>
      <c r="K1696" s="2" t="s">
        <v>5713</v>
      </c>
      <c r="L1696" s="6">
        <v>800</v>
      </c>
      <c r="Q1696" s="2"/>
      <c r="R1696" s="7" t="s">
        <v>3395</v>
      </c>
      <c r="U1696" s="7" t="s">
        <v>3396</v>
      </c>
      <c r="V1696" s="7" t="s">
        <v>3831</v>
      </c>
      <c r="W1696" s="7" t="s">
        <v>3438</v>
      </c>
      <c r="X1696" s="5">
        <v>-15.5191</v>
      </c>
      <c r="Y1696" s="5">
        <v>28.213899999999999</v>
      </c>
      <c r="Z1696" s="6">
        <v>1247</v>
      </c>
      <c r="AA1696" s="7" t="s">
        <v>3447</v>
      </c>
      <c r="AB1696" s="7" t="s">
        <v>3452</v>
      </c>
    </row>
    <row r="1697" spans="1:28" ht="21.75" customHeight="1" x14ac:dyDescent="0.2">
      <c r="A1697" s="7" t="s">
        <v>3176</v>
      </c>
      <c r="B1697" s="7" t="s">
        <v>3187</v>
      </c>
      <c r="C1697" s="7" t="s">
        <v>116</v>
      </c>
      <c r="D1697" s="7" t="s">
        <v>3450</v>
      </c>
      <c r="E1697" s="7" t="s">
        <v>280</v>
      </c>
      <c r="F1697" s="7" t="s">
        <v>1302</v>
      </c>
      <c r="G1697" s="7" t="s">
        <v>3449</v>
      </c>
      <c r="H1697" s="1" t="s">
        <v>1346</v>
      </c>
      <c r="I1697" s="2">
        <v>4</v>
      </c>
      <c r="J1697" s="2" t="s">
        <v>4367</v>
      </c>
      <c r="K1697" s="2" t="s">
        <v>5713</v>
      </c>
      <c r="L1697" s="6">
        <v>800</v>
      </c>
      <c r="Q1697" s="2"/>
      <c r="R1697" s="7" t="s">
        <v>3395</v>
      </c>
      <c r="U1697" s="7" t="s">
        <v>3396</v>
      </c>
      <c r="V1697" s="7" t="s">
        <v>3831</v>
      </c>
      <c r="W1697" s="7" t="s">
        <v>3438</v>
      </c>
      <c r="X1697" s="5">
        <v>-15.525</v>
      </c>
      <c r="Y1697" s="5">
        <v>28.203600000000002</v>
      </c>
      <c r="Z1697" s="6">
        <v>1227</v>
      </c>
      <c r="AA1697" s="7" t="s">
        <v>3451</v>
      </c>
      <c r="AB1697" s="7" t="s">
        <v>3453</v>
      </c>
    </row>
    <row r="1698" spans="1:28" ht="21.75" customHeight="1" x14ac:dyDescent="0.2">
      <c r="A1698" s="7" t="s">
        <v>3176</v>
      </c>
      <c r="B1698" s="7" t="s">
        <v>3187</v>
      </c>
      <c r="C1698" s="7" t="s">
        <v>116</v>
      </c>
      <c r="D1698" s="7" t="s">
        <v>3454</v>
      </c>
      <c r="E1698" s="7" t="s">
        <v>280</v>
      </c>
      <c r="F1698" s="7" t="s">
        <v>1302</v>
      </c>
      <c r="G1698" s="7" t="s">
        <v>3457</v>
      </c>
      <c r="H1698" s="1" t="s">
        <v>3455</v>
      </c>
      <c r="I1698" s="2">
        <v>2.8</v>
      </c>
      <c r="J1698" s="2" t="s">
        <v>4367</v>
      </c>
      <c r="K1698" s="2" t="s">
        <v>5713</v>
      </c>
      <c r="L1698" s="6">
        <v>800</v>
      </c>
      <c r="Q1698" s="2"/>
      <c r="R1698" s="7" t="s">
        <v>3395</v>
      </c>
      <c r="U1698" s="7" t="s">
        <v>3396</v>
      </c>
      <c r="V1698" s="7" t="s">
        <v>3831</v>
      </c>
      <c r="W1698" s="7" t="s">
        <v>3438</v>
      </c>
      <c r="X1698" s="5">
        <v>-15.522500000000001</v>
      </c>
      <c r="Y1698" s="5">
        <v>28.2118</v>
      </c>
      <c r="Z1698" s="6">
        <v>1238</v>
      </c>
      <c r="AA1698" s="7" t="s">
        <v>3456</v>
      </c>
      <c r="AB1698" s="7" t="s">
        <v>3460</v>
      </c>
    </row>
    <row r="1699" spans="1:28" ht="21.75" customHeight="1" x14ac:dyDescent="0.2">
      <c r="A1699" s="7" t="s">
        <v>3176</v>
      </c>
      <c r="B1699" s="7" t="s">
        <v>3187</v>
      </c>
      <c r="C1699" s="7" t="s">
        <v>116</v>
      </c>
      <c r="D1699" s="7" t="s">
        <v>3459</v>
      </c>
      <c r="E1699" s="7" t="s">
        <v>280</v>
      </c>
      <c r="F1699" s="7" t="s">
        <v>214</v>
      </c>
      <c r="H1699" s="1" t="s">
        <v>3458</v>
      </c>
      <c r="I1699" s="2">
        <v>2.8</v>
      </c>
      <c r="J1699" s="2" t="s">
        <v>4367</v>
      </c>
      <c r="K1699" s="2" t="s">
        <v>5713</v>
      </c>
      <c r="L1699" s="6">
        <v>800</v>
      </c>
      <c r="Q1699" s="2"/>
      <c r="R1699" s="7" t="s">
        <v>3441</v>
      </c>
      <c r="U1699" s="7" t="s">
        <v>3396</v>
      </c>
      <c r="V1699" s="7" t="s">
        <v>3831</v>
      </c>
      <c r="W1699" s="7" t="s">
        <v>3438</v>
      </c>
      <c r="X1699" s="5">
        <v>-15.5342</v>
      </c>
      <c r="Y1699" s="5">
        <v>28.1983</v>
      </c>
      <c r="Z1699" s="6">
        <v>1222</v>
      </c>
      <c r="AA1699" s="7" t="s">
        <v>3461</v>
      </c>
    </row>
    <row r="1700" spans="1:28" ht="21.75" customHeight="1" x14ac:dyDescent="0.2">
      <c r="A1700" s="7" t="s">
        <v>3176</v>
      </c>
      <c r="B1700" s="7" t="s">
        <v>3187</v>
      </c>
      <c r="C1700" s="7" t="s">
        <v>116</v>
      </c>
      <c r="D1700" s="7" t="s">
        <v>3467</v>
      </c>
      <c r="E1700" s="7" t="s">
        <v>280</v>
      </c>
      <c r="F1700" s="7" t="s">
        <v>212</v>
      </c>
      <c r="G1700" s="7" t="s">
        <v>3465</v>
      </c>
      <c r="H1700" s="1" t="s">
        <v>3463</v>
      </c>
      <c r="I1700" s="2">
        <v>3.3</v>
      </c>
      <c r="J1700" s="2" t="s">
        <v>4367</v>
      </c>
      <c r="K1700" s="2" t="s">
        <v>5713</v>
      </c>
      <c r="L1700" s="6">
        <v>800</v>
      </c>
      <c r="Q1700" s="2"/>
      <c r="R1700" s="7" t="s">
        <v>3395</v>
      </c>
      <c r="U1700" s="7" t="s">
        <v>3396</v>
      </c>
      <c r="V1700" s="7" t="s">
        <v>3831</v>
      </c>
      <c r="W1700" s="7" t="s">
        <v>3438</v>
      </c>
      <c r="X1700" s="5">
        <v>-15.5213</v>
      </c>
      <c r="Y1700" s="5">
        <v>28.203099999999999</v>
      </c>
      <c r="Z1700" s="6">
        <v>1235</v>
      </c>
      <c r="AA1700" s="7" t="s">
        <v>3464</v>
      </c>
      <c r="AB1700" s="7" t="s">
        <v>3466</v>
      </c>
    </row>
    <row r="1701" spans="1:28" ht="21.75" customHeight="1" x14ac:dyDescent="0.2">
      <c r="A1701" s="7" t="s">
        <v>3176</v>
      </c>
      <c r="B1701" s="7" t="s">
        <v>3187</v>
      </c>
      <c r="C1701" s="7" t="s">
        <v>116</v>
      </c>
      <c r="D1701" s="7" t="s">
        <v>3468</v>
      </c>
      <c r="E1701" s="7" t="s">
        <v>280</v>
      </c>
      <c r="F1701" s="7" t="s">
        <v>212</v>
      </c>
      <c r="G1701" s="7" t="s">
        <v>3465</v>
      </c>
      <c r="H1701" s="1" t="s">
        <v>3463</v>
      </c>
      <c r="I1701" s="2">
        <v>2.9</v>
      </c>
      <c r="J1701" s="2" t="s">
        <v>4367</v>
      </c>
      <c r="K1701" s="2" t="s">
        <v>5713</v>
      </c>
      <c r="L1701" s="6">
        <v>800</v>
      </c>
      <c r="Q1701" s="2"/>
      <c r="R1701" s="7" t="s">
        <v>3230</v>
      </c>
      <c r="W1701" s="7" t="s">
        <v>3438</v>
      </c>
      <c r="X1701" s="5">
        <v>-15.521000000000001</v>
      </c>
      <c r="Y1701" s="5">
        <v>28.2224</v>
      </c>
      <c r="Z1701" s="6">
        <v>1236</v>
      </c>
      <c r="AA1701" s="7" t="s">
        <v>3464</v>
      </c>
      <c r="AB1701" s="7" t="s">
        <v>3466</v>
      </c>
    </row>
    <row r="1702" spans="1:28" ht="21.75" customHeight="1" x14ac:dyDescent="0.2">
      <c r="A1702" s="7" t="s">
        <v>3176</v>
      </c>
      <c r="B1702" s="7" t="s">
        <v>3187</v>
      </c>
      <c r="C1702" s="7" t="s">
        <v>116</v>
      </c>
      <c r="D1702" s="7" t="s">
        <v>3469</v>
      </c>
      <c r="E1702" s="7" t="s">
        <v>280</v>
      </c>
      <c r="F1702" s="7" t="s">
        <v>214</v>
      </c>
      <c r="G1702" s="7" t="s">
        <v>3472</v>
      </c>
      <c r="H1702" s="1" t="s">
        <v>3471</v>
      </c>
      <c r="I1702" s="2">
        <v>2.9</v>
      </c>
      <c r="J1702" s="2" t="s">
        <v>4367</v>
      </c>
      <c r="K1702" s="2" t="s">
        <v>5713</v>
      </c>
      <c r="L1702" s="6">
        <v>800</v>
      </c>
      <c r="Q1702" s="2"/>
      <c r="R1702" s="7" t="s">
        <v>3395</v>
      </c>
      <c r="U1702" s="7" t="s">
        <v>3396</v>
      </c>
      <c r="V1702" s="7" t="s">
        <v>3831</v>
      </c>
      <c r="W1702" s="7" t="s">
        <v>3438</v>
      </c>
      <c r="X1702" s="5">
        <v>-15.518599999999999</v>
      </c>
      <c r="Y1702" s="5">
        <v>28.207899999999999</v>
      </c>
      <c r="Z1702" s="6">
        <v>1238</v>
      </c>
      <c r="AA1702" s="7" t="s">
        <v>3462</v>
      </c>
      <c r="AB1702" s="7" t="s">
        <v>3227</v>
      </c>
    </row>
    <row r="1703" spans="1:28" ht="21.75" customHeight="1" x14ac:dyDescent="0.2">
      <c r="A1703" s="7" t="s">
        <v>3176</v>
      </c>
      <c r="B1703" s="7" t="s">
        <v>3187</v>
      </c>
      <c r="C1703" s="7" t="s">
        <v>116</v>
      </c>
      <c r="D1703" s="7" t="s">
        <v>3470</v>
      </c>
      <c r="E1703" s="7" t="s">
        <v>280</v>
      </c>
      <c r="F1703" s="7" t="s">
        <v>214</v>
      </c>
      <c r="G1703" s="7" t="s">
        <v>3472</v>
      </c>
      <c r="H1703" s="1" t="s">
        <v>3471</v>
      </c>
      <c r="I1703" s="2">
        <v>1.5</v>
      </c>
      <c r="J1703" s="2" t="s">
        <v>4367</v>
      </c>
      <c r="K1703" s="2" t="s">
        <v>5713</v>
      </c>
      <c r="L1703" s="6">
        <v>800</v>
      </c>
      <c r="Q1703" s="2"/>
      <c r="R1703" s="7" t="s">
        <v>3441</v>
      </c>
      <c r="U1703" s="7" t="s">
        <v>3396</v>
      </c>
      <c r="V1703" s="7" t="s">
        <v>3831</v>
      </c>
      <c r="X1703" s="5">
        <v>-15.530900000000001</v>
      </c>
      <c r="Y1703" s="5">
        <v>28.2028</v>
      </c>
      <c r="Z1703" s="6">
        <v>1229</v>
      </c>
      <c r="AA1703" s="7" t="s">
        <v>3461</v>
      </c>
      <c r="AB1703" s="7" t="s">
        <v>3227</v>
      </c>
    </row>
    <row r="1704" spans="1:28" ht="21.75" customHeight="1" x14ac:dyDescent="0.2">
      <c r="A1704" s="7" t="s">
        <v>3176</v>
      </c>
      <c r="B1704" s="7" t="s">
        <v>3187</v>
      </c>
      <c r="C1704" s="7" t="s">
        <v>116</v>
      </c>
      <c r="D1704" s="7" t="s">
        <v>3477</v>
      </c>
      <c r="E1704" s="7" t="s">
        <v>280</v>
      </c>
      <c r="F1704" s="7" t="s">
        <v>214</v>
      </c>
      <c r="G1704" s="7" t="s">
        <v>3474</v>
      </c>
      <c r="H1704" s="1" t="s">
        <v>3473</v>
      </c>
      <c r="I1704" s="2">
        <v>1.9</v>
      </c>
      <c r="J1704" s="2" t="s">
        <v>4367</v>
      </c>
      <c r="K1704" s="2" t="s">
        <v>5713</v>
      </c>
      <c r="L1704" s="6">
        <v>800</v>
      </c>
      <c r="Q1704" s="2"/>
      <c r="R1704" s="7" t="s">
        <v>3395</v>
      </c>
      <c r="U1704" s="7" t="s">
        <v>3396</v>
      </c>
      <c r="V1704" s="7" t="s">
        <v>3831</v>
      </c>
      <c r="W1704" s="7" t="s">
        <v>3475</v>
      </c>
      <c r="X1704" s="5">
        <v>-15.515599999999999</v>
      </c>
      <c r="Y1704" s="5">
        <v>28.212399999999999</v>
      </c>
      <c r="Z1704" s="6">
        <v>1247</v>
      </c>
      <c r="AA1704" s="7" t="s">
        <v>3461</v>
      </c>
      <c r="AB1704" s="7" t="s">
        <v>3476</v>
      </c>
    </row>
    <row r="1705" spans="1:28" ht="21.75" customHeight="1" x14ac:dyDescent="0.2">
      <c r="A1705" s="7" t="s">
        <v>3176</v>
      </c>
      <c r="B1705" s="7" t="s">
        <v>3187</v>
      </c>
      <c r="C1705" s="7" t="s">
        <v>116</v>
      </c>
      <c r="D1705" s="7" t="s">
        <v>3478</v>
      </c>
      <c r="E1705" s="7" t="s">
        <v>5049</v>
      </c>
      <c r="F1705" s="7" t="s">
        <v>212</v>
      </c>
      <c r="G1705" s="7" t="s">
        <v>3483</v>
      </c>
      <c r="H1705" s="1" t="s">
        <v>3479</v>
      </c>
      <c r="I1705" s="2">
        <v>3.4</v>
      </c>
      <c r="J1705" s="2" t="s">
        <v>4367</v>
      </c>
      <c r="K1705" s="2" t="s">
        <v>5713</v>
      </c>
      <c r="L1705" s="6">
        <v>800</v>
      </c>
      <c r="Q1705" s="2"/>
      <c r="R1705" s="7" t="s">
        <v>3441</v>
      </c>
      <c r="U1705" s="7" t="s">
        <v>3396</v>
      </c>
      <c r="V1705" s="7" t="s">
        <v>3831</v>
      </c>
      <c r="W1705" s="7" t="s">
        <v>3482</v>
      </c>
      <c r="X1705" s="5">
        <v>-15.534000000000001</v>
      </c>
      <c r="Y1705" s="5">
        <v>28.197900000000001</v>
      </c>
      <c r="Z1705" s="6">
        <v>1221</v>
      </c>
      <c r="AA1705" s="7" t="s">
        <v>3481</v>
      </c>
      <c r="AB1705" s="7" t="s">
        <v>3480</v>
      </c>
    </row>
    <row r="1706" spans="1:28" ht="21.75" customHeight="1" x14ac:dyDescent="0.2">
      <c r="A1706" s="7" t="s">
        <v>3176</v>
      </c>
      <c r="B1706" s="7" t="s">
        <v>3187</v>
      </c>
      <c r="C1706" s="7" t="s">
        <v>116</v>
      </c>
      <c r="D1706" s="7" t="s">
        <v>3484</v>
      </c>
      <c r="E1706" s="7" t="s">
        <v>280</v>
      </c>
      <c r="F1706" s="7" t="s">
        <v>1302</v>
      </c>
      <c r="H1706" s="1" t="s">
        <v>3486</v>
      </c>
      <c r="I1706" s="2">
        <v>0.8</v>
      </c>
      <c r="J1706" s="2" t="s">
        <v>4367</v>
      </c>
      <c r="K1706" s="2" t="s">
        <v>5713</v>
      </c>
      <c r="L1706" s="6">
        <v>800</v>
      </c>
      <c r="Q1706" s="2"/>
      <c r="R1706" s="7" t="s">
        <v>3395</v>
      </c>
      <c r="U1706" s="7" t="s">
        <v>3396</v>
      </c>
      <c r="V1706" s="7" t="s">
        <v>3831</v>
      </c>
      <c r="W1706" s="7" t="s">
        <v>3438</v>
      </c>
      <c r="X1706" s="5">
        <v>-15.5219</v>
      </c>
      <c r="Y1706" s="5">
        <v>28.2148</v>
      </c>
      <c r="Z1706" s="6">
        <v>1249</v>
      </c>
      <c r="AA1706" s="7" t="s">
        <v>3462</v>
      </c>
      <c r="AB1706" s="7" t="s">
        <v>3487</v>
      </c>
    </row>
    <row r="1707" spans="1:28" ht="21.75" customHeight="1" x14ac:dyDescent="0.2">
      <c r="A1707" s="7" t="s">
        <v>3176</v>
      </c>
      <c r="B1707" s="7" t="s">
        <v>3187</v>
      </c>
      <c r="C1707" s="7" t="s">
        <v>116</v>
      </c>
      <c r="D1707" s="7" t="s">
        <v>3485</v>
      </c>
      <c r="E1707" s="7" t="s">
        <v>280</v>
      </c>
      <c r="F1707" s="7" t="s">
        <v>214</v>
      </c>
      <c r="H1707" s="1" t="s">
        <v>3488</v>
      </c>
      <c r="I1707" s="2">
        <v>0.7</v>
      </c>
      <c r="J1707" s="2" t="s">
        <v>4367</v>
      </c>
      <c r="K1707" s="2" t="s">
        <v>5713</v>
      </c>
      <c r="L1707" s="6">
        <v>800</v>
      </c>
      <c r="Q1707" s="2"/>
      <c r="R1707" s="7" t="s">
        <v>3489</v>
      </c>
      <c r="X1707" s="5">
        <v>-15.5505</v>
      </c>
      <c r="Y1707" s="5">
        <v>28.226099999999999</v>
      </c>
      <c r="Z1707" s="6">
        <v>1203</v>
      </c>
      <c r="AA1707" s="7" t="s">
        <v>3462</v>
      </c>
      <c r="AB1707" s="7" t="s">
        <v>3490</v>
      </c>
    </row>
    <row r="1708" spans="1:28" ht="21.75" customHeight="1" x14ac:dyDescent="0.2">
      <c r="A1708" s="7" t="s">
        <v>3176</v>
      </c>
      <c r="B1708" s="7" t="s">
        <v>3187</v>
      </c>
      <c r="C1708" s="7" t="s">
        <v>116</v>
      </c>
      <c r="D1708" s="7" t="s">
        <v>3493</v>
      </c>
      <c r="E1708" s="7" t="s">
        <v>280</v>
      </c>
      <c r="F1708" s="7" t="s">
        <v>214</v>
      </c>
      <c r="H1708" s="1" t="s">
        <v>3488</v>
      </c>
      <c r="I1708" s="2">
        <v>2.4</v>
      </c>
      <c r="J1708" s="2" t="s">
        <v>4367</v>
      </c>
      <c r="K1708" s="2" t="s">
        <v>5713</v>
      </c>
      <c r="L1708" s="6">
        <v>800</v>
      </c>
      <c r="Q1708" s="2"/>
      <c r="R1708" s="7" t="s">
        <v>3441</v>
      </c>
      <c r="U1708" s="7" t="s">
        <v>3396</v>
      </c>
      <c r="V1708" s="7" t="s">
        <v>3831</v>
      </c>
      <c r="X1708" s="5">
        <v>-15.5319</v>
      </c>
      <c r="Y1708" s="5">
        <v>28.1981</v>
      </c>
      <c r="Z1708" s="6">
        <v>1222</v>
      </c>
      <c r="AA1708" s="7" t="s">
        <v>3462</v>
      </c>
      <c r="AB1708" s="7" t="s">
        <v>3490</v>
      </c>
    </row>
    <row r="1709" spans="1:28" ht="21.75" customHeight="1" x14ac:dyDescent="0.2">
      <c r="A1709" s="7" t="s">
        <v>3176</v>
      </c>
      <c r="B1709" s="7" t="s">
        <v>3187</v>
      </c>
      <c r="C1709" s="7" t="s">
        <v>116</v>
      </c>
      <c r="D1709" s="7" t="s">
        <v>3492</v>
      </c>
      <c r="E1709" s="7" t="s">
        <v>280</v>
      </c>
      <c r="F1709" s="7" t="s">
        <v>212</v>
      </c>
      <c r="G1709" s="7" t="s">
        <v>3496</v>
      </c>
      <c r="H1709" s="1" t="s">
        <v>3491</v>
      </c>
      <c r="I1709" s="2">
        <v>2.5</v>
      </c>
      <c r="J1709" s="2" t="s">
        <v>4367</v>
      </c>
      <c r="K1709" s="2" t="s">
        <v>5713</v>
      </c>
      <c r="L1709" s="6">
        <v>800</v>
      </c>
      <c r="Q1709" s="2"/>
      <c r="R1709" s="7" t="s">
        <v>3395</v>
      </c>
      <c r="U1709" s="7" t="s">
        <v>3396</v>
      </c>
      <c r="V1709" s="7" t="s">
        <v>3831</v>
      </c>
      <c r="W1709" s="7" t="s">
        <v>3795</v>
      </c>
      <c r="X1709" s="5">
        <v>-15.517799999999999</v>
      </c>
      <c r="Y1709" s="5">
        <v>28.2105</v>
      </c>
      <c r="Z1709" s="6">
        <v>1239</v>
      </c>
      <c r="AA1709" s="7" t="s">
        <v>3494</v>
      </c>
      <c r="AB1709" s="7" t="s">
        <v>3495</v>
      </c>
    </row>
    <row r="1710" spans="1:28" ht="21.75" customHeight="1" x14ac:dyDescent="0.2">
      <c r="A1710" s="7" t="s">
        <v>3176</v>
      </c>
      <c r="B1710" s="7" t="s">
        <v>3187</v>
      </c>
      <c r="C1710" s="7" t="s">
        <v>116</v>
      </c>
      <c r="D1710" s="7" t="s">
        <v>3498</v>
      </c>
      <c r="E1710" s="7" t="s">
        <v>280</v>
      </c>
      <c r="F1710" s="7" t="s">
        <v>1302</v>
      </c>
      <c r="G1710" s="7" t="s">
        <v>3500</v>
      </c>
      <c r="H1710" s="1" t="s">
        <v>3497</v>
      </c>
      <c r="I1710" s="2">
        <v>1.6</v>
      </c>
      <c r="J1710" s="2" t="s">
        <v>4367</v>
      </c>
      <c r="K1710" s="2" t="s">
        <v>5713</v>
      </c>
      <c r="L1710" s="6">
        <v>800</v>
      </c>
      <c r="Q1710" s="2"/>
      <c r="R1710" s="7" t="s">
        <v>3441</v>
      </c>
      <c r="U1710" s="7" t="s">
        <v>3396</v>
      </c>
      <c r="V1710" s="7" t="s">
        <v>3831</v>
      </c>
      <c r="X1710" s="5">
        <v>-15.5311</v>
      </c>
      <c r="Y1710" s="5">
        <v>28.200299999999999</v>
      </c>
      <c r="Z1710" s="6">
        <v>1224</v>
      </c>
      <c r="AA1710" s="7" t="s">
        <v>3499</v>
      </c>
      <c r="AB1710" s="7" t="s">
        <v>3501</v>
      </c>
    </row>
    <row r="1711" spans="1:28" ht="21.75" customHeight="1" x14ac:dyDescent="0.2">
      <c r="A1711" s="7" t="s">
        <v>3176</v>
      </c>
      <c r="B1711" s="7" t="s">
        <v>3187</v>
      </c>
      <c r="C1711" s="7" t="s">
        <v>116</v>
      </c>
      <c r="D1711" s="7" t="s">
        <v>3504</v>
      </c>
      <c r="E1711" s="7" t="s">
        <v>280</v>
      </c>
      <c r="F1711" s="7" t="s">
        <v>212</v>
      </c>
      <c r="G1711" s="7" t="s">
        <v>3503</v>
      </c>
      <c r="H1711" s="1" t="s">
        <v>3502</v>
      </c>
      <c r="I1711" s="2">
        <v>2.1</v>
      </c>
      <c r="J1711" s="2" t="s">
        <v>4367</v>
      </c>
      <c r="K1711" s="2" t="s">
        <v>5713</v>
      </c>
      <c r="L1711" s="6">
        <v>800</v>
      </c>
      <c r="Q1711" s="2"/>
      <c r="R1711" s="7" t="s">
        <v>3441</v>
      </c>
      <c r="U1711" s="7" t="s">
        <v>3396</v>
      </c>
      <c r="V1711" s="7" t="s">
        <v>3831</v>
      </c>
      <c r="W1711" s="7" t="s">
        <v>3438</v>
      </c>
      <c r="X1711" s="5">
        <v>-15.5328</v>
      </c>
      <c r="Y1711" s="5">
        <v>28.1995</v>
      </c>
      <c r="Z1711" s="6">
        <v>1225</v>
      </c>
      <c r="AA1711" s="7" t="s">
        <v>3506</v>
      </c>
      <c r="AB1711" s="7" t="s">
        <v>3505</v>
      </c>
    </row>
    <row r="1712" spans="1:28" ht="21.75" customHeight="1" x14ac:dyDescent="0.2">
      <c r="A1712" s="7" t="s">
        <v>3176</v>
      </c>
      <c r="B1712" s="7" t="s">
        <v>3187</v>
      </c>
      <c r="C1712" s="7" t="s">
        <v>116</v>
      </c>
      <c r="D1712" s="7" t="s">
        <v>3508</v>
      </c>
      <c r="E1712" s="7" t="s">
        <v>280</v>
      </c>
      <c r="F1712" s="7" t="s">
        <v>214</v>
      </c>
      <c r="H1712" s="1" t="s">
        <v>3507</v>
      </c>
      <c r="I1712" s="2">
        <v>1.9</v>
      </c>
      <c r="J1712" s="2" t="s">
        <v>4367</v>
      </c>
      <c r="K1712" s="2" t="s">
        <v>5713</v>
      </c>
      <c r="L1712" s="6">
        <v>800</v>
      </c>
      <c r="Q1712" s="2"/>
      <c r="R1712" s="7" t="s">
        <v>3441</v>
      </c>
      <c r="U1712" s="7" t="s">
        <v>3396</v>
      </c>
      <c r="V1712" s="7" t="s">
        <v>3831</v>
      </c>
      <c r="W1712" s="7" t="s">
        <v>3509</v>
      </c>
      <c r="X1712" s="5">
        <v>-15.5335</v>
      </c>
      <c r="Y1712" s="5">
        <v>28.2013</v>
      </c>
      <c r="Z1712" s="6">
        <v>1225</v>
      </c>
      <c r="AA1712" s="7" t="s">
        <v>3510</v>
      </c>
      <c r="AB1712" s="7" t="s">
        <v>3511</v>
      </c>
    </row>
    <row r="1713" spans="1:28" ht="21.75" customHeight="1" x14ac:dyDescent="0.2">
      <c r="A1713" s="7" t="s">
        <v>3176</v>
      </c>
      <c r="B1713" s="7" t="s">
        <v>3187</v>
      </c>
      <c r="C1713" s="7" t="s">
        <v>116</v>
      </c>
      <c r="D1713" s="7" t="s">
        <v>3513</v>
      </c>
      <c r="E1713" s="7" t="s">
        <v>280</v>
      </c>
      <c r="F1713" s="7" t="s">
        <v>214</v>
      </c>
      <c r="G1713" s="7" t="s">
        <v>3515</v>
      </c>
      <c r="H1713" s="1" t="s">
        <v>3512</v>
      </c>
      <c r="I1713" s="2">
        <v>2.2000000000000002</v>
      </c>
      <c r="J1713" s="2" t="s">
        <v>4367</v>
      </c>
      <c r="K1713" s="2" t="s">
        <v>5713</v>
      </c>
      <c r="L1713" s="6">
        <v>800</v>
      </c>
      <c r="Q1713" s="2"/>
      <c r="R1713" s="7" t="s">
        <v>3514</v>
      </c>
      <c r="U1713" s="7" t="s">
        <v>3396</v>
      </c>
      <c r="V1713" s="7" t="s">
        <v>3831</v>
      </c>
      <c r="W1713" s="7" t="s">
        <v>3438</v>
      </c>
      <c r="X1713" s="5">
        <v>-15.527900000000001</v>
      </c>
      <c r="Y1713" s="5">
        <v>28.207899999999999</v>
      </c>
      <c r="Z1713" s="6">
        <v>1238</v>
      </c>
      <c r="AA1713" s="7" t="s">
        <v>3516</v>
      </c>
      <c r="AB1713" s="7" t="s">
        <v>3517</v>
      </c>
    </row>
    <row r="1714" spans="1:28" ht="21.75" customHeight="1" x14ac:dyDescent="0.2">
      <c r="A1714" s="7" t="s">
        <v>3176</v>
      </c>
      <c r="B1714" s="7" t="s">
        <v>3188</v>
      </c>
      <c r="C1714" s="7" t="s">
        <v>116</v>
      </c>
      <c r="D1714" s="7" t="s">
        <v>3519</v>
      </c>
      <c r="E1714" s="7" t="s">
        <v>280</v>
      </c>
      <c r="F1714" s="7" t="s">
        <v>1302</v>
      </c>
      <c r="G1714" s="7" t="s">
        <v>3521</v>
      </c>
      <c r="H1714" s="1" t="s">
        <v>3520</v>
      </c>
      <c r="I1714" s="2">
        <v>1.6</v>
      </c>
      <c r="J1714" s="2" t="s">
        <v>4367</v>
      </c>
      <c r="K1714" s="2" t="s">
        <v>5713</v>
      </c>
      <c r="L1714" s="6">
        <v>460</v>
      </c>
      <c r="Q1714" s="2"/>
      <c r="R1714" s="7" t="s">
        <v>3518</v>
      </c>
      <c r="X1714" s="5">
        <v>-21.350300000000001</v>
      </c>
      <c r="Y1714" s="5">
        <v>29.019500000000001</v>
      </c>
      <c r="Z1714" s="6">
        <v>817</v>
      </c>
      <c r="AA1714" s="7" t="s">
        <v>3799</v>
      </c>
      <c r="AB1714" s="7" t="s">
        <v>3522</v>
      </c>
    </row>
    <row r="1715" spans="1:28" ht="21.75" customHeight="1" x14ac:dyDescent="0.2">
      <c r="A1715" s="7" t="s">
        <v>3176</v>
      </c>
      <c r="B1715" s="7" t="s">
        <v>3188</v>
      </c>
      <c r="C1715" s="7" t="s">
        <v>116</v>
      </c>
      <c r="D1715" s="7" t="s">
        <v>3527</v>
      </c>
      <c r="E1715" s="7" t="s">
        <v>5049</v>
      </c>
      <c r="F1715" s="7" t="s">
        <v>1302</v>
      </c>
      <c r="G1715" s="7" t="s">
        <v>3524</v>
      </c>
      <c r="H1715" s="1" t="s">
        <v>3523</v>
      </c>
      <c r="I1715" s="2">
        <v>1.1000000000000001</v>
      </c>
      <c r="J1715" s="2" t="s">
        <v>4367</v>
      </c>
      <c r="K1715" s="2" t="s">
        <v>5713</v>
      </c>
      <c r="L1715" s="6">
        <v>460</v>
      </c>
      <c r="Q1715" s="2"/>
      <c r="R1715" s="7" t="s">
        <v>3525</v>
      </c>
      <c r="U1715" s="7" t="s">
        <v>878</v>
      </c>
      <c r="V1715" s="7" t="s">
        <v>3832</v>
      </c>
      <c r="X1715" s="5">
        <v>-21.35</v>
      </c>
      <c r="Y1715" s="5">
        <v>29.026199999999999</v>
      </c>
      <c r="Z1715" s="6">
        <v>823</v>
      </c>
      <c r="AA1715" s="7" t="s">
        <v>3800</v>
      </c>
      <c r="AB1715" s="7" t="s">
        <v>3526</v>
      </c>
    </row>
    <row r="1716" spans="1:28" ht="21.75" customHeight="1" x14ac:dyDescent="0.2">
      <c r="A1716" s="7" t="s">
        <v>3176</v>
      </c>
      <c r="B1716" s="7" t="s">
        <v>3188</v>
      </c>
      <c r="C1716" s="7" t="s">
        <v>116</v>
      </c>
      <c r="D1716" s="7" t="s">
        <v>3529</v>
      </c>
      <c r="E1716" s="7" t="s">
        <v>280</v>
      </c>
      <c r="F1716" s="7" t="s">
        <v>1302</v>
      </c>
      <c r="G1716" s="7" t="s">
        <v>3530</v>
      </c>
      <c r="H1716" s="1" t="s">
        <v>3528</v>
      </c>
      <c r="I1716" s="2">
        <v>0.9</v>
      </c>
      <c r="J1716" s="2" t="s">
        <v>4367</v>
      </c>
      <c r="K1716" s="2" t="s">
        <v>5713</v>
      </c>
      <c r="L1716" s="6">
        <v>460</v>
      </c>
      <c r="Q1716" s="2"/>
      <c r="R1716" s="7" t="s">
        <v>3518</v>
      </c>
      <c r="X1716" s="5">
        <v>-21.338999999999999</v>
      </c>
      <c r="Y1716" s="5">
        <v>29.005800000000001</v>
      </c>
      <c r="Z1716" s="6">
        <v>818</v>
      </c>
      <c r="AA1716" s="7" t="s">
        <v>3801</v>
      </c>
      <c r="AB1716" s="7" t="s">
        <v>3805</v>
      </c>
    </row>
    <row r="1717" spans="1:28" ht="21.75" customHeight="1" x14ac:dyDescent="0.2">
      <c r="A1717" s="7" t="s">
        <v>3176</v>
      </c>
      <c r="B1717" s="7" t="s">
        <v>3188</v>
      </c>
      <c r="C1717" s="7" t="s">
        <v>116</v>
      </c>
      <c r="D1717" s="7" t="s">
        <v>3533</v>
      </c>
      <c r="E1717" s="7" t="s">
        <v>280</v>
      </c>
      <c r="F1717" s="7" t="s">
        <v>1302</v>
      </c>
      <c r="G1717" s="7" t="s">
        <v>3532</v>
      </c>
      <c r="H1717" s="1" t="s">
        <v>3531</v>
      </c>
      <c r="I1717" s="2">
        <v>0.7</v>
      </c>
      <c r="J1717" s="2" t="s">
        <v>4367</v>
      </c>
      <c r="K1717" s="2" t="s">
        <v>5713</v>
      </c>
      <c r="L1717" s="6">
        <v>460</v>
      </c>
      <c r="Q1717" s="2"/>
      <c r="R1717" s="7" t="s">
        <v>3525</v>
      </c>
      <c r="U1717" s="7" t="s">
        <v>878</v>
      </c>
      <c r="V1717" s="7" t="s">
        <v>3832</v>
      </c>
      <c r="X1717" s="5">
        <v>-21.345099999999999</v>
      </c>
      <c r="Y1717" s="5">
        <v>29.0303</v>
      </c>
      <c r="Z1717" s="6">
        <v>829</v>
      </c>
      <c r="AA1717" s="7" t="s">
        <v>3802</v>
      </c>
    </row>
    <row r="1718" spans="1:28" ht="21.75" customHeight="1" x14ac:dyDescent="0.2">
      <c r="A1718" s="7" t="s">
        <v>3176</v>
      </c>
      <c r="B1718" s="7" t="s">
        <v>3188</v>
      </c>
      <c r="C1718" s="7" t="s">
        <v>116</v>
      </c>
      <c r="D1718" s="7" t="s">
        <v>3534</v>
      </c>
      <c r="E1718" s="7" t="s">
        <v>280</v>
      </c>
      <c r="F1718" s="7" t="s">
        <v>1302</v>
      </c>
      <c r="G1718" s="7" t="s">
        <v>3536</v>
      </c>
      <c r="H1718" s="1" t="s">
        <v>3535</v>
      </c>
      <c r="I1718" s="2">
        <v>1.1000000000000001</v>
      </c>
      <c r="J1718" s="2" t="s">
        <v>4367</v>
      </c>
      <c r="K1718" s="2" t="s">
        <v>5713</v>
      </c>
      <c r="L1718" s="6">
        <v>460</v>
      </c>
      <c r="Q1718" s="2"/>
      <c r="R1718" s="7" t="s">
        <v>3518</v>
      </c>
      <c r="X1718" s="5">
        <v>-21.335899999999999</v>
      </c>
      <c r="Y1718" s="5">
        <v>29.0185</v>
      </c>
      <c r="Z1718" s="6">
        <v>822</v>
      </c>
      <c r="AA1718" s="7" t="s">
        <v>3803</v>
      </c>
    </row>
    <row r="1719" spans="1:28" ht="21.75" customHeight="1" x14ac:dyDescent="0.2">
      <c r="A1719" s="7" t="s">
        <v>3176</v>
      </c>
      <c r="B1719" s="7" t="s">
        <v>3188</v>
      </c>
      <c r="C1719" s="7" t="s">
        <v>116</v>
      </c>
      <c r="D1719" s="7" t="s">
        <v>3537</v>
      </c>
      <c r="E1719" s="7" t="s">
        <v>280</v>
      </c>
      <c r="F1719" s="7" t="s">
        <v>212</v>
      </c>
      <c r="G1719" s="7" t="s">
        <v>3540</v>
      </c>
      <c r="H1719" s="1" t="s">
        <v>3539</v>
      </c>
      <c r="I1719" s="2">
        <v>1.1000000000000001</v>
      </c>
      <c r="J1719" s="2" t="s">
        <v>4367</v>
      </c>
      <c r="K1719" s="2" t="s">
        <v>5713</v>
      </c>
      <c r="L1719" s="6">
        <v>460</v>
      </c>
      <c r="Q1719" s="2"/>
      <c r="R1719" s="7" t="s">
        <v>3518</v>
      </c>
      <c r="X1719" s="5">
        <v>-21.342099999999999</v>
      </c>
      <c r="Y1719" s="5">
        <v>29.0092</v>
      </c>
      <c r="Z1719" s="6">
        <v>817</v>
      </c>
      <c r="AA1719" s="7" t="s">
        <v>3804</v>
      </c>
    </row>
    <row r="1720" spans="1:28" ht="21.75" customHeight="1" x14ac:dyDescent="0.2">
      <c r="A1720" s="7" t="s">
        <v>3176</v>
      </c>
      <c r="B1720" s="7" t="s">
        <v>3188</v>
      </c>
      <c r="C1720" s="7" t="s">
        <v>116</v>
      </c>
      <c r="D1720" s="7" t="s">
        <v>3538</v>
      </c>
      <c r="E1720" s="7" t="s">
        <v>280</v>
      </c>
      <c r="F1720" s="7" t="s">
        <v>212</v>
      </c>
      <c r="G1720" s="7" t="s">
        <v>3541</v>
      </c>
      <c r="H1720" s="1" t="s">
        <v>1348</v>
      </c>
      <c r="I1720" s="2">
        <v>2</v>
      </c>
      <c r="J1720" s="2" t="s">
        <v>4367</v>
      </c>
      <c r="K1720" s="2" t="s">
        <v>5713</v>
      </c>
      <c r="L1720" s="6">
        <v>460</v>
      </c>
      <c r="Q1720" s="2"/>
      <c r="R1720" s="7" t="s">
        <v>3518</v>
      </c>
      <c r="X1720" s="5">
        <v>-21.353400000000001</v>
      </c>
      <c r="Y1720" s="5">
        <v>29.0108</v>
      </c>
      <c r="Z1720" s="6">
        <v>808</v>
      </c>
      <c r="AA1720" s="7" t="s">
        <v>3801</v>
      </c>
    </row>
    <row r="1721" spans="1:28" ht="21.75" customHeight="1" x14ac:dyDescent="0.2">
      <c r="A1721" s="7" t="s">
        <v>3176</v>
      </c>
      <c r="B1721" s="7" t="s">
        <v>3189</v>
      </c>
      <c r="C1721" s="7" t="s">
        <v>116</v>
      </c>
      <c r="D1721" s="7" t="s">
        <v>3542</v>
      </c>
      <c r="E1721" s="7" t="s">
        <v>280</v>
      </c>
      <c r="F1721" s="7" t="s">
        <v>214</v>
      </c>
      <c r="G1721" s="7" t="s">
        <v>3544</v>
      </c>
      <c r="H1721" s="1" t="s">
        <v>3543</v>
      </c>
      <c r="I1721" s="2">
        <v>1</v>
      </c>
      <c r="J1721" s="2" t="s">
        <v>4367</v>
      </c>
      <c r="K1721" s="2" t="s">
        <v>5713</v>
      </c>
      <c r="L1721" s="6">
        <v>580</v>
      </c>
      <c r="Q1721" s="2"/>
      <c r="R1721" s="7" t="s">
        <v>3833</v>
      </c>
      <c r="X1721" s="5">
        <v>-19.946899999999999</v>
      </c>
      <c r="Y1721" s="5">
        <v>28.177199999999999</v>
      </c>
      <c r="Z1721" s="6">
        <v>1209</v>
      </c>
      <c r="AA1721" s="7" t="s">
        <v>3807</v>
      </c>
    </row>
    <row r="1722" spans="1:28" ht="21.75" customHeight="1" x14ac:dyDescent="0.2">
      <c r="A1722" s="7" t="s">
        <v>3176</v>
      </c>
      <c r="B1722" s="7" t="s">
        <v>3189</v>
      </c>
      <c r="C1722" s="7" t="s">
        <v>116</v>
      </c>
      <c r="D1722" s="7" t="s">
        <v>3546</v>
      </c>
      <c r="E1722" s="7" t="s">
        <v>280</v>
      </c>
      <c r="F1722" s="7" t="s">
        <v>212</v>
      </c>
      <c r="G1722" s="7" t="s">
        <v>3547</v>
      </c>
      <c r="H1722" s="1" t="s">
        <v>3035</v>
      </c>
      <c r="I1722" s="2">
        <v>0.95</v>
      </c>
      <c r="J1722" s="2" t="s">
        <v>4367</v>
      </c>
      <c r="K1722" s="2" t="s">
        <v>5713</v>
      </c>
      <c r="L1722" s="6">
        <v>580</v>
      </c>
      <c r="Q1722" s="2"/>
      <c r="R1722" s="7" t="s">
        <v>3833</v>
      </c>
      <c r="X1722" s="5">
        <v>-19.9511</v>
      </c>
      <c r="Y1722" s="5">
        <v>28.186800000000002</v>
      </c>
      <c r="Z1722" s="6">
        <v>1226</v>
      </c>
      <c r="AA1722" s="7" t="s">
        <v>3548</v>
      </c>
      <c r="AB1722" s="7" t="s">
        <v>3549</v>
      </c>
    </row>
    <row r="1723" spans="1:28" ht="21.75" customHeight="1" x14ac:dyDescent="0.2">
      <c r="A1723" s="7" t="s">
        <v>3176</v>
      </c>
      <c r="B1723" s="7" t="s">
        <v>3189</v>
      </c>
      <c r="C1723" s="7" t="s">
        <v>116</v>
      </c>
      <c r="D1723" s="7" t="s">
        <v>3550</v>
      </c>
      <c r="E1723" s="7" t="s">
        <v>5049</v>
      </c>
      <c r="F1723" s="7" t="s">
        <v>1302</v>
      </c>
      <c r="G1723" s="7" t="s">
        <v>3524</v>
      </c>
      <c r="H1723" s="1" t="s">
        <v>3523</v>
      </c>
      <c r="I1723" s="2">
        <v>1.3</v>
      </c>
      <c r="J1723" s="2" t="s">
        <v>4367</v>
      </c>
      <c r="K1723" s="2" t="s">
        <v>5713</v>
      </c>
      <c r="L1723" s="6">
        <v>580</v>
      </c>
      <c r="Q1723" s="2"/>
      <c r="R1723" s="7" t="s">
        <v>3833</v>
      </c>
      <c r="X1723" s="5">
        <v>-19.950399999999998</v>
      </c>
      <c r="Y1723" s="5">
        <v>28.182600000000001</v>
      </c>
      <c r="Z1723" s="6">
        <v>1219</v>
      </c>
      <c r="AA1723" s="7" t="s">
        <v>3806</v>
      </c>
      <c r="AB1723" s="7" t="s">
        <v>3551</v>
      </c>
    </row>
    <row r="1724" spans="1:28" ht="21.75" customHeight="1" x14ac:dyDescent="0.2">
      <c r="A1724" s="7" t="s">
        <v>3176</v>
      </c>
      <c r="B1724" s="7" t="s">
        <v>3189</v>
      </c>
      <c r="C1724" s="7" t="s">
        <v>116</v>
      </c>
      <c r="D1724" s="7" t="s">
        <v>3552</v>
      </c>
      <c r="E1724" s="7" t="s">
        <v>5049</v>
      </c>
      <c r="F1724" s="7" t="s">
        <v>1302</v>
      </c>
      <c r="G1724" s="7" t="s">
        <v>3554</v>
      </c>
      <c r="H1724" s="1" t="s">
        <v>3553</v>
      </c>
      <c r="I1724" s="2">
        <v>2.6</v>
      </c>
      <c r="J1724" s="2" t="s">
        <v>4367</v>
      </c>
      <c r="K1724" s="2" t="s">
        <v>5713</v>
      </c>
      <c r="L1724" s="6">
        <v>580</v>
      </c>
      <c r="Q1724" s="2"/>
      <c r="R1724" s="7" t="s">
        <v>3833</v>
      </c>
      <c r="X1724" s="5">
        <v>-19.972000000000001</v>
      </c>
      <c r="Y1724" s="5">
        <v>28.166899999999998</v>
      </c>
      <c r="Z1724" s="6">
        <v>1202</v>
      </c>
      <c r="AA1724" s="7" t="s">
        <v>3808</v>
      </c>
      <c r="AB1724" s="7" t="s">
        <v>3555</v>
      </c>
    </row>
    <row r="1725" spans="1:28" ht="21.75" customHeight="1" x14ac:dyDescent="0.2">
      <c r="A1725" s="7" t="s">
        <v>3176</v>
      </c>
      <c r="B1725" s="7" t="s">
        <v>3189</v>
      </c>
      <c r="C1725" s="7" t="s">
        <v>116</v>
      </c>
      <c r="D1725" s="7" t="s">
        <v>3558</v>
      </c>
      <c r="E1725" s="7" t="s">
        <v>5049</v>
      </c>
      <c r="F1725" s="7" t="s">
        <v>212</v>
      </c>
      <c r="G1725" s="7" t="s">
        <v>3557</v>
      </c>
      <c r="H1725" s="1" t="s">
        <v>3556</v>
      </c>
      <c r="I1725" s="2">
        <v>1.2</v>
      </c>
      <c r="J1725" s="2" t="s">
        <v>4367</v>
      </c>
      <c r="K1725" s="2" t="s">
        <v>5713</v>
      </c>
      <c r="L1725" s="6">
        <v>580</v>
      </c>
      <c r="Q1725" s="2"/>
      <c r="R1725" s="7" t="s">
        <v>3833</v>
      </c>
      <c r="X1725" s="5">
        <v>-19.956</v>
      </c>
      <c r="Y1725" s="5">
        <v>28.177399999999999</v>
      </c>
      <c r="Z1725" s="6">
        <v>1224</v>
      </c>
      <c r="AA1725" s="7" t="s">
        <v>3809</v>
      </c>
    </row>
    <row r="1726" spans="1:28" ht="21.75" customHeight="1" x14ac:dyDescent="0.2">
      <c r="A1726" s="7" t="s">
        <v>3176</v>
      </c>
      <c r="B1726" s="7" t="s">
        <v>3189</v>
      </c>
      <c r="C1726" s="7" t="s">
        <v>116</v>
      </c>
      <c r="D1726" s="7" t="s">
        <v>3560</v>
      </c>
      <c r="E1726" s="7" t="s">
        <v>5049</v>
      </c>
      <c r="F1726" s="7" t="s">
        <v>212</v>
      </c>
      <c r="G1726" s="7" t="s">
        <v>3561</v>
      </c>
      <c r="H1726" s="1" t="s">
        <v>3559</v>
      </c>
      <c r="I1726" s="2">
        <v>0.7</v>
      </c>
      <c r="J1726" s="2" t="s">
        <v>4367</v>
      </c>
      <c r="K1726" s="2" t="s">
        <v>5713</v>
      </c>
      <c r="L1726" s="6">
        <v>580</v>
      </c>
      <c r="Q1726" s="2"/>
      <c r="R1726" s="7" t="s">
        <v>3833</v>
      </c>
      <c r="X1726" s="5">
        <v>-19.958300000000001</v>
      </c>
      <c r="Y1726" s="5">
        <v>28.186499999999999</v>
      </c>
      <c r="Z1726" s="6">
        <v>1242</v>
      </c>
      <c r="AA1726" s="7" t="s">
        <v>3810</v>
      </c>
      <c r="AB1726" s="7" t="s">
        <v>3562</v>
      </c>
    </row>
    <row r="1727" spans="1:28" ht="21.75" customHeight="1" x14ac:dyDescent="0.2">
      <c r="A1727" s="7" t="s">
        <v>3176</v>
      </c>
      <c r="B1727" s="7" t="s">
        <v>3189</v>
      </c>
      <c r="C1727" s="7" t="s">
        <v>116</v>
      </c>
      <c r="D1727" s="7" t="s">
        <v>3563</v>
      </c>
      <c r="E1727" s="7" t="s">
        <v>280</v>
      </c>
      <c r="F1727" s="7" t="s">
        <v>212</v>
      </c>
      <c r="G1727" s="7" t="s">
        <v>3272</v>
      </c>
      <c r="H1727" s="1" t="s">
        <v>1346</v>
      </c>
      <c r="I1727" s="2">
        <v>1.9</v>
      </c>
      <c r="J1727" s="2" t="s">
        <v>4367</v>
      </c>
      <c r="K1727" s="2" t="s">
        <v>5713</v>
      </c>
      <c r="L1727" s="6">
        <v>580</v>
      </c>
      <c r="Q1727" s="2"/>
      <c r="R1727" s="7" t="s">
        <v>3833</v>
      </c>
      <c r="X1727" s="5">
        <v>-19.967099999999999</v>
      </c>
      <c r="Y1727" s="5">
        <v>28.170300000000001</v>
      </c>
      <c r="Z1727" s="6">
        <v>1210</v>
      </c>
      <c r="AA1727" s="7" t="s">
        <v>3811</v>
      </c>
      <c r="AB1727" s="7" t="s">
        <v>3564</v>
      </c>
    </row>
    <row r="1728" spans="1:28" ht="21.75" customHeight="1" x14ac:dyDescent="0.2">
      <c r="A1728" s="7" t="s">
        <v>3176</v>
      </c>
      <c r="B1728" s="7" t="s">
        <v>3189</v>
      </c>
      <c r="C1728" s="7" t="s">
        <v>116</v>
      </c>
      <c r="D1728" s="7" t="s">
        <v>3567</v>
      </c>
      <c r="E1728" s="7" t="s">
        <v>280</v>
      </c>
      <c r="F1728" s="7" t="s">
        <v>1302</v>
      </c>
      <c r="G1728" s="7" t="s">
        <v>3566</v>
      </c>
      <c r="H1728" s="1" t="s">
        <v>3565</v>
      </c>
      <c r="I1728" s="2">
        <v>1.1000000000000001</v>
      </c>
      <c r="J1728" s="2" t="s">
        <v>4367</v>
      </c>
      <c r="K1728" s="2" t="s">
        <v>5713</v>
      </c>
      <c r="L1728" s="6">
        <v>580</v>
      </c>
      <c r="Q1728" s="2"/>
      <c r="R1728" s="7" t="s">
        <v>3833</v>
      </c>
      <c r="X1728" s="5">
        <v>-19.954699999999999</v>
      </c>
      <c r="Y1728" s="5">
        <v>28.180499999999999</v>
      </c>
      <c r="Z1728" s="6">
        <v>1227</v>
      </c>
      <c r="AA1728" s="7" t="s">
        <v>3812</v>
      </c>
    </row>
    <row r="1729" spans="1:28" ht="21.75" customHeight="1" x14ac:dyDescent="0.2">
      <c r="A1729" s="7" t="s">
        <v>3176</v>
      </c>
      <c r="B1729" s="7" t="s">
        <v>3189</v>
      </c>
      <c r="C1729" s="7" t="s">
        <v>116</v>
      </c>
      <c r="D1729" s="7" t="s">
        <v>3568</v>
      </c>
      <c r="E1729" s="7" t="s">
        <v>280</v>
      </c>
      <c r="F1729" s="7" t="s">
        <v>1302</v>
      </c>
      <c r="G1729" s="7" t="s">
        <v>3536</v>
      </c>
      <c r="H1729" s="1" t="s">
        <v>3569</v>
      </c>
      <c r="I1729" s="2">
        <v>0.9</v>
      </c>
      <c r="J1729" s="2" t="s">
        <v>4367</v>
      </c>
      <c r="K1729" s="2" t="s">
        <v>5713</v>
      </c>
      <c r="L1729" s="6">
        <v>580</v>
      </c>
      <c r="Q1729" s="2"/>
      <c r="R1729" s="7" t="s">
        <v>3833</v>
      </c>
      <c r="X1729" s="5">
        <v>-19.9573</v>
      </c>
      <c r="Y1729" s="5">
        <v>28.181799999999999</v>
      </c>
      <c r="Z1729" s="6">
        <v>1235</v>
      </c>
      <c r="AA1729" s="7" t="s">
        <v>3809</v>
      </c>
    </row>
    <row r="1730" spans="1:28" ht="21.75" customHeight="1" x14ac:dyDescent="0.2">
      <c r="A1730" s="7" t="s">
        <v>3176</v>
      </c>
      <c r="B1730" s="7" t="s">
        <v>3189</v>
      </c>
      <c r="C1730" s="7" t="s">
        <v>116</v>
      </c>
      <c r="D1730" s="7" t="s">
        <v>3571</v>
      </c>
      <c r="E1730" s="7" t="s">
        <v>280</v>
      </c>
      <c r="F1730" s="7" t="s">
        <v>1302</v>
      </c>
      <c r="G1730" s="7" t="s">
        <v>3572</v>
      </c>
      <c r="H1730" s="1" t="s">
        <v>3570</v>
      </c>
      <c r="I1730" s="2">
        <v>0.8</v>
      </c>
      <c r="J1730" s="2" t="s">
        <v>4367</v>
      </c>
      <c r="K1730" s="2" t="s">
        <v>5713</v>
      </c>
      <c r="L1730" s="6">
        <v>580</v>
      </c>
      <c r="Q1730" s="2"/>
      <c r="R1730" s="7" t="s">
        <v>3833</v>
      </c>
      <c r="X1730" s="5">
        <v>-19.955500000000001</v>
      </c>
      <c r="Y1730" s="5">
        <v>28.185400000000001</v>
      </c>
      <c r="Z1730" s="6">
        <v>1237</v>
      </c>
      <c r="AA1730" s="7" t="s">
        <v>3813</v>
      </c>
      <c r="AB1730" s="7" t="s">
        <v>3573</v>
      </c>
    </row>
    <row r="1731" spans="1:28" ht="21.75" customHeight="1" x14ac:dyDescent="0.2">
      <c r="A1731" s="7" t="s">
        <v>3176</v>
      </c>
      <c r="B1731" s="7" t="s">
        <v>3189</v>
      </c>
      <c r="C1731" s="7" t="s">
        <v>116</v>
      </c>
      <c r="D1731" s="7" t="s">
        <v>3574</v>
      </c>
      <c r="E1731" s="7" t="s">
        <v>280</v>
      </c>
      <c r="F1731" s="7" t="s">
        <v>1302</v>
      </c>
      <c r="G1731" s="7" t="s">
        <v>3040</v>
      </c>
      <c r="H1731" s="1" t="s">
        <v>3036</v>
      </c>
      <c r="I1731" s="2">
        <v>1.2</v>
      </c>
      <c r="J1731" s="2" t="s">
        <v>4367</v>
      </c>
      <c r="K1731" s="2" t="s">
        <v>5713</v>
      </c>
      <c r="L1731" s="6">
        <v>580</v>
      </c>
      <c r="Q1731" s="2"/>
      <c r="R1731" s="7" t="s">
        <v>3833</v>
      </c>
      <c r="X1731" s="5">
        <v>-19.9496</v>
      </c>
      <c r="Y1731" s="5">
        <v>28.188300000000002</v>
      </c>
      <c r="Z1731" s="6">
        <v>1223</v>
      </c>
      <c r="AA1731" s="7" t="s">
        <v>3814</v>
      </c>
      <c r="AB1731" s="7" t="s">
        <v>3575</v>
      </c>
    </row>
    <row r="1732" spans="1:28" ht="21.75" customHeight="1" x14ac:dyDescent="0.2">
      <c r="A1732" s="7" t="s">
        <v>3176</v>
      </c>
      <c r="B1732" s="7" t="s">
        <v>3189</v>
      </c>
      <c r="C1732" s="7" t="s">
        <v>116</v>
      </c>
      <c r="D1732" s="7" t="s">
        <v>3576</v>
      </c>
      <c r="E1732" s="7" t="s">
        <v>280</v>
      </c>
      <c r="F1732" s="7" t="s">
        <v>1302</v>
      </c>
      <c r="G1732" s="7" t="s">
        <v>3349</v>
      </c>
      <c r="H1732" s="1" t="s">
        <v>3348</v>
      </c>
      <c r="I1732" s="2">
        <v>1.6</v>
      </c>
      <c r="J1732" s="2" t="s">
        <v>4367</v>
      </c>
      <c r="K1732" s="2" t="s">
        <v>5713</v>
      </c>
      <c r="L1732" s="6">
        <v>580</v>
      </c>
      <c r="Q1732" s="2"/>
      <c r="R1732" s="7" t="s">
        <v>3833</v>
      </c>
      <c r="X1732" s="5">
        <v>-19.9603</v>
      </c>
      <c r="Y1732" s="5">
        <v>28.1755</v>
      </c>
      <c r="Z1732" s="6">
        <v>1220</v>
      </c>
      <c r="AA1732" s="7" t="s">
        <v>3815</v>
      </c>
    </row>
    <row r="1733" spans="1:28" ht="21.75" customHeight="1" x14ac:dyDescent="0.2">
      <c r="A1733" s="7" t="s">
        <v>3176</v>
      </c>
      <c r="B1733" s="7" t="s">
        <v>3189</v>
      </c>
      <c r="C1733" s="7" t="s">
        <v>116</v>
      </c>
      <c r="D1733" s="7" t="s">
        <v>3577</v>
      </c>
      <c r="E1733" s="7" t="s">
        <v>280</v>
      </c>
      <c r="F1733" s="7" t="s">
        <v>212</v>
      </c>
      <c r="G1733" s="7" t="s">
        <v>3579</v>
      </c>
      <c r="H1733" s="1" t="s">
        <v>3578</v>
      </c>
      <c r="I1733" s="2">
        <v>1.4</v>
      </c>
      <c r="J1733" s="2" t="s">
        <v>4367</v>
      </c>
      <c r="K1733" s="2" t="s">
        <v>5713</v>
      </c>
      <c r="L1733" s="6">
        <v>580</v>
      </c>
      <c r="Q1733" s="2"/>
      <c r="R1733" s="7" t="s">
        <v>3833</v>
      </c>
      <c r="X1733" s="5">
        <v>-19.966100000000001</v>
      </c>
      <c r="Y1733" s="5">
        <v>28.1767</v>
      </c>
      <c r="Z1733" s="6">
        <v>1219</v>
      </c>
      <c r="AA1733" s="7" t="s">
        <v>3816</v>
      </c>
      <c r="AB1733" s="7" t="s">
        <v>3580</v>
      </c>
    </row>
    <row r="1734" spans="1:28" ht="21.75" customHeight="1" x14ac:dyDescent="0.2">
      <c r="A1734" s="7" t="s">
        <v>3176</v>
      </c>
      <c r="B1734" s="7" t="s">
        <v>3189</v>
      </c>
      <c r="C1734" s="7" t="s">
        <v>116</v>
      </c>
      <c r="D1734" s="7" t="s">
        <v>3581</v>
      </c>
      <c r="E1734" s="7" t="s">
        <v>263</v>
      </c>
      <c r="F1734" s="7" t="s">
        <v>212</v>
      </c>
      <c r="G1734" s="7" t="s">
        <v>3583</v>
      </c>
      <c r="H1734" s="1" t="s">
        <v>3582</v>
      </c>
      <c r="I1734" s="2">
        <v>2</v>
      </c>
      <c r="J1734" s="2" t="s">
        <v>4367</v>
      </c>
      <c r="K1734" s="2" t="s">
        <v>5713</v>
      </c>
      <c r="L1734" s="6">
        <v>580</v>
      </c>
      <c r="Q1734" s="2"/>
      <c r="R1734" s="7" t="s">
        <v>3833</v>
      </c>
      <c r="X1734" s="5">
        <v>-19.967300000000002</v>
      </c>
      <c r="Y1734" s="5">
        <v>28.169499999999999</v>
      </c>
      <c r="Z1734" s="6">
        <v>1209</v>
      </c>
      <c r="AA1734" s="7" t="s">
        <v>3814</v>
      </c>
      <c r="AB1734" s="7" t="s">
        <v>3585</v>
      </c>
    </row>
    <row r="1735" spans="1:28" ht="21.75" customHeight="1" x14ac:dyDescent="0.2">
      <c r="A1735" s="7" t="s">
        <v>3176</v>
      </c>
      <c r="B1735" s="7" t="s">
        <v>3189</v>
      </c>
      <c r="C1735" s="7" t="s">
        <v>116</v>
      </c>
      <c r="D1735" s="7" t="s">
        <v>3584</v>
      </c>
      <c r="E1735" s="7" t="s">
        <v>263</v>
      </c>
      <c r="F1735" s="7" t="s">
        <v>1302</v>
      </c>
      <c r="H1735" s="1" t="s">
        <v>3365</v>
      </c>
      <c r="I1735" s="2">
        <v>3.1</v>
      </c>
      <c r="J1735" s="2" t="s">
        <v>4367</v>
      </c>
      <c r="K1735" s="2" t="s">
        <v>5713</v>
      </c>
      <c r="L1735" s="6">
        <v>580</v>
      </c>
      <c r="Q1735" s="2"/>
      <c r="R1735" s="7" t="s">
        <v>3833</v>
      </c>
      <c r="X1735" s="5">
        <v>-19.968499999999999</v>
      </c>
      <c r="Y1735" s="5">
        <v>28.16</v>
      </c>
      <c r="Z1735" s="6">
        <v>1199</v>
      </c>
      <c r="AA1735" s="7" t="s">
        <v>3817</v>
      </c>
      <c r="AB1735" s="7" t="s">
        <v>3586</v>
      </c>
    </row>
    <row r="1736" spans="1:28" ht="21.75" customHeight="1" x14ac:dyDescent="0.2">
      <c r="A1736" s="7" t="s">
        <v>3176</v>
      </c>
      <c r="B1736" s="7" t="s">
        <v>3189</v>
      </c>
      <c r="C1736" s="7" t="s">
        <v>116</v>
      </c>
      <c r="D1736" s="7" t="s">
        <v>3587</v>
      </c>
      <c r="E1736" s="7" t="s">
        <v>280</v>
      </c>
      <c r="F1736" s="7" t="s">
        <v>212</v>
      </c>
      <c r="G1736" s="7" t="s">
        <v>3541</v>
      </c>
      <c r="H1736" s="1" t="s">
        <v>1348</v>
      </c>
      <c r="I1736" s="2">
        <v>1.6</v>
      </c>
      <c r="J1736" s="2" t="s">
        <v>4367</v>
      </c>
      <c r="K1736" s="2" t="s">
        <v>5713</v>
      </c>
      <c r="L1736" s="6">
        <v>580</v>
      </c>
      <c r="Q1736" s="2"/>
      <c r="R1736" s="7" t="s">
        <v>3833</v>
      </c>
      <c r="X1736" s="5">
        <v>-19.957100000000001</v>
      </c>
      <c r="Y1736" s="5">
        <v>28.168900000000001</v>
      </c>
      <c r="Z1736" s="6">
        <v>1215</v>
      </c>
      <c r="AA1736" s="7" t="s">
        <v>3818</v>
      </c>
      <c r="AB1736" s="7" t="s">
        <v>3588</v>
      </c>
    </row>
    <row r="1737" spans="1:28" ht="21.75" customHeight="1" x14ac:dyDescent="0.2">
      <c r="A1737" s="7" t="s">
        <v>3176</v>
      </c>
      <c r="B1737" s="7" t="s">
        <v>3190</v>
      </c>
      <c r="C1737" s="7" t="s">
        <v>116</v>
      </c>
      <c r="D1737" s="7" t="s">
        <v>3589</v>
      </c>
      <c r="E1737" s="7" t="s">
        <v>280</v>
      </c>
      <c r="F1737" s="7" t="s">
        <v>212</v>
      </c>
      <c r="G1737" s="7" t="s">
        <v>3214</v>
      </c>
      <c r="H1737" s="1" t="s">
        <v>3213</v>
      </c>
      <c r="I1737" s="2">
        <v>1.6</v>
      </c>
      <c r="J1737" s="2" t="s">
        <v>4367</v>
      </c>
      <c r="K1737" s="2" t="s">
        <v>5713</v>
      </c>
      <c r="L1737" s="6">
        <v>910</v>
      </c>
      <c r="Q1737" s="2"/>
      <c r="R1737" s="7" t="s">
        <v>3590</v>
      </c>
      <c r="W1737" s="7" t="s">
        <v>3438</v>
      </c>
      <c r="X1737" s="5">
        <v>-17.5578</v>
      </c>
      <c r="Y1737" s="5">
        <v>31.039300000000001</v>
      </c>
      <c r="Z1737" s="6">
        <v>1342</v>
      </c>
      <c r="AA1737" s="7" t="s">
        <v>3591</v>
      </c>
      <c r="AB1737" s="7" t="s">
        <v>3819</v>
      </c>
    </row>
    <row r="1738" spans="1:28" ht="21.75" customHeight="1" x14ac:dyDescent="0.2">
      <c r="A1738" s="7" t="s">
        <v>3176</v>
      </c>
      <c r="B1738" s="7" t="s">
        <v>3190</v>
      </c>
      <c r="C1738" s="7" t="s">
        <v>116</v>
      </c>
      <c r="D1738" s="7" t="s">
        <v>3592</v>
      </c>
      <c r="E1738" s="7" t="s">
        <v>280</v>
      </c>
      <c r="F1738" s="7" t="s">
        <v>212</v>
      </c>
      <c r="G1738" s="7" t="s">
        <v>3037</v>
      </c>
      <c r="H1738" s="1" t="s">
        <v>3034</v>
      </c>
      <c r="I1738" s="2">
        <v>1.9</v>
      </c>
      <c r="J1738" s="2" t="s">
        <v>4367</v>
      </c>
      <c r="K1738" s="2" t="s">
        <v>5713</v>
      </c>
      <c r="L1738" s="6">
        <v>910</v>
      </c>
      <c r="Q1738" s="2"/>
      <c r="R1738" s="7" t="s">
        <v>3590</v>
      </c>
      <c r="W1738" s="7" t="s">
        <v>3438</v>
      </c>
      <c r="X1738" s="5">
        <v>-17.565300000000001</v>
      </c>
      <c r="Y1738" s="5">
        <v>31.040299999999998</v>
      </c>
      <c r="Z1738" s="6">
        <v>1335</v>
      </c>
      <c r="AA1738" s="7" t="s">
        <v>3593</v>
      </c>
      <c r="AB1738" s="7" t="s">
        <v>3594</v>
      </c>
    </row>
    <row r="1739" spans="1:28" ht="21.75" customHeight="1" x14ac:dyDescent="0.2">
      <c r="A1739" s="7" t="s">
        <v>3176</v>
      </c>
      <c r="B1739" s="7" t="s">
        <v>3191</v>
      </c>
      <c r="C1739" s="7" t="s">
        <v>116</v>
      </c>
      <c r="D1739" s="7" t="s">
        <v>3597</v>
      </c>
      <c r="E1739" s="7" t="s">
        <v>280</v>
      </c>
      <c r="F1739" s="7" t="s">
        <v>212</v>
      </c>
      <c r="G1739" s="7" t="s">
        <v>3208</v>
      </c>
      <c r="H1739" s="1" t="s">
        <v>3028</v>
      </c>
      <c r="I1739" s="2">
        <v>1.4</v>
      </c>
      <c r="J1739" s="2" t="s">
        <v>4367</v>
      </c>
      <c r="K1739" s="2" t="s">
        <v>5713</v>
      </c>
      <c r="L1739" s="6" t="s">
        <v>3834</v>
      </c>
      <c r="Q1739" s="2"/>
      <c r="R1739" s="7" t="s">
        <v>3545</v>
      </c>
      <c r="W1739" s="7" t="s">
        <v>3438</v>
      </c>
      <c r="X1739" s="5">
        <v>-18.218699999999998</v>
      </c>
      <c r="Y1739" s="5">
        <v>26.032499999999999</v>
      </c>
      <c r="Z1739" s="6">
        <v>876</v>
      </c>
      <c r="AA1739" s="7" t="s">
        <v>3595</v>
      </c>
      <c r="AB1739" s="7" t="s">
        <v>3820</v>
      </c>
    </row>
    <row r="1740" spans="1:28" ht="21.75" customHeight="1" x14ac:dyDescent="0.2">
      <c r="A1740" s="7" t="s">
        <v>3176</v>
      </c>
      <c r="B1740" s="7" t="s">
        <v>3191</v>
      </c>
      <c r="C1740" s="7" t="s">
        <v>116</v>
      </c>
      <c r="D1740" s="7" t="s">
        <v>3598</v>
      </c>
      <c r="E1740" s="7" t="s">
        <v>280</v>
      </c>
      <c r="F1740" s="7" t="s">
        <v>214</v>
      </c>
      <c r="G1740" s="7" t="s">
        <v>3544</v>
      </c>
      <c r="H1740" s="1" t="s">
        <v>3543</v>
      </c>
      <c r="I1740" s="2">
        <v>1.4</v>
      </c>
      <c r="J1740" s="2" t="s">
        <v>4367</v>
      </c>
      <c r="K1740" s="2" t="s">
        <v>5713</v>
      </c>
      <c r="L1740" s="6" t="s">
        <v>3834</v>
      </c>
      <c r="Q1740" s="2"/>
      <c r="R1740" s="7" t="s">
        <v>3545</v>
      </c>
      <c r="X1740" s="5">
        <v>-18.215199999999999</v>
      </c>
      <c r="Y1740" s="5">
        <v>26.032499999999999</v>
      </c>
      <c r="Z1740" s="6">
        <v>878</v>
      </c>
      <c r="AA1740" s="7" t="s">
        <v>3596</v>
      </c>
    </row>
    <row r="1741" spans="1:28" ht="21.75" customHeight="1" x14ac:dyDescent="0.2">
      <c r="A1741" s="7" t="s">
        <v>3176</v>
      </c>
      <c r="B1741" s="7" t="s">
        <v>3191</v>
      </c>
      <c r="C1741" s="7" t="s">
        <v>116</v>
      </c>
      <c r="D1741" s="7" t="s">
        <v>3599</v>
      </c>
      <c r="E1741" s="7" t="s">
        <v>5049</v>
      </c>
      <c r="F1741" s="7" t="s">
        <v>212</v>
      </c>
      <c r="G1741" s="7" t="s">
        <v>3561</v>
      </c>
      <c r="H1741" s="1" t="s">
        <v>3559</v>
      </c>
      <c r="I1741" s="2">
        <v>1.3</v>
      </c>
      <c r="J1741" s="2" t="s">
        <v>4367</v>
      </c>
      <c r="K1741" s="2" t="s">
        <v>5713</v>
      </c>
      <c r="L1741" s="6" t="s">
        <v>3834</v>
      </c>
      <c r="Q1741" s="2"/>
      <c r="R1741" s="7" t="s">
        <v>3545</v>
      </c>
      <c r="X1741" s="5">
        <v>-18.2226</v>
      </c>
      <c r="Y1741" s="5">
        <v>26.032499999999999</v>
      </c>
      <c r="Z1741" s="6">
        <v>875</v>
      </c>
      <c r="AA1741" s="7" t="s">
        <v>3604</v>
      </c>
    </row>
    <row r="1742" spans="1:28" ht="21.75" customHeight="1" x14ac:dyDescent="0.2">
      <c r="A1742" s="7" t="s">
        <v>3176</v>
      </c>
      <c r="B1742" s="7" t="s">
        <v>3191</v>
      </c>
      <c r="C1742" s="7" t="s">
        <v>116</v>
      </c>
      <c r="D1742" s="7" t="s">
        <v>3600</v>
      </c>
      <c r="E1742" s="7" t="s">
        <v>280</v>
      </c>
      <c r="F1742" s="7" t="s">
        <v>1302</v>
      </c>
      <c r="G1742" s="7" t="s">
        <v>3532</v>
      </c>
      <c r="H1742" s="1" t="s">
        <v>3531</v>
      </c>
      <c r="I1742" s="2">
        <v>0.7</v>
      </c>
      <c r="J1742" s="2" t="s">
        <v>4367</v>
      </c>
      <c r="K1742" s="2" t="s">
        <v>5713</v>
      </c>
      <c r="L1742" s="6" t="s">
        <v>3834</v>
      </c>
      <c r="Q1742" s="2"/>
      <c r="R1742" s="7" t="s">
        <v>3545</v>
      </c>
      <c r="X1742" s="5">
        <v>-18.226500000000001</v>
      </c>
      <c r="Y1742" s="5">
        <v>26.036999999999999</v>
      </c>
      <c r="Z1742" s="6">
        <v>865</v>
      </c>
      <c r="AA1742" s="7" t="s">
        <v>3605</v>
      </c>
    </row>
    <row r="1743" spans="1:28" ht="21.75" customHeight="1" x14ac:dyDescent="0.2">
      <c r="A1743" s="7" t="s">
        <v>3176</v>
      </c>
      <c r="B1743" s="7" t="s">
        <v>3191</v>
      </c>
      <c r="C1743" s="7" t="s">
        <v>116</v>
      </c>
      <c r="D1743" s="7" t="s">
        <v>3601</v>
      </c>
      <c r="E1743" s="7" t="s">
        <v>280</v>
      </c>
      <c r="F1743" s="7" t="s">
        <v>212</v>
      </c>
      <c r="G1743" s="7" t="s">
        <v>3278</v>
      </c>
      <c r="H1743" s="1" t="s">
        <v>3277</v>
      </c>
      <c r="I1743" s="2">
        <v>1.8</v>
      </c>
      <c r="J1743" s="2" t="s">
        <v>4367</v>
      </c>
      <c r="K1743" s="2" t="s">
        <v>5713</v>
      </c>
      <c r="L1743" s="6" t="s">
        <v>3834</v>
      </c>
      <c r="Q1743" s="2"/>
      <c r="R1743" s="7" t="s">
        <v>3545</v>
      </c>
      <c r="W1743" s="7" t="s">
        <v>3438</v>
      </c>
      <c r="X1743" s="5">
        <v>-18.2088</v>
      </c>
      <c r="Y1743" s="5">
        <v>26.018899999999999</v>
      </c>
      <c r="Z1743" s="6">
        <v>909</v>
      </c>
      <c r="AA1743" s="7" t="s">
        <v>3606</v>
      </c>
    </row>
    <row r="1744" spans="1:28" ht="21.75" customHeight="1" x14ac:dyDescent="0.2">
      <c r="A1744" s="7" t="s">
        <v>3176</v>
      </c>
      <c r="B1744" s="7" t="s">
        <v>3191</v>
      </c>
      <c r="C1744" s="7" t="s">
        <v>116</v>
      </c>
      <c r="D1744" s="7" t="s">
        <v>3602</v>
      </c>
      <c r="E1744" s="7" t="s">
        <v>263</v>
      </c>
      <c r="F1744" s="7" t="s">
        <v>212</v>
      </c>
      <c r="G1744" s="7" t="s">
        <v>3038</v>
      </c>
      <c r="H1744" s="1" t="s">
        <v>3033</v>
      </c>
      <c r="I1744" s="2">
        <v>1.6</v>
      </c>
      <c r="J1744" s="2" t="s">
        <v>4367</v>
      </c>
      <c r="K1744" s="2" t="s">
        <v>5713</v>
      </c>
      <c r="L1744" s="6" t="s">
        <v>3834</v>
      </c>
      <c r="Q1744" s="2"/>
      <c r="R1744" s="7" t="s">
        <v>3545</v>
      </c>
      <c r="X1744" s="5">
        <v>-18.204999999999998</v>
      </c>
      <c r="Y1744" s="5">
        <v>26.0398</v>
      </c>
      <c r="Z1744" s="6">
        <v>896</v>
      </c>
      <c r="AA1744" s="7" t="s">
        <v>3607</v>
      </c>
      <c r="AB1744" s="7" t="s">
        <v>3609</v>
      </c>
    </row>
    <row r="1745" spans="1:28" ht="21.75" customHeight="1" x14ac:dyDescent="0.2">
      <c r="A1745" s="7" t="s">
        <v>3176</v>
      </c>
      <c r="B1745" s="7" t="s">
        <v>3191</v>
      </c>
      <c r="C1745" s="7" t="s">
        <v>116</v>
      </c>
      <c r="D1745" s="7" t="s">
        <v>3603</v>
      </c>
      <c r="E1745" s="7" t="s">
        <v>280</v>
      </c>
      <c r="F1745" s="7" t="s">
        <v>212</v>
      </c>
      <c r="G1745" s="7" t="s">
        <v>3610</v>
      </c>
      <c r="H1745" s="1" t="s">
        <v>3608</v>
      </c>
      <c r="I1745" s="2">
        <v>1.4</v>
      </c>
      <c r="J1745" s="2" t="s">
        <v>4367</v>
      </c>
      <c r="K1745" s="2" t="s">
        <v>5713</v>
      </c>
      <c r="L1745" s="6" t="s">
        <v>3834</v>
      </c>
      <c r="Q1745" s="2"/>
      <c r="R1745" s="7" t="s">
        <v>3545</v>
      </c>
      <c r="W1745" s="7" t="s">
        <v>3438</v>
      </c>
      <c r="X1745" s="5">
        <v>-18.220800000000001</v>
      </c>
      <c r="Y1745" s="5">
        <v>26.038900000000002</v>
      </c>
      <c r="Z1745" s="6">
        <v>879</v>
      </c>
      <c r="AA1745" s="7" t="s">
        <v>3611</v>
      </c>
    </row>
    <row r="1746" spans="1:28" ht="21.75" customHeight="1" x14ac:dyDescent="0.2">
      <c r="A1746" s="7" t="s">
        <v>3176</v>
      </c>
      <c r="B1746" s="7" t="s">
        <v>3191</v>
      </c>
      <c r="C1746" s="7" t="s">
        <v>116</v>
      </c>
      <c r="D1746" s="7" t="s">
        <v>3612</v>
      </c>
      <c r="E1746" s="7" t="s">
        <v>280</v>
      </c>
      <c r="F1746" s="7" t="s">
        <v>212</v>
      </c>
      <c r="G1746" s="7" t="s">
        <v>3579</v>
      </c>
      <c r="H1746" s="1" t="s">
        <v>3578</v>
      </c>
      <c r="I1746" s="2">
        <v>1.7</v>
      </c>
      <c r="J1746" s="2" t="s">
        <v>4367</v>
      </c>
      <c r="K1746" s="2" t="s">
        <v>5713</v>
      </c>
      <c r="L1746" s="6" t="s">
        <v>3834</v>
      </c>
      <c r="Q1746" s="2"/>
      <c r="R1746" s="7" t="s">
        <v>3545</v>
      </c>
      <c r="W1746" s="7" t="s">
        <v>3438</v>
      </c>
      <c r="X1746" s="5">
        <v>-18.212399999999999</v>
      </c>
      <c r="Y1746" s="5">
        <v>26.023099999999999</v>
      </c>
      <c r="Z1746" s="6">
        <v>903</v>
      </c>
      <c r="AA1746" s="7" t="s">
        <v>3613</v>
      </c>
    </row>
    <row r="1747" spans="1:28" ht="21.75" customHeight="1" x14ac:dyDescent="0.2">
      <c r="A1747" s="7" t="s">
        <v>3176</v>
      </c>
      <c r="B1747" s="7" t="s">
        <v>3192</v>
      </c>
      <c r="C1747" s="7" t="s">
        <v>116</v>
      </c>
      <c r="D1747" s="7" t="s">
        <v>3639</v>
      </c>
      <c r="E1747" s="7" t="s">
        <v>280</v>
      </c>
      <c r="F1747" s="7" t="s">
        <v>214</v>
      </c>
      <c r="G1747" s="7" t="s">
        <v>3615</v>
      </c>
      <c r="H1747" s="1" t="s">
        <v>3614</v>
      </c>
      <c r="I1747" s="2">
        <v>0.8</v>
      </c>
      <c r="J1747" s="2" t="s">
        <v>4367</v>
      </c>
      <c r="K1747" s="2" t="s">
        <v>5713</v>
      </c>
      <c r="L1747" s="6" t="s">
        <v>3834</v>
      </c>
      <c r="Q1747" s="2"/>
      <c r="R1747" s="7" t="s">
        <v>3616</v>
      </c>
      <c r="X1747" s="5">
        <v>-18.184699999999999</v>
      </c>
      <c r="Y1747" s="5">
        <v>25.876899999999999</v>
      </c>
      <c r="Z1747" s="6">
        <v>988</v>
      </c>
      <c r="AA1747" s="7" t="s">
        <v>3617</v>
      </c>
      <c r="AB1747" s="7" t="s">
        <v>3618</v>
      </c>
    </row>
    <row r="1748" spans="1:28" ht="21.75" customHeight="1" x14ac:dyDescent="0.2">
      <c r="A1748" s="7" t="s">
        <v>3176</v>
      </c>
      <c r="B1748" s="7" t="s">
        <v>3192</v>
      </c>
      <c r="C1748" s="7" t="s">
        <v>116</v>
      </c>
      <c r="D1748" s="7" t="s">
        <v>3640</v>
      </c>
      <c r="E1748" s="7" t="s">
        <v>280</v>
      </c>
      <c r="F1748" s="7" t="s">
        <v>212</v>
      </c>
      <c r="G1748" s="7" t="s">
        <v>3496</v>
      </c>
      <c r="H1748" s="1" t="s">
        <v>3491</v>
      </c>
      <c r="I1748" s="2">
        <v>1.5</v>
      </c>
      <c r="J1748" s="2" t="s">
        <v>4367</v>
      </c>
      <c r="K1748" s="2" t="s">
        <v>5713</v>
      </c>
      <c r="L1748" s="6" t="s">
        <v>3834</v>
      </c>
      <c r="Q1748" s="2"/>
      <c r="R1748" s="7" t="s">
        <v>3616</v>
      </c>
      <c r="X1748" s="5">
        <v>-18.188500000000001</v>
      </c>
      <c r="Y1748" s="5">
        <v>25.875</v>
      </c>
      <c r="Z1748" s="6">
        <v>972</v>
      </c>
      <c r="AA1748" s="7" t="s">
        <v>3619</v>
      </c>
      <c r="AB1748" s="7" t="s">
        <v>3821</v>
      </c>
    </row>
    <row r="1749" spans="1:28" ht="21.75" customHeight="1" x14ac:dyDescent="0.2">
      <c r="A1749" s="7" t="s">
        <v>3176</v>
      </c>
      <c r="B1749" s="7" t="s">
        <v>3193</v>
      </c>
      <c r="C1749" s="7" t="s">
        <v>116</v>
      </c>
      <c r="D1749" s="7" t="s">
        <v>3641</v>
      </c>
      <c r="E1749" s="7" t="s">
        <v>280</v>
      </c>
      <c r="F1749" s="7" t="s">
        <v>212</v>
      </c>
      <c r="G1749" s="7" t="s">
        <v>3623</v>
      </c>
      <c r="H1749" s="1" t="s">
        <v>3620</v>
      </c>
      <c r="I1749" s="2">
        <v>1.2</v>
      </c>
      <c r="J1749" s="2" t="s">
        <v>4367</v>
      </c>
      <c r="K1749" s="2" t="s">
        <v>5713</v>
      </c>
      <c r="L1749" s="6" t="s">
        <v>3834</v>
      </c>
      <c r="O1749" s="45" t="s">
        <v>3622</v>
      </c>
      <c r="Q1749" s="2"/>
      <c r="R1749" s="7" t="s">
        <v>3621</v>
      </c>
      <c r="X1749" s="5">
        <v>-18.932600000000001</v>
      </c>
      <c r="Y1749" s="5">
        <v>27.7514</v>
      </c>
      <c r="Z1749" s="6">
        <v>959</v>
      </c>
      <c r="AA1749" s="7" t="s">
        <v>3624</v>
      </c>
    </row>
    <row r="1750" spans="1:28" ht="21.75" customHeight="1" x14ac:dyDescent="0.2">
      <c r="A1750" s="7" t="s">
        <v>3176</v>
      </c>
      <c r="B1750" s="7" t="s">
        <v>3193</v>
      </c>
      <c r="C1750" s="7" t="s">
        <v>116</v>
      </c>
      <c r="D1750" s="7" t="s">
        <v>3625</v>
      </c>
      <c r="E1750" s="7" t="s">
        <v>280</v>
      </c>
      <c r="F1750" s="7" t="s">
        <v>212</v>
      </c>
      <c r="G1750" s="7" t="s">
        <v>3037</v>
      </c>
      <c r="H1750" s="1" t="s">
        <v>3034</v>
      </c>
      <c r="I1750" s="2">
        <v>2.9</v>
      </c>
      <c r="J1750" s="2" t="s">
        <v>4367</v>
      </c>
      <c r="K1750" s="2" t="s">
        <v>5713</v>
      </c>
      <c r="L1750" s="6" t="s">
        <v>3834</v>
      </c>
      <c r="O1750" s="45" t="s">
        <v>3622</v>
      </c>
      <c r="Q1750" s="2"/>
      <c r="R1750" s="7" t="s">
        <v>3621</v>
      </c>
      <c r="X1750" s="5">
        <v>-18.933700000000002</v>
      </c>
      <c r="Y1750" s="5">
        <v>27.750499999999999</v>
      </c>
      <c r="Z1750" s="6">
        <v>961</v>
      </c>
      <c r="AA1750" s="7" t="s">
        <v>3626</v>
      </c>
      <c r="AB1750" s="7" t="s">
        <v>3627</v>
      </c>
    </row>
    <row r="1751" spans="1:28" ht="21.75" customHeight="1" x14ac:dyDescent="0.2">
      <c r="A1751" s="7" t="s">
        <v>3176</v>
      </c>
      <c r="B1751" s="7" t="s">
        <v>3193</v>
      </c>
      <c r="C1751" s="7" t="s">
        <v>116</v>
      </c>
      <c r="D1751" s="7" t="s">
        <v>3642</v>
      </c>
      <c r="E1751" s="7" t="s">
        <v>280</v>
      </c>
      <c r="F1751" s="7" t="s">
        <v>212</v>
      </c>
      <c r="G1751" s="7" t="s">
        <v>3547</v>
      </c>
      <c r="H1751" s="1" t="s">
        <v>3035</v>
      </c>
      <c r="I1751" s="2">
        <v>0.7</v>
      </c>
      <c r="J1751" s="2" t="s">
        <v>4367</v>
      </c>
      <c r="K1751" s="2" t="s">
        <v>5713</v>
      </c>
      <c r="L1751" s="6" t="s">
        <v>3834</v>
      </c>
      <c r="O1751" s="45" t="s">
        <v>3622</v>
      </c>
      <c r="Q1751" s="2"/>
      <c r="R1751" s="7" t="s">
        <v>3621</v>
      </c>
      <c r="X1751" s="5">
        <v>-18.930700000000002</v>
      </c>
      <c r="Y1751" s="5">
        <v>27.7516</v>
      </c>
      <c r="Z1751" s="6">
        <v>957</v>
      </c>
      <c r="AA1751" s="7" t="s">
        <v>3628</v>
      </c>
      <c r="AB1751" s="7" t="s">
        <v>3822</v>
      </c>
    </row>
    <row r="1752" spans="1:28" ht="21.75" customHeight="1" x14ac:dyDescent="0.2">
      <c r="A1752" s="7" t="s">
        <v>3176</v>
      </c>
      <c r="B1752" s="7" t="s">
        <v>3193</v>
      </c>
      <c r="C1752" s="7" t="s">
        <v>116</v>
      </c>
      <c r="D1752" s="7" t="s">
        <v>3643</v>
      </c>
      <c r="E1752" s="7" t="s">
        <v>280</v>
      </c>
      <c r="F1752" s="7" t="s">
        <v>1302</v>
      </c>
      <c r="G1752" s="7" t="s">
        <v>3521</v>
      </c>
      <c r="H1752" s="1" t="s">
        <v>3520</v>
      </c>
      <c r="I1752" s="2">
        <v>2.8</v>
      </c>
      <c r="J1752" s="2" t="s">
        <v>4367</v>
      </c>
      <c r="K1752" s="2" t="s">
        <v>5713</v>
      </c>
      <c r="L1752" s="6" t="s">
        <v>3834</v>
      </c>
      <c r="O1752" s="45" t="s">
        <v>3630</v>
      </c>
      <c r="Q1752" s="2"/>
      <c r="R1752" s="7" t="s">
        <v>3631</v>
      </c>
      <c r="X1752" s="5">
        <v>-18.9407</v>
      </c>
      <c r="Y1752" s="5">
        <v>27.770199999999999</v>
      </c>
      <c r="Z1752" s="6">
        <v>962</v>
      </c>
      <c r="AA1752" s="7" t="s">
        <v>3629</v>
      </c>
    </row>
    <row r="1753" spans="1:28" ht="21.75" customHeight="1" x14ac:dyDescent="0.2">
      <c r="A1753" s="7" t="s">
        <v>3176</v>
      </c>
      <c r="B1753" s="7" t="s">
        <v>3193</v>
      </c>
      <c r="C1753" s="7" t="s">
        <v>116</v>
      </c>
      <c r="D1753" s="7" t="s">
        <v>3644</v>
      </c>
      <c r="E1753" s="7" t="s">
        <v>5049</v>
      </c>
      <c r="F1753" s="7" t="s">
        <v>1302</v>
      </c>
      <c r="G1753" s="7" t="s">
        <v>3524</v>
      </c>
      <c r="H1753" s="1" t="s">
        <v>3523</v>
      </c>
      <c r="I1753" s="2">
        <v>1.7</v>
      </c>
      <c r="J1753" s="2" t="s">
        <v>4367</v>
      </c>
      <c r="K1753" s="2" t="s">
        <v>5713</v>
      </c>
      <c r="L1753" s="6" t="s">
        <v>3834</v>
      </c>
      <c r="O1753" s="45" t="s">
        <v>3632</v>
      </c>
      <c r="Q1753" s="2"/>
      <c r="R1753" s="7" t="s">
        <v>3633</v>
      </c>
      <c r="X1753" s="5">
        <v>-18.9375</v>
      </c>
      <c r="Y1753" s="5">
        <v>27.762699999999999</v>
      </c>
      <c r="Z1753" s="6">
        <v>959</v>
      </c>
      <c r="AA1753" s="7" t="s">
        <v>3634</v>
      </c>
    </row>
    <row r="1754" spans="1:28" ht="21.75" customHeight="1" x14ac:dyDescent="0.2">
      <c r="A1754" s="7" t="s">
        <v>3176</v>
      </c>
      <c r="B1754" s="7" t="s">
        <v>3193</v>
      </c>
      <c r="C1754" s="7" t="s">
        <v>116</v>
      </c>
      <c r="D1754" s="7" t="s">
        <v>3645</v>
      </c>
      <c r="E1754" s="7" t="s">
        <v>280</v>
      </c>
      <c r="F1754" s="7" t="s">
        <v>214</v>
      </c>
      <c r="G1754" s="7" t="s">
        <v>3615</v>
      </c>
      <c r="H1754" s="1" t="s">
        <v>3614</v>
      </c>
      <c r="I1754" s="2">
        <v>1.9</v>
      </c>
      <c r="J1754" s="2" t="s">
        <v>4367</v>
      </c>
      <c r="K1754" s="2" t="s">
        <v>5713</v>
      </c>
      <c r="L1754" s="6" t="s">
        <v>3834</v>
      </c>
      <c r="O1754" s="45" t="s">
        <v>3622</v>
      </c>
      <c r="Q1754" s="2"/>
      <c r="R1754" s="7" t="s">
        <v>3621</v>
      </c>
      <c r="X1754" s="5">
        <v>-18.931999999999999</v>
      </c>
      <c r="Y1754" s="5">
        <v>27.7501</v>
      </c>
      <c r="Z1754" s="6">
        <v>960</v>
      </c>
      <c r="AA1754" s="7" t="s">
        <v>3635</v>
      </c>
    </row>
    <row r="1755" spans="1:28" ht="21.75" customHeight="1" x14ac:dyDescent="0.2">
      <c r="A1755" s="7" t="s">
        <v>3176</v>
      </c>
      <c r="B1755" s="7" t="s">
        <v>3193</v>
      </c>
      <c r="C1755" s="7" t="s">
        <v>116</v>
      </c>
      <c r="D1755" s="7" t="s">
        <v>3646</v>
      </c>
      <c r="E1755" s="7" t="s">
        <v>5049</v>
      </c>
      <c r="F1755" s="7" t="s">
        <v>212</v>
      </c>
      <c r="G1755" s="7" t="s">
        <v>3637</v>
      </c>
      <c r="H1755" s="1" t="s">
        <v>3636</v>
      </c>
      <c r="I1755" s="2">
        <v>2.5</v>
      </c>
      <c r="J1755" s="2" t="s">
        <v>4367</v>
      </c>
      <c r="K1755" s="2" t="s">
        <v>5713</v>
      </c>
      <c r="L1755" s="6" t="s">
        <v>3834</v>
      </c>
      <c r="O1755" s="45" t="s">
        <v>3632</v>
      </c>
      <c r="Q1755" s="2"/>
      <c r="R1755" s="7" t="s">
        <v>3633</v>
      </c>
      <c r="X1755" s="5">
        <v>-18.9375</v>
      </c>
      <c r="Y1755" s="5">
        <v>27.7559</v>
      </c>
      <c r="Z1755" s="6">
        <v>960</v>
      </c>
      <c r="AA1755" s="7" t="s">
        <v>3628</v>
      </c>
    </row>
    <row r="1756" spans="1:28" ht="21.75" customHeight="1" x14ac:dyDescent="0.2">
      <c r="A1756" s="7" t="s">
        <v>3176</v>
      </c>
      <c r="B1756" s="7" t="s">
        <v>3193</v>
      </c>
      <c r="C1756" s="7" t="s">
        <v>116</v>
      </c>
      <c r="D1756" s="7" t="s">
        <v>3647</v>
      </c>
      <c r="E1756" s="7" t="s">
        <v>5049</v>
      </c>
      <c r="F1756" s="7" t="s">
        <v>212</v>
      </c>
      <c r="G1756" s="7" t="s">
        <v>3561</v>
      </c>
      <c r="H1756" s="1" t="s">
        <v>3559</v>
      </c>
      <c r="I1756" s="2">
        <v>1.3</v>
      </c>
      <c r="J1756" s="2" t="s">
        <v>4367</v>
      </c>
      <c r="K1756" s="2" t="s">
        <v>5713</v>
      </c>
      <c r="L1756" s="6" t="s">
        <v>3834</v>
      </c>
      <c r="O1756" s="45" t="s">
        <v>3622</v>
      </c>
      <c r="Q1756" s="2"/>
      <c r="R1756" s="7" t="s">
        <v>3621</v>
      </c>
      <c r="X1756" s="5">
        <v>-18.9316</v>
      </c>
      <c r="Y1756" s="5">
        <v>27.753900000000002</v>
      </c>
      <c r="Z1756" s="6">
        <v>961</v>
      </c>
      <c r="AA1756" s="7" t="s">
        <v>3638</v>
      </c>
    </row>
    <row r="1757" spans="1:28" ht="21.75" customHeight="1" x14ac:dyDescent="0.2">
      <c r="A1757" s="7" t="s">
        <v>3176</v>
      </c>
      <c r="B1757" s="7" t="s">
        <v>3193</v>
      </c>
      <c r="C1757" s="7" t="s">
        <v>116</v>
      </c>
      <c r="D1757" s="7" t="s">
        <v>3648</v>
      </c>
      <c r="E1757" s="7" t="s">
        <v>280</v>
      </c>
      <c r="F1757" s="7" t="s">
        <v>212</v>
      </c>
      <c r="G1757" s="7" t="s">
        <v>3278</v>
      </c>
      <c r="H1757" s="1" t="s">
        <v>3277</v>
      </c>
      <c r="I1757" s="2">
        <v>1.4</v>
      </c>
      <c r="J1757" s="2" t="s">
        <v>4367</v>
      </c>
      <c r="K1757" s="2" t="s">
        <v>5713</v>
      </c>
      <c r="L1757" s="6" t="s">
        <v>3834</v>
      </c>
      <c r="Q1757" s="2"/>
      <c r="R1757" s="7" t="s">
        <v>3653</v>
      </c>
      <c r="X1757" s="5">
        <v>-18.9297</v>
      </c>
      <c r="Y1757" s="5">
        <v>27.7486</v>
      </c>
      <c r="Z1757" s="6">
        <v>958</v>
      </c>
      <c r="AA1757" s="7" t="s">
        <v>3652</v>
      </c>
    </row>
    <row r="1758" spans="1:28" ht="21.75" customHeight="1" x14ac:dyDescent="0.2">
      <c r="A1758" s="7" t="s">
        <v>3176</v>
      </c>
      <c r="B1758" s="7" t="s">
        <v>3193</v>
      </c>
      <c r="C1758" s="7" t="s">
        <v>116</v>
      </c>
      <c r="D1758" s="7" t="s">
        <v>3649</v>
      </c>
      <c r="E1758" s="7" t="s">
        <v>5049</v>
      </c>
      <c r="F1758" s="7" t="s">
        <v>212</v>
      </c>
      <c r="G1758" s="7" t="s">
        <v>3655</v>
      </c>
      <c r="H1758" s="1" t="s">
        <v>3654</v>
      </c>
      <c r="I1758" s="2">
        <v>1.6</v>
      </c>
      <c r="J1758" s="2" t="s">
        <v>4367</v>
      </c>
      <c r="K1758" s="2" t="s">
        <v>5713</v>
      </c>
      <c r="L1758" s="6" t="s">
        <v>3834</v>
      </c>
      <c r="O1758" s="45" t="s">
        <v>3632</v>
      </c>
      <c r="Q1758" s="2"/>
      <c r="R1758" s="7" t="s">
        <v>3633</v>
      </c>
      <c r="X1758" s="5">
        <v>-18.938600000000001</v>
      </c>
      <c r="Y1758" s="5">
        <v>27.767399999999999</v>
      </c>
      <c r="Z1758" s="6">
        <v>962</v>
      </c>
      <c r="AA1758" s="7" t="s">
        <v>3656</v>
      </c>
    </row>
    <row r="1759" spans="1:28" ht="21.75" customHeight="1" x14ac:dyDescent="0.2">
      <c r="A1759" s="7" t="s">
        <v>3176</v>
      </c>
      <c r="B1759" s="7" t="s">
        <v>3193</v>
      </c>
      <c r="C1759" s="7" t="s">
        <v>116</v>
      </c>
      <c r="D1759" s="7" t="s">
        <v>3650</v>
      </c>
      <c r="E1759" s="7" t="s">
        <v>280</v>
      </c>
      <c r="F1759" s="7" t="s">
        <v>212</v>
      </c>
      <c r="G1759" s="7" t="s">
        <v>3496</v>
      </c>
      <c r="H1759" s="1" t="s">
        <v>3491</v>
      </c>
      <c r="I1759" s="2">
        <v>2</v>
      </c>
      <c r="J1759" s="2" t="s">
        <v>4367</v>
      </c>
      <c r="K1759" s="2" t="s">
        <v>5713</v>
      </c>
      <c r="L1759" s="6" t="s">
        <v>3834</v>
      </c>
      <c r="O1759" s="45" t="s">
        <v>3622</v>
      </c>
      <c r="Q1759" s="2"/>
      <c r="R1759" s="7" t="s">
        <v>3621</v>
      </c>
      <c r="X1759" s="5">
        <v>-18.9316</v>
      </c>
      <c r="Y1759" s="5">
        <v>27.753900000000002</v>
      </c>
      <c r="Z1759" s="6">
        <v>960</v>
      </c>
      <c r="AA1759" s="7" t="s">
        <v>3657</v>
      </c>
      <c r="AB1759" s="7" t="s">
        <v>3658</v>
      </c>
    </row>
    <row r="1760" spans="1:28" ht="21.75" customHeight="1" x14ac:dyDescent="0.2">
      <c r="A1760" s="7" t="s">
        <v>3176</v>
      </c>
      <c r="B1760" s="7" t="s">
        <v>3193</v>
      </c>
      <c r="C1760" s="7" t="s">
        <v>116</v>
      </c>
      <c r="D1760" s="7" t="s">
        <v>3651</v>
      </c>
      <c r="E1760" s="7" t="s">
        <v>280</v>
      </c>
      <c r="F1760" s="7" t="s">
        <v>212</v>
      </c>
      <c r="G1760" s="7" t="s">
        <v>3541</v>
      </c>
      <c r="H1760" s="1" t="s">
        <v>1348</v>
      </c>
      <c r="I1760" s="2">
        <v>2</v>
      </c>
      <c r="J1760" s="2" t="s">
        <v>4367</v>
      </c>
      <c r="K1760" s="2" t="s">
        <v>5713</v>
      </c>
      <c r="L1760" s="6" t="s">
        <v>3834</v>
      </c>
      <c r="O1760" s="45" t="s">
        <v>3662</v>
      </c>
      <c r="Q1760" s="2">
        <v>2</v>
      </c>
      <c r="R1760" s="7" t="s">
        <v>3661</v>
      </c>
      <c r="X1760" s="5">
        <v>-18.9282</v>
      </c>
      <c r="Y1760" s="5">
        <v>27.7455</v>
      </c>
      <c r="Z1760" s="6">
        <v>964</v>
      </c>
      <c r="AA1760" s="7" t="s">
        <v>3634</v>
      </c>
      <c r="AB1760" s="7" t="s">
        <v>3823</v>
      </c>
    </row>
    <row r="1761" spans="1:28" ht="21.75" customHeight="1" x14ac:dyDescent="0.2">
      <c r="A1761" s="7" t="s">
        <v>3176</v>
      </c>
      <c r="B1761" s="7" t="s">
        <v>3193</v>
      </c>
      <c r="C1761" s="7" t="s">
        <v>116</v>
      </c>
      <c r="D1761" s="7" t="s">
        <v>3659</v>
      </c>
      <c r="E1761" s="7" t="s">
        <v>280</v>
      </c>
      <c r="F1761" s="7" t="s">
        <v>212</v>
      </c>
      <c r="G1761" s="7" t="s">
        <v>3541</v>
      </c>
      <c r="H1761" s="1" t="s">
        <v>1348</v>
      </c>
      <c r="I1761" s="2">
        <v>1.5</v>
      </c>
      <c r="J1761" s="2" t="s">
        <v>4367</v>
      </c>
      <c r="K1761" s="2" t="s">
        <v>5713</v>
      </c>
      <c r="L1761" s="6" t="s">
        <v>3834</v>
      </c>
      <c r="O1761" s="45" t="s">
        <v>3622</v>
      </c>
      <c r="Q1761" s="2"/>
      <c r="R1761" s="7" t="s">
        <v>3621</v>
      </c>
      <c r="X1761" s="5">
        <v>-18.935600000000001</v>
      </c>
      <c r="Y1761" s="5">
        <v>27.754100000000001</v>
      </c>
      <c r="Z1761" s="6">
        <v>958</v>
      </c>
      <c r="AA1761" s="7" t="s">
        <v>3635</v>
      </c>
    </row>
    <row r="1762" spans="1:28" ht="21.75" customHeight="1" x14ac:dyDescent="0.2">
      <c r="A1762" s="7" t="s">
        <v>3176</v>
      </c>
      <c r="B1762" s="7" t="s">
        <v>3193</v>
      </c>
      <c r="C1762" s="7" t="s">
        <v>116</v>
      </c>
      <c r="D1762" s="7" t="s">
        <v>3660</v>
      </c>
      <c r="E1762" s="7" t="s">
        <v>280</v>
      </c>
      <c r="F1762" s="7" t="s">
        <v>212</v>
      </c>
      <c r="G1762" s="7" t="s">
        <v>3541</v>
      </c>
      <c r="H1762" s="1" t="s">
        <v>1348</v>
      </c>
      <c r="I1762" s="2">
        <v>1.5</v>
      </c>
      <c r="J1762" s="2" t="s">
        <v>4367</v>
      </c>
      <c r="K1762" s="2" t="s">
        <v>5713</v>
      </c>
      <c r="L1762" s="6" t="s">
        <v>3834</v>
      </c>
      <c r="O1762" s="45" t="s">
        <v>3622</v>
      </c>
      <c r="Q1762" s="2"/>
      <c r="R1762" s="7" t="s">
        <v>3663</v>
      </c>
      <c r="X1762" s="5">
        <v>-18.933800000000002</v>
      </c>
      <c r="Y1762" s="5">
        <v>27.755700000000001</v>
      </c>
      <c r="Z1762" s="6">
        <v>959</v>
      </c>
      <c r="AA1762" s="7" t="s">
        <v>3664</v>
      </c>
    </row>
    <row r="1763" spans="1:28" ht="21.75" customHeight="1" x14ac:dyDescent="0.2">
      <c r="A1763" s="7" t="s">
        <v>3176</v>
      </c>
      <c r="B1763" s="7" t="s">
        <v>3194</v>
      </c>
      <c r="C1763" s="7" t="s">
        <v>116</v>
      </c>
      <c r="D1763" s="7" t="s">
        <v>3195</v>
      </c>
      <c r="E1763" s="7" t="s">
        <v>280</v>
      </c>
      <c r="F1763" s="7" t="s">
        <v>212</v>
      </c>
      <c r="G1763" s="7" t="s">
        <v>3208</v>
      </c>
      <c r="H1763" s="1" t="s">
        <v>3028</v>
      </c>
      <c r="I1763" s="2">
        <v>1.1000000000000001</v>
      </c>
      <c r="J1763" s="2" t="s">
        <v>4367</v>
      </c>
      <c r="K1763" s="2" t="s">
        <v>5713</v>
      </c>
      <c r="L1763" s="6" t="s">
        <v>3834</v>
      </c>
      <c r="Q1763" s="2"/>
      <c r="R1763" s="7" t="s">
        <v>3545</v>
      </c>
      <c r="X1763" s="5">
        <v>-18.876799999999999</v>
      </c>
      <c r="Y1763" s="5">
        <v>27.820499999999999</v>
      </c>
      <c r="Z1763" s="6">
        <v>1028</v>
      </c>
      <c r="AA1763" s="7" t="s">
        <v>3665</v>
      </c>
    </row>
    <row r="1764" spans="1:28" ht="21.75" customHeight="1" x14ac:dyDescent="0.2">
      <c r="A1764" s="7" t="s">
        <v>3176</v>
      </c>
      <c r="B1764" s="7" t="s">
        <v>3194</v>
      </c>
      <c r="C1764" s="7" t="s">
        <v>116</v>
      </c>
      <c r="D1764" s="7" t="s">
        <v>3196</v>
      </c>
      <c r="E1764" s="7" t="s">
        <v>280</v>
      </c>
      <c r="F1764" s="7" t="s">
        <v>212</v>
      </c>
      <c r="G1764" s="7" t="s">
        <v>3037</v>
      </c>
      <c r="H1764" s="1" t="s">
        <v>3034</v>
      </c>
      <c r="I1764" s="2">
        <v>1.1000000000000001</v>
      </c>
      <c r="J1764" s="2" t="s">
        <v>4367</v>
      </c>
      <c r="K1764" s="2" t="s">
        <v>5713</v>
      </c>
      <c r="L1764" s="6" t="s">
        <v>3834</v>
      </c>
      <c r="Q1764" s="2"/>
      <c r="R1764" s="7" t="s">
        <v>3545</v>
      </c>
      <c r="X1764" s="5">
        <v>-18.873699999999999</v>
      </c>
      <c r="Y1764" s="5">
        <v>27.827200000000001</v>
      </c>
      <c r="Z1764" s="6">
        <v>1033</v>
      </c>
      <c r="AA1764" s="7" t="s">
        <v>3666</v>
      </c>
    </row>
    <row r="1765" spans="1:28" ht="21.75" customHeight="1" x14ac:dyDescent="0.2">
      <c r="A1765" s="7" t="s">
        <v>3176</v>
      </c>
      <c r="B1765" s="7" t="s">
        <v>3194</v>
      </c>
      <c r="C1765" s="7" t="s">
        <v>116</v>
      </c>
      <c r="D1765" s="7" t="s">
        <v>3197</v>
      </c>
      <c r="E1765" s="7" t="s">
        <v>280</v>
      </c>
      <c r="F1765" s="7" t="s">
        <v>212</v>
      </c>
      <c r="G1765" s="7" t="s">
        <v>3547</v>
      </c>
      <c r="H1765" s="1" t="s">
        <v>3035</v>
      </c>
      <c r="I1765" s="2">
        <v>1.2</v>
      </c>
      <c r="J1765" s="2" t="s">
        <v>4367</v>
      </c>
      <c r="K1765" s="2" t="s">
        <v>5713</v>
      </c>
      <c r="L1765" s="6" t="s">
        <v>3834</v>
      </c>
      <c r="Q1765" s="2"/>
      <c r="R1765" s="7" t="s">
        <v>3545</v>
      </c>
      <c r="X1765" s="5">
        <v>-18.873899999999999</v>
      </c>
      <c r="Y1765" s="5">
        <v>27.831900000000001</v>
      </c>
      <c r="Z1765" s="6">
        <v>1034</v>
      </c>
      <c r="AA1765" s="7" t="s">
        <v>3667</v>
      </c>
    </row>
    <row r="1766" spans="1:28" ht="21.75" customHeight="1" x14ac:dyDescent="0.2">
      <c r="A1766" s="7" t="s">
        <v>3176</v>
      </c>
      <c r="B1766" s="7" t="s">
        <v>3194</v>
      </c>
      <c r="C1766" s="7" t="s">
        <v>116</v>
      </c>
      <c r="D1766" s="7" t="s">
        <v>3198</v>
      </c>
      <c r="E1766" s="7" t="s">
        <v>280</v>
      </c>
      <c r="F1766" s="7" t="s">
        <v>214</v>
      </c>
      <c r="G1766" s="7" t="s">
        <v>3669</v>
      </c>
      <c r="H1766" s="1" t="s">
        <v>3668</v>
      </c>
      <c r="I1766" s="2">
        <v>0.8</v>
      </c>
      <c r="J1766" s="2" t="s">
        <v>4367</v>
      </c>
      <c r="K1766" s="2" t="s">
        <v>5713</v>
      </c>
      <c r="L1766" s="6" t="s">
        <v>3834</v>
      </c>
      <c r="Q1766" s="2"/>
      <c r="R1766" s="7" t="s">
        <v>3545</v>
      </c>
      <c r="X1766" s="5">
        <v>-18.876100000000001</v>
      </c>
      <c r="Y1766" s="5">
        <v>27.8172</v>
      </c>
      <c r="Z1766" s="6">
        <v>1024</v>
      </c>
      <c r="AA1766" s="7" t="s">
        <v>3670</v>
      </c>
    </row>
    <row r="1767" spans="1:28" ht="21.75" customHeight="1" x14ac:dyDescent="0.2">
      <c r="A1767" s="7" t="s">
        <v>3176</v>
      </c>
      <c r="B1767" s="7" t="s">
        <v>3194</v>
      </c>
      <c r="C1767" s="7" t="s">
        <v>116</v>
      </c>
      <c r="D1767" s="7" t="s">
        <v>3199</v>
      </c>
      <c r="E1767" s="7" t="s">
        <v>280</v>
      </c>
      <c r="F1767" s="7" t="s">
        <v>212</v>
      </c>
      <c r="G1767" s="7" t="s">
        <v>3278</v>
      </c>
      <c r="H1767" s="1" t="s">
        <v>3277</v>
      </c>
      <c r="I1767" s="2">
        <v>0.9</v>
      </c>
      <c r="J1767" s="2" t="s">
        <v>4367</v>
      </c>
      <c r="K1767" s="2" t="s">
        <v>5713</v>
      </c>
      <c r="L1767" s="6" t="s">
        <v>3834</v>
      </c>
      <c r="Q1767" s="2"/>
      <c r="R1767" s="7" t="s">
        <v>3545</v>
      </c>
      <c r="X1767" s="5">
        <v>-18.875599999999999</v>
      </c>
      <c r="Y1767" s="5">
        <v>27.810600000000001</v>
      </c>
      <c r="Z1767" s="6">
        <v>1024</v>
      </c>
      <c r="AA1767" s="7" t="s">
        <v>3671</v>
      </c>
    </row>
    <row r="1768" spans="1:28" ht="21.75" customHeight="1" x14ac:dyDescent="0.2">
      <c r="A1768" s="7" t="s">
        <v>3176</v>
      </c>
      <c r="B1768" s="7" t="s">
        <v>3824</v>
      </c>
      <c r="C1768" s="7" t="s">
        <v>116</v>
      </c>
      <c r="D1768" s="7" t="s">
        <v>3681</v>
      </c>
      <c r="E1768" s="7" t="s">
        <v>280</v>
      </c>
      <c r="F1768" s="7" t="s">
        <v>212</v>
      </c>
      <c r="G1768" s="7" t="s">
        <v>3208</v>
      </c>
      <c r="H1768" s="1" t="s">
        <v>3028</v>
      </c>
      <c r="I1768" s="2">
        <v>1.5</v>
      </c>
      <c r="J1768" s="2" t="s">
        <v>4367</v>
      </c>
      <c r="K1768" s="2" t="s">
        <v>5713</v>
      </c>
      <c r="L1768" s="6" t="s">
        <v>3834</v>
      </c>
      <c r="Q1768" s="2"/>
      <c r="R1768" s="7" t="s">
        <v>3545</v>
      </c>
      <c r="X1768" s="5">
        <v>-18.220300000000002</v>
      </c>
      <c r="Y1768" s="5">
        <v>28.9282</v>
      </c>
      <c r="Z1768" s="6">
        <v>1292</v>
      </c>
      <c r="AA1768" s="7" t="s">
        <v>3680</v>
      </c>
      <c r="AB1768" s="7" t="s">
        <v>3672</v>
      </c>
    </row>
    <row r="1769" spans="1:28" ht="21.75" customHeight="1" x14ac:dyDescent="0.2">
      <c r="A1769" s="7" t="s">
        <v>3176</v>
      </c>
      <c r="B1769" s="7" t="s">
        <v>3824</v>
      </c>
      <c r="C1769" s="7" t="s">
        <v>116</v>
      </c>
      <c r="D1769" s="7" t="s">
        <v>3682</v>
      </c>
      <c r="E1769" s="7" t="s">
        <v>280</v>
      </c>
      <c r="F1769" s="7" t="s">
        <v>212</v>
      </c>
      <c r="G1769" s="7" t="s">
        <v>3037</v>
      </c>
      <c r="H1769" s="1" t="s">
        <v>3034</v>
      </c>
      <c r="I1769" s="2">
        <v>3</v>
      </c>
      <c r="J1769" s="2" t="s">
        <v>4367</v>
      </c>
      <c r="K1769" s="2" t="s">
        <v>5713</v>
      </c>
      <c r="L1769" s="6" t="s">
        <v>3834</v>
      </c>
      <c r="Q1769" s="2"/>
      <c r="R1769" s="7" t="s">
        <v>3545</v>
      </c>
      <c r="X1769" s="5">
        <v>-18.217300000000002</v>
      </c>
      <c r="Y1769" s="5">
        <v>28.926400000000001</v>
      </c>
      <c r="Z1769" s="6">
        <v>1292</v>
      </c>
      <c r="AA1769" s="7" t="s">
        <v>3679</v>
      </c>
      <c r="AB1769" s="7" t="s">
        <v>3673</v>
      </c>
    </row>
    <row r="1770" spans="1:28" ht="21.75" customHeight="1" x14ac:dyDescent="0.2">
      <c r="A1770" s="7" t="s">
        <v>3176</v>
      </c>
      <c r="B1770" s="7" t="s">
        <v>3824</v>
      </c>
      <c r="C1770" s="7" t="s">
        <v>116</v>
      </c>
      <c r="D1770" s="7" t="s">
        <v>3683</v>
      </c>
      <c r="E1770" s="7" t="s">
        <v>280</v>
      </c>
      <c r="F1770" s="7" t="s">
        <v>212</v>
      </c>
      <c r="G1770" s="7" t="s">
        <v>3675</v>
      </c>
      <c r="H1770" s="1" t="s">
        <v>3674</v>
      </c>
      <c r="I1770" s="2">
        <v>1.7</v>
      </c>
      <c r="J1770" s="2" t="s">
        <v>4367</v>
      </c>
      <c r="K1770" s="2" t="s">
        <v>5713</v>
      </c>
      <c r="L1770" s="6" t="s">
        <v>3834</v>
      </c>
      <c r="Q1770" s="2"/>
      <c r="R1770" s="7" t="s">
        <v>3545</v>
      </c>
      <c r="X1770" s="5">
        <v>-18.218299999999999</v>
      </c>
      <c r="Y1770" s="5">
        <v>28.927700000000002</v>
      </c>
      <c r="Z1770" s="6">
        <v>1291</v>
      </c>
      <c r="AA1770" s="7" t="s">
        <v>3678</v>
      </c>
      <c r="AB1770" s="7" t="s">
        <v>3676</v>
      </c>
    </row>
    <row r="1771" spans="1:28" ht="21.75" customHeight="1" x14ac:dyDescent="0.2">
      <c r="A1771" s="7" t="s">
        <v>3176</v>
      </c>
      <c r="B1771" s="7" t="s">
        <v>3824</v>
      </c>
      <c r="C1771" s="7" t="s">
        <v>116</v>
      </c>
      <c r="D1771" s="7" t="s">
        <v>3684</v>
      </c>
      <c r="E1771" s="7" t="s">
        <v>280</v>
      </c>
      <c r="F1771" s="7" t="s">
        <v>212</v>
      </c>
      <c r="G1771" s="7" t="s">
        <v>3610</v>
      </c>
      <c r="H1771" s="1" t="s">
        <v>3608</v>
      </c>
      <c r="I1771" s="2">
        <v>1.8</v>
      </c>
      <c r="J1771" s="2" t="s">
        <v>4367</v>
      </c>
      <c r="K1771" s="2" t="s">
        <v>5713</v>
      </c>
      <c r="L1771" s="6" t="s">
        <v>3834</v>
      </c>
      <c r="Q1771" s="2"/>
      <c r="R1771" s="7" t="s">
        <v>3545</v>
      </c>
      <c r="X1771" s="5">
        <v>-18.2194</v>
      </c>
      <c r="Y1771" s="5">
        <v>28.929200000000002</v>
      </c>
      <c r="Z1771" s="6">
        <v>1292</v>
      </c>
      <c r="AA1771" s="7" t="s">
        <v>3677</v>
      </c>
      <c r="AB1771" s="7" t="s">
        <v>3825</v>
      </c>
    </row>
    <row r="1772" spans="1:28" ht="21.75" customHeight="1" x14ac:dyDescent="0.2">
      <c r="A1772" s="7" t="s">
        <v>3176</v>
      </c>
      <c r="B1772" s="7" t="s">
        <v>3824</v>
      </c>
      <c r="C1772" s="7" t="s">
        <v>116</v>
      </c>
      <c r="D1772" s="7" t="s">
        <v>3752</v>
      </c>
      <c r="E1772" s="7" t="s">
        <v>280</v>
      </c>
      <c r="F1772" s="7" t="s">
        <v>212</v>
      </c>
      <c r="G1772" s="7" t="s">
        <v>3579</v>
      </c>
      <c r="H1772" s="1" t="s">
        <v>3578</v>
      </c>
      <c r="I1772" s="2">
        <v>1.5</v>
      </c>
      <c r="J1772" s="2" t="s">
        <v>4367</v>
      </c>
      <c r="K1772" s="2" t="s">
        <v>5713</v>
      </c>
      <c r="L1772" s="6" t="s">
        <v>3834</v>
      </c>
      <c r="Q1772" s="2"/>
      <c r="R1772" s="7" t="s">
        <v>3545</v>
      </c>
      <c r="X1772" s="5">
        <v>-18.218900000000001</v>
      </c>
      <c r="Y1772" s="5">
        <v>28.935099999999998</v>
      </c>
      <c r="Z1772" s="6">
        <v>1295</v>
      </c>
      <c r="AA1772" s="7" t="s">
        <v>3685</v>
      </c>
    </row>
    <row r="1773" spans="1:28" ht="21.75" customHeight="1" x14ac:dyDescent="0.2">
      <c r="A1773" s="7" t="s">
        <v>3176</v>
      </c>
      <c r="B1773" s="7" t="s">
        <v>3827</v>
      </c>
      <c r="C1773" s="7" t="s">
        <v>116</v>
      </c>
      <c r="D1773" s="7" t="s">
        <v>3686</v>
      </c>
      <c r="E1773" s="7" t="s">
        <v>280</v>
      </c>
      <c r="F1773" s="7" t="s">
        <v>212</v>
      </c>
      <c r="G1773" s="7" t="s">
        <v>3214</v>
      </c>
      <c r="H1773" s="1" t="s">
        <v>3213</v>
      </c>
      <c r="I1773" s="2">
        <v>1.1000000000000001</v>
      </c>
      <c r="J1773" s="2" t="s">
        <v>4367</v>
      </c>
      <c r="K1773" s="2" t="s">
        <v>5713</v>
      </c>
      <c r="L1773" s="6" t="s">
        <v>3834</v>
      </c>
      <c r="Q1773" s="2"/>
      <c r="R1773" s="7" t="s">
        <v>2539</v>
      </c>
      <c r="X1773" s="5">
        <v>-18.8568</v>
      </c>
      <c r="Y1773" s="5">
        <v>28.819199999999999</v>
      </c>
      <c r="Z1773" s="6">
        <v>1118</v>
      </c>
      <c r="AA1773" s="7" t="s">
        <v>3689</v>
      </c>
      <c r="AB1773" s="7" t="s">
        <v>3826</v>
      </c>
    </row>
    <row r="1774" spans="1:28" ht="21.75" customHeight="1" x14ac:dyDescent="0.2">
      <c r="A1774" s="7" t="s">
        <v>3176</v>
      </c>
      <c r="B1774" s="7" t="s">
        <v>3827</v>
      </c>
      <c r="C1774" s="7" t="s">
        <v>116</v>
      </c>
      <c r="D1774" s="7" t="s">
        <v>3687</v>
      </c>
      <c r="E1774" s="7" t="s">
        <v>280</v>
      </c>
      <c r="F1774" s="7" t="s">
        <v>1302</v>
      </c>
      <c r="G1774" s="7" t="s">
        <v>3521</v>
      </c>
      <c r="H1774" s="1" t="s">
        <v>3520</v>
      </c>
      <c r="I1774" s="2">
        <v>1.3</v>
      </c>
      <c r="J1774" s="2" t="s">
        <v>4367</v>
      </c>
      <c r="K1774" s="2" t="s">
        <v>5713</v>
      </c>
      <c r="L1774" s="6" t="s">
        <v>3834</v>
      </c>
      <c r="Q1774" s="2"/>
      <c r="R1774" s="7" t="s">
        <v>2953</v>
      </c>
      <c r="X1774" s="5">
        <v>-18.8552</v>
      </c>
      <c r="Y1774" s="5">
        <v>28.819199999999999</v>
      </c>
      <c r="Z1774" s="6">
        <v>1117</v>
      </c>
      <c r="AA1774" s="7" t="s">
        <v>3690</v>
      </c>
      <c r="AB1774" s="7" t="s">
        <v>3691</v>
      </c>
    </row>
    <row r="1775" spans="1:28" ht="21.75" customHeight="1" x14ac:dyDescent="0.2">
      <c r="A1775" s="7" t="s">
        <v>3176</v>
      </c>
      <c r="B1775" s="7" t="s">
        <v>3827</v>
      </c>
      <c r="C1775" s="7" t="s">
        <v>116</v>
      </c>
      <c r="D1775" s="7" t="s">
        <v>3688</v>
      </c>
      <c r="E1775" s="7" t="s">
        <v>280</v>
      </c>
      <c r="F1775" s="7" t="s">
        <v>1302</v>
      </c>
      <c r="G1775" s="7" t="s">
        <v>3521</v>
      </c>
      <c r="H1775" s="1" t="s">
        <v>3520</v>
      </c>
      <c r="I1775" s="2">
        <v>1.1000000000000001</v>
      </c>
      <c r="J1775" s="2" t="s">
        <v>4367</v>
      </c>
      <c r="K1775" s="2" t="s">
        <v>5713</v>
      </c>
      <c r="L1775" s="6" t="s">
        <v>3834</v>
      </c>
      <c r="Q1775" s="2"/>
      <c r="R1775" s="7" t="s">
        <v>3692</v>
      </c>
      <c r="X1775" s="5">
        <v>-18.854099999999999</v>
      </c>
      <c r="Y1775" s="5">
        <v>28.820499999999999</v>
      </c>
      <c r="Z1775" s="6">
        <v>1120</v>
      </c>
      <c r="AA1775" s="7" t="s">
        <v>3690</v>
      </c>
    </row>
    <row r="1776" spans="1:28" ht="21.75" customHeight="1" x14ac:dyDescent="0.2">
      <c r="A1776" s="7" t="s">
        <v>3176</v>
      </c>
      <c r="B1776" s="7" t="s">
        <v>3200</v>
      </c>
      <c r="C1776" s="7" t="s">
        <v>116</v>
      </c>
      <c r="D1776" s="7" t="s">
        <v>3201</v>
      </c>
      <c r="E1776" s="7" t="s">
        <v>280</v>
      </c>
      <c r="F1776" s="7" t="s">
        <v>212</v>
      </c>
      <c r="G1776" s="7" t="s">
        <v>3623</v>
      </c>
      <c r="H1776" s="1" t="s">
        <v>3620</v>
      </c>
      <c r="I1776" s="2">
        <v>0.7</v>
      </c>
      <c r="J1776" s="2" t="s">
        <v>4367</v>
      </c>
      <c r="K1776" s="2" t="s">
        <v>5713</v>
      </c>
      <c r="L1776" s="6" t="s">
        <v>3834</v>
      </c>
      <c r="O1776" s="45" t="s">
        <v>450</v>
      </c>
      <c r="Q1776" s="2"/>
      <c r="R1776" s="7" t="s">
        <v>3694</v>
      </c>
      <c r="X1776" s="5">
        <v>-17.633700000000001</v>
      </c>
      <c r="Y1776" s="5">
        <v>28.499700000000001</v>
      </c>
      <c r="Z1776" s="6">
        <v>680</v>
      </c>
      <c r="AA1776" s="7" t="s">
        <v>3693</v>
      </c>
      <c r="AB1776" s="7" t="s">
        <v>3828</v>
      </c>
    </row>
    <row r="1777" spans="1:28" ht="21.75" customHeight="1" x14ac:dyDescent="0.2">
      <c r="A1777" s="7" t="s">
        <v>3176</v>
      </c>
      <c r="B1777" s="7" t="s">
        <v>3200</v>
      </c>
      <c r="C1777" s="7" t="s">
        <v>116</v>
      </c>
      <c r="D1777" s="7" t="s">
        <v>3202</v>
      </c>
      <c r="E1777" s="7" t="s">
        <v>263</v>
      </c>
      <c r="F1777" s="7" t="s">
        <v>212</v>
      </c>
      <c r="G1777" s="7" t="s">
        <v>3697</v>
      </c>
      <c r="H1777" s="1" t="s">
        <v>3695</v>
      </c>
      <c r="I1777" s="2">
        <v>0.9</v>
      </c>
      <c r="J1777" s="2" t="s">
        <v>4367</v>
      </c>
      <c r="K1777" s="2" t="s">
        <v>5713</v>
      </c>
      <c r="L1777" s="6" t="s">
        <v>3834</v>
      </c>
      <c r="O1777" s="45" t="s">
        <v>450</v>
      </c>
      <c r="Q1777" s="2"/>
      <c r="R1777" s="7" t="s">
        <v>3694</v>
      </c>
      <c r="X1777" s="5">
        <v>-17.634599999999999</v>
      </c>
      <c r="Y1777" s="5">
        <v>28.499500000000001</v>
      </c>
      <c r="Z1777" s="6">
        <v>683</v>
      </c>
      <c r="AA1777" s="7" t="s">
        <v>3696</v>
      </c>
    </row>
    <row r="1778" spans="1:28" ht="21.75" customHeight="1" x14ac:dyDescent="0.2">
      <c r="A1778" s="7" t="s">
        <v>3176</v>
      </c>
      <c r="B1778" s="7" t="s">
        <v>3200</v>
      </c>
      <c r="C1778" s="7" t="s">
        <v>116</v>
      </c>
      <c r="D1778" s="7" t="s">
        <v>3203</v>
      </c>
      <c r="E1778" s="7" t="s">
        <v>5049</v>
      </c>
      <c r="F1778" s="7" t="s">
        <v>212</v>
      </c>
      <c r="G1778" s="7" t="s">
        <v>3699</v>
      </c>
      <c r="H1778" s="1" t="s">
        <v>3698</v>
      </c>
      <c r="I1778" s="2">
        <v>1.1000000000000001</v>
      </c>
      <c r="J1778" s="2" t="s">
        <v>4367</v>
      </c>
      <c r="K1778" s="2" t="s">
        <v>5713</v>
      </c>
      <c r="L1778" s="6" t="s">
        <v>3834</v>
      </c>
      <c r="O1778" s="45" t="s">
        <v>450</v>
      </c>
      <c r="Q1778" s="2"/>
      <c r="R1778" s="7" t="s">
        <v>3694</v>
      </c>
      <c r="X1778" s="5">
        <v>-17.6388</v>
      </c>
      <c r="Y1778" s="5">
        <v>28.498100000000001</v>
      </c>
      <c r="Z1778" s="6">
        <v>682</v>
      </c>
      <c r="AA1778" s="7" t="s">
        <v>3700</v>
      </c>
    </row>
    <row r="1779" spans="1:28" ht="21.75" customHeight="1" x14ac:dyDescent="0.2">
      <c r="A1779" s="7" t="s">
        <v>3176</v>
      </c>
      <c r="B1779" s="7" t="s">
        <v>3200</v>
      </c>
      <c r="C1779" s="7" t="s">
        <v>116</v>
      </c>
      <c r="D1779" s="7" t="s">
        <v>3701</v>
      </c>
      <c r="E1779" s="7" t="s">
        <v>280</v>
      </c>
      <c r="F1779" s="7" t="s">
        <v>1302</v>
      </c>
      <c r="G1779" s="7" t="s">
        <v>3521</v>
      </c>
      <c r="H1779" s="1" t="s">
        <v>3520</v>
      </c>
      <c r="I1779" s="2">
        <v>0.6</v>
      </c>
      <c r="J1779" s="2" t="s">
        <v>4367</v>
      </c>
      <c r="K1779" s="2" t="s">
        <v>5713</v>
      </c>
      <c r="L1779" s="6" t="s">
        <v>3834</v>
      </c>
      <c r="O1779" s="45" t="s">
        <v>450</v>
      </c>
      <c r="Q1779" s="2"/>
      <c r="R1779" s="7" t="s">
        <v>3694</v>
      </c>
      <c r="X1779" s="7">
        <v>-17.635300000000001</v>
      </c>
      <c r="Y1779" s="7">
        <v>28.499400000000001</v>
      </c>
      <c r="Z1779" s="7">
        <v>683</v>
      </c>
      <c r="AA1779" s="7" t="s">
        <v>3705</v>
      </c>
      <c r="AB1779" s="7" t="s">
        <v>3702</v>
      </c>
    </row>
    <row r="1780" spans="1:28" ht="21.75" customHeight="1" x14ac:dyDescent="0.2">
      <c r="A1780" s="7" t="s">
        <v>3176</v>
      </c>
      <c r="B1780" s="7" t="s">
        <v>3200</v>
      </c>
      <c r="C1780" s="7" t="s">
        <v>116</v>
      </c>
      <c r="D1780" s="7" t="s">
        <v>3706</v>
      </c>
      <c r="E1780" s="7" t="s">
        <v>280</v>
      </c>
      <c r="F1780" s="7" t="s">
        <v>214</v>
      </c>
      <c r="G1780" s="7" t="s">
        <v>3704</v>
      </c>
      <c r="H1780" s="1" t="s">
        <v>3703</v>
      </c>
      <c r="I1780" s="2">
        <v>0.4</v>
      </c>
      <c r="J1780" s="2" t="s">
        <v>4367</v>
      </c>
      <c r="K1780" s="2" t="s">
        <v>5713</v>
      </c>
      <c r="L1780" s="6" t="s">
        <v>3834</v>
      </c>
      <c r="Q1780" s="2"/>
      <c r="R1780" s="7" t="s">
        <v>399</v>
      </c>
      <c r="X1780" s="7">
        <v>-17.619800000000001</v>
      </c>
      <c r="Y1780" s="7">
        <v>28.5046</v>
      </c>
      <c r="Z1780" s="7">
        <v>681</v>
      </c>
      <c r="AA1780" s="7" t="s">
        <v>3708</v>
      </c>
      <c r="AB1780" s="7" t="s">
        <v>3707</v>
      </c>
    </row>
    <row r="1781" spans="1:28" ht="21.75" customHeight="1" x14ac:dyDescent="0.2">
      <c r="A1781" s="7" t="s">
        <v>3176</v>
      </c>
      <c r="B1781" s="7" t="s">
        <v>3200</v>
      </c>
      <c r="C1781" s="7" t="s">
        <v>116</v>
      </c>
      <c r="D1781" s="7" t="s">
        <v>3712</v>
      </c>
      <c r="E1781" s="7" t="s">
        <v>280</v>
      </c>
      <c r="F1781" s="7" t="s">
        <v>1302</v>
      </c>
      <c r="G1781" s="7" t="s">
        <v>3710</v>
      </c>
      <c r="H1781" s="1" t="s">
        <v>3709</v>
      </c>
      <c r="I1781" s="2">
        <v>0.6</v>
      </c>
      <c r="J1781" s="2" t="s">
        <v>4367</v>
      </c>
      <c r="K1781" s="2" t="s">
        <v>5713</v>
      </c>
      <c r="L1781" s="6" t="s">
        <v>3834</v>
      </c>
      <c r="Q1781" s="2"/>
      <c r="R1781" s="7" t="s">
        <v>3713</v>
      </c>
      <c r="X1781" s="5">
        <v>-17.632200000000001</v>
      </c>
      <c r="Y1781" s="5">
        <v>28.501000000000001</v>
      </c>
      <c r="Z1781" s="6">
        <v>686</v>
      </c>
      <c r="AA1781" s="7" t="s">
        <v>3711</v>
      </c>
      <c r="AB1781" s="7" t="s">
        <v>3714</v>
      </c>
    </row>
    <row r="1782" spans="1:28" ht="21.75" customHeight="1" x14ac:dyDescent="0.2">
      <c r="A1782" s="7" t="s">
        <v>3176</v>
      </c>
      <c r="B1782" s="7" t="s">
        <v>3200</v>
      </c>
      <c r="C1782" s="7" t="s">
        <v>116</v>
      </c>
      <c r="D1782" s="7" t="s">
        <v>3204</v>
      </c>
      <c r="E1782" s="7" t="s">
        <v>280</v>
      </c>
      <c r="F1782" s="7" t="s">
        <v>212</v>
      </c>
      <c r="G1782" s="7" t="s">
        <v>3716</v>
      </c>
      <c r="H1782" s="1" t="s">
        <v>3715</v>
      </c>
      <c r="I1782" s="2">
        <v>0.5</v>
      </c>
      <c r="J1782" s="2" t="s">
        <v>4367</v>
      </c>
      <c r="K1782" s="2" t="s">
        <v>5713</v>
      </c>
      <c r="L1782" s="6" t="s">
        <v>3834</v>
      </c>
      <c r="Q1782" s="2"/>
      <c r="R1782" s="7" t="s">
        <v>399</v>
      </c>
      <c r="X1782" s="5">
        <v>-17.636399999999998</v>
      </c>
      <c r="Y1782" s="5">
        <v>28.500399999999999</v>
      </c>
      <c r="Z1782" s="6">
        <v>684</v>
      </c>
      <c r="AA1782" s="7" t="s">
        <v>3717</v>
      </c>
      <c r="AB1782" s="7" t="s">
        <v>3718</v>
      </c>
    </row>
    <row r="1783" spans="1:28" ht="21.75" customHeight="1" x14ac:dyDescent="0.2">
      <c r="A1783" s="7" t="s">
        <v>3176</v>
      </c>
      <c r="B1783" s="7" t="s">
        <v>3205</v>
      </c>
      <c r="C1783" s="7" t="s">
        <v>116</v>
      </c>
      <c r="D1783" s="7" t="s">
        <v>3721</v>
      </c>
      <c r="E1783" s="7" t="s">
        <v>280</v>
      </c>
      <c r="F1783" s="7" t="s">
        <v>212</v>
      </c>
      <c r="G1783" s="7" t="s">
        <v>3214</v>
      </c>
      <c r="H1783" s="1" t="s">
        <v>3213</v>
      </c>
      <c r="I1783" s="2">
        <v>0.7</v>
      </c>
      <c r="J1783" s="2" t="s">
        <v>4367</v>
      </c>
      <c r="K1783" s="2" t="s">
        <v>5713</v>
      </c>
      <c r="L1783" s="6" t="s">
        <v>3834</v>
      </c>
      <c r="Q1783" s="2"/>
      <c r="R1783" s="7" t="s">
        <v>3720</v>
      </c>
      <c r="X1783" s="5">
        <v>-17.4682</v>
      </c>
      <c r="Y1783" s="5">
        <v>28.203399999999998</v>
      </c>
      <c r="Z1783" s="6">
        <v>643</v>
      </c>
      <c r="AA1783" s="7" t="s">
        <v>3719</v>
      </c>
      <c r="AB1783" s="7" t="s">
        <v>3726</v>
      </c>
    </row>
    <row r="1784" spans="1:28" ht="21.75" customHeight="1" x14ac:dyDescent="0.2">
      <c r="A1784" s="7" t="s">
        <v>3176</v>
      </c>
      <c r="B1784" s="7" t="s">
        <v>3205</v>
      </c>
      <c r="C1784" s="7" t="s">
        <v>116</v>
      </c>
      <c r="D1784" s="7" t="s">
        <v>3722</v>
      </c>
      <c r="E1784" s="7" t="s">
        <v>280</v>
      </c>
      <c r="F1784" s="7" t="s">
        <v>212</v>
      </c>
      <c r="G1784" s="7" t="s">
        <v>3214</v>
      </c>
      <c r="H1784" s="1" t="s">
        <v>3213</v>
      </c>
      <c r="I1784" s="2">
        <v>2</v>
      </c>
      <c r="J1784" s="2" t="s">
        <v>4367</v>
      </c>
      <c r="K1784" s="2" t="s">
        <v>5713</v>
      </c>
      <c r="L1784" s="6" t="s">
        <v>3834</v>
      </c>
      <c r="Q1784" s="2"/>
      <c r="R1784" s="7" t="s">
        <v>3720</v>
      </c>
      <c r="X1784" s="5">
        <v>-17.479399999999998</v>
      </c>
      <c r="Y1784" s="5">
        <v>28.2014</v>
      </c>
      <c r="Z1784" s="6">
        <v>658</v>
      </c>
      <c r="AA1784" s="7" t="s">
        <v>3727</v>
      </c>
      <c r="AB1784" s="7" t="s">
        <v>3725</v>
      </c>
    </row>
    <row r="1785" spans="1:28" ht="21.75" customHeight="1" x14ac:dyDescent="0.2">
      <c r="A1785" s="7" t="s">
        <v>3176</v>
      </c>
      <c r="B1785" s="7" t="s">
        <v>3205</v>
      </c>
      <c r="C1785" s="7" t="s">
        <v>116</v>
      </c>
      <c r="D1785" s="7" t="s">
        <v>3728</v>
      </c>
      <c r="E1785" s="7" t="s">
        <v>280</v>
      </c>
      <c r="F1785" s="7" t="s">
        <v>212</v>
      </c>
      <c r="G1785" s="7" t="s">
        <v>3675</v>
      </c>
      <c r="H1785" s="1" t="s">
        <v>3674</v>
      </c>
      <c r="I1785" s="2">
        <v>0.6</v>
      </c>
      <c r="J1785" s="2" t="s">
        <v>4367</v>
      </c>
      <c r="K1785" s="2" t="s">
        <v>5713</v>
      </c>
      <c r="L1785" s="6" t="s">
        <v>3834</v>
      </c>
      <c r="Q1785" s="2"/>
      <c r="R1785" s="7" t="s">
        <v>3720</v>
      </c>
      <c r="X1785" s="5">
        <v>-17.465499999999999</v>
      </c>
      <c r="Y1785" s="5">
        <v>28.2028</v>
      </c>
      <c r="Z1785" s="6">
        <v>639</v>
      </c>
      <c r="AA1785" s="7" t="s">
        <v>3729</v>
      </c>
      <c r="AB1785" s="7" t="s">
        <v>3730</v>
      </c>
    </row>
    <row r="1786" spans="1:28" ht="21.75" customHeight="1" x14ac:dyDescent="0.2">
      <c r="A1786" s="7" t="s">
        <v>3176</v>
      </c>
      <c r="B1786" s="7" t="s">
        <v>3205</v>
      </c>
      <c r="C1786" s="7" t="s">
        <v>116</v>
      </c>
      <c r="D1786" s="7" t="s">
        <v>3723</v>
      </c>
      <c r="E1786" s="7" t="s">
        <v>280</v>
      </c>
      <c r="F1786" s="7" t="s">
        <v>212</v>
      </c>
      <c r="H1786" s="1" t="s">
        <v>3344</v>
      </c>
      <c r="I1786" s="2">
        <v>2</v>
      </c>
      <c r="J1786" s="2" t="s">
        <v>4367</v>
      </c>
      <c r="K1786" s="2" t="s">
        <v>5713</v>
      </c>
      <c r="L1786" s="6" t="s">
        <v>3834</v>
      </c>
      <c r="Q1786" s="2"/>
      <c r="R1786" s="7" t="s">
        <v>3720</v>
      </c>
      <c r="X1786" s="5">
        <v>-17.47</v>
      </c>
      <c r="Y1786" s="5">
        <v>28.192399999999999</v>
      </c>
      <c r="Z1786" s="6">
        <v>651</v>
      </c>
      <c r="AA1786" s="7" t="s">
        <v>3731</v>
      </c>
      <c r="AB1786" s="7" t="s">
        <v>3732</v>
      </c>
    </row>
    <row r="1787" spans="1:28" ht="21.75" customHeight="1" x14ac:dyDescent="0.2">
      <c r="A1787" s="7" t="s">
        <v>3176</v>
      </c>
      <c r="B1787" s="7" t="s">
        <v>3205</v>
      </c>
      <c r="C1787" s="7" t="s">
        <v>116</v>
      </c>
      <c r="D1787" s="7" t="s">
        <v>3724</v>
      </c>
      <c r="E1787" s="7" t="s">
        <v>280</v>
      </c>
      <c r="F1787" s="7" t="s">
        <v>1302</v>
      </c>
      <c r="G1787" s="7" t="s">
        <v>3349</v>
      </c>
      <c r="H1787" s="1" t="s">
        <v>3348</v>
      </c>
      <c r="I1787" s="2">
        <v>0.9</v>
      </c>
      <c r="J1787" s="2" t="s">
        <v>4367</v>
      </c>
      <c r="K1787" s="2" t="s">
        <v>5713</v>
      </c>
      <c r="L1787" s="6" t="s">
        <v>3834</v>
      </c>
      <c r="Q1787" s="2"/>
      <c r="R1787" s="7" t="s">
        <v>3720</v>
      </c>
      <c r="X1787" s="5">
        <v>-17.4725</v>
      </c>
      <c r="Y1787" s="5">
        <v>28.1982</v>
      </c>
      <c r="Z1787" s="6">
        <v>650</v>
      </c>
      <c r="AA1787" s="7" t="s">
        <v>3733</v>
      </c>
      <c r="AB1787" s="7" t="s">
        <v>3829</v>
      </c>
    </row>
    <row r="1788" spans="1:28" ht="21.75" customHeight="1" x14ac:dyDescent="0.2">
      <c r="A1788" s="7" t="s">
        <v>3176</v>
      </c>
      <c r="B1788" s="7" t="s">
        <v>3206</v>
      </c>
      <c r="C1788" s="7" t="s">
        <v>116</v>
      </c>
      <c r="D1788" s="7" t="s">
        <v>3734</v>
      </c>
      <c r="E1788" s="7" t="s">
        <v>280</v>
      </c>
      <c r="F1788" s="7" t="s">
        <v>212</v>
      </c>
      <c r="H1788" s="1" t="s">
        <v>3402</v>
      </c>
      <c r="I1788" s="2">
        <v>1</v>
      </c>
      <c r="J1788" s="2" t="s">
        <v>4367</v>
      </c>
      <c r="K1788" s="2" t="s">
        <v>5713</v>
      </c>
      <c r="L1788" s="6" t="s">
        <v>3834</v>
      </c>
      <c r="O1788" s="45" t="s">
        <v>969</v>
      </c>
      <c r="Q1788" s="2">
        <v>1</v>
      </c>
      <c r="R1788" s="7" t="s">
        <v>3739</v>
      </c>
      <c r="X1788" s="5">
        <v>-16.114100000000001</v>
      </c>
      <c r="Y1788" s="5">
        <v>29.404900000000001</v>
      </c>
      <c r="Z1788" s="6">
        <v>490</v>
      </c>
      <c r="AA1788" s="7" t="s">
        <v>3738</v>
      </c>
      <c r="AB1788" s="7" t="s">
        <v>3830</v>
      </c>
    </row>
    <row r="1789" spans="1:28" ht="21.75" customHeight="1" x14ac:dyDescent="0.2">
      <c r="A1789" s="7" t="s">
        <v>3176</v>
      </c>
      <c r="B1789" s="7" t="s">
        <v>3206</v>
      </c>
      <c r="C1789" s="7" t="s">
        <v>116</v>
      </c>
      <c r="D1789" s="7" t="s">
        <v>3735</v>
      </c>
      <c r="E1789" s="7" t="s">
        <v>280</v>
      </c>
      <c r="F1789" s="7" t="s">
        <v>212</v>
      </c>
      <c r="G1789" s="7" t="s">
        <v>3214</v>
      </c>
      <c r="H1789" s="1" t="s">
        <v>3213</v>
      </c>
      <c r="I1789" s="2">
        <v>1.1000000000000001</v>
      </c>
      <c r="J1789" s="2" t="s">
        <v>4367</v>
      </c>
      <c r="K1789" s="2" t="s">
        <v>5713</v>
      </c>
      <c r="L1789" s="6" t="s">
        <v>3834</v>
      </c>
      <c r="M1789" s="7"/>
      <c r="O1789" s="45" t="s">
        <v>969</v>
      </c>
      <c r="Q1789" s="2">
        <v>1.1000000000000001</v>
      </c>
      <c r="R1789" s="7" t="s">
        <v>3739</v>
      </c>
      <c r="X1789" s="5">
        <v>-16.105899999999998</v>
      </c>
      <c r="Y1789" s="5">
        <v>29.410499999999999</v>
      </c>
      <c r="Z1789" s="6">
        <v>491</v>
      </c>
      <c r="AA1789" s="7" t="s">
        <v>3741</v>
      </c>
      <c r="AB1789" s="7" t="s">
        <v>3740</v>
      </c>
    </row>
    <row r="1790" spans="1:28" ht="21.75" customHeight="1" x14ac:dyDescent="0.2">
      <c r="A1790" s="7" t="s">
        <v>3176</v>
      </c>
      <c r="B1790" s="7" t="s">
        <v>3206</v>
      </c>
      <c r="C1790" s="7" t="s">
        <v>116</v>
      </c>
      <c r="D1790" s="7" t="s">
        <v>3736</v>
      </c>
      <c r="E1790" s="7" t="s">
        <v>280</v>
      </c>
      <c r="F1790" s="7" t="s">
        <v>212</v>
      </c>
      <c r="G1790" s="7" t="s">
        <v>3214</v>
      </c>
      <c r="H1790" s="1" t="s">
        <v>3213</v>
      </c>
      <c r="I1790" s="2">
        <v>1.2</v>
      </c>
      <c r="J1790" s="2" t="s">
        <v>4367</v>
      </c>
      <c r="K1790" s="2" t="s">
        <v>5713</v>
      </c>
      <c r="L1790" s="6" t="s">
        <v>3834</v>
      </c>
      <c r="O1790" s="45" t="s">
        <v>969</v>
      </c>
      <c r="Q1790" s="2">
        <v>1.2</v>
      </c>
      <c r="R1790" s="7" t="s">
        <v>3739</v>
      </c>
      <c r="X1790" s="5">
        <v>-16.112500000000001</v>
      </c>
      <c r="Y1790" s="5">
        <v>29.4116</v>
      </c>
      <c r="Z1790" s="6">
        <v>494</v>
      </c>
      <c r="AA1790" s="7" t="s">
        <v>3742</v>
      </c>
      <c r="AB1790" s="7" t="s">
        <v>3743</v>
      </c>
    </row>
    <row r="1791" spans="1:28" ht="21.75" customHeight="1" x14ac:dyDescent="0.2">
      <c r="A1791" s="7" t="s">
        <v>3176</v>
      </c>
      <c r="B1791" s="7" t="s">
        <v>3206</v>
      </c>
      <c r="C1791" s="7" t="s">
        <v>116</v>
      </c>
      <c r="D1791" s="7" t="s">
        <v>3737</v>
      </c>
      <c r="E1791" s="7" t="s">
        <v>280</v>
      </c>
      <c r="F1791" s="7" t="s">
        <v>212</v>
      </c>
      <c r="H1791" s="1" t="s">
        <v>3344</v>
      </c>
      <c r="I1791" s="2">
        <v>0.7</v>
      </c>
      <c r="J1791" s="2" t="s">
        <v>4367</v>
      </c>
      <c r="K1791" s="2" t="s">
        <v>5713</v>
      </c>
      <c r="L1791" s="6" t="s">
        <v>3834</v>
      </c>
      <c r="O1791" s="45" t="s">
        <v>969</v>
      </c>
      <c r="Q1791" s="2">
        <v>0.7</v>
      </c>
      <c r="R1791" s="7" t="s">
        <v>3739</v>
      </c>
      <c r="X1791" s="5">
        <v>-16.120999999999999</v>
      </c>
      <c r="Y1791" s="5">
        <v>29.407</v>
      </c>
      <c r="Z1791" s="6">
        <v>488</v>
      </c>
      <c r="AA1791" s="7" t="s">
        <v>3744</v>
      </c>
      <c r="AB1791" s="7" t="s">
        <v>3743</v>
      </c>
    </row>
    <row r="1792" spans="1:28" ht="21.75" customHeight="1" x14ac:dyDescent="0.2">
      <c r="A1792" s="7" t="s">
        <v>3176</v>
      </c>
      <c r="B1792" s="7" t="s">
        <v>3207</v>
      </c>
      <c r="C1792" s="7" t="s">
        <v>116</v>
      </c>
      <c r="D1792" s="7" t="s">
        <v>3746</v>
      </c>
      <c r="E1792" s="7" t="s">
        <v>280</v>
      </c>
      <c r="F1792" s="7" t="s">
        <v>1302</v>
      </c>
      <c r="G1792" s="7" t="s">
        <v>3750</v>
      </c>
      <c r="H1792" s="1" t="s">
        <v>3745</v>
      </c>
      <c r="I1792" s="2">
        <v>0.5</v>
      </c>
      <c r="J1792" s="2" t="s">
        <v>4367</v>
      </c>
      <c r="K1792" s="2" t="s">
        <v>5713</v>
      </c>
      <c r="L1792" s="6" t="s">
        <v>3834</v>
      </c>
      <c r="Q1792" s="2"/>
      <c r="R1792" s="7" t="s">
        <v>2538</v>
      </c>
      <c r="X1792" s="7">
        <v>-16.248699999999999</v>
      </c>
      <c r="Y1792" s="7">
        <v>30.623999999999999</v>
      </c>
      <c r="Z1792" s="7">
        <v>401</v>
      </c>
      <c r="AA1792" s="7" t="s">
        <v>3751</v>
      </c>
      <c r="AB1792" s="23" t="s">
        <v>3835</v>
      </c>
    </row>
    <row r="1793" spans="1:28" ht="21.75" customHeight="1" x14ac:dyDescent="0.2">
      <c r="A1793" s="7" t="s">
        <v>3176</v>
      </c>
      <c r="B1793" s="7" t="s">
        <v>3207</v>
      </c>
      <c r="C1793" s="7" t="s">
        <v>116</v>
      </c>
      <c r="D1793" s="7" t="s">
        <v>3753</v>
      </c>
      <c r="E1793" s="7" t="s">
        <v>5049</v>
      </c>
      <c r="F1793" s="7" t="s">
        <v>212</v>
      </c>
      <c r="G1793" s="7" t="s">
        <v>3699</v>
      </c>
      <c r="H1793" s="1" t="s">
        <v>3211</v>
      </c>
      <c r="I1793" s="2">
        <v>0.65</v>
      </c>
      <c r="J1793" s="2" t="s">
        <v>4367</v>
      </c>
      <c r="K1793" s="2" t="s">
        <v>5713</v>
      </c>
      <c r="L1793" s="6" t="s">
        <v>3834</v>
      </c>
      <c r="Q1793" s="2"/>
      <c r="R1793" s="7" t="s">
        <v>2538</v>
      </c>
      <c r="X1793" s="5">
        <v>-16.253299999999999</v>
      </c>
      <c r="Y1793" s="5">
        <v>30.621400000000001</v>
      </c>
      <c r="Z1793" s="6">
        <v>405</v>
      </c>
      <c r="AA1793" s="7" t="s">
        <v>3754</v>
      </c>
      <c r="AB1793" s="7" t="s">
        <v>3755</v>
      </c>
    </row>
    <row r="1794" spans="1:28" ht="21.75" customHeight="1" x14ac:dyDescent="0.2">
      <c r="A1794" s="7" t="s">
        <v>3176</v>
      </c>
      <c r="B1794" s="7" t="s">
        <v>3207</v>
      </c>
      <c r="C1794" s="7" t="s">
        <v>116</v>
      </c>
      <c r="D1794" s="7" t="s">
        <v>3747</v>
      </c>
      <c r="E1794" s="7" t="s">
        <v>280</v>
      </c>
      <c r="F1794" s="7" t="s">
        <v>1302</v>
      </c>
      <c r="G1794" s="7" t="s">
        <v>3704</v>
      </c>
      <c r="H1794" s="1" t="s">
        <v>3553</v>
      </c>
      <c r="I1794" s="2">
        <v>0.9</v>
      </c>
      <c r="J1794" s="2" t="s">
        <v>4367</v>
      </c>
      <c r="K1794" s="2" t="s">
        <v>5713</v>
      </c>
      <c r="L1794" s="6" t="s">
        <v>3834</v>
      </c>
      <c r="Q1794" s="2"/>
      <c r="R1794" s="7" t="s">
        <v>2538</v>
      </c>
      <c r="X1794" s="5">
        <v>-16.255400000000002</v>
      </c>
      <c r="Y1794" s="5">
        <v>30.623699999999999</v>
      </c>
      <c r="Z1794" s="6">
        <v>405</v>
      </c>
      <c r="AA1794" s="7" t="s">
        <v>3757</v>
      </c>
    </row>
    <row r="1795" spans="1:28" ht="21.75" customHeight="1" x14ac:dyDescent="0.2">
      <c r="A1795" s="7" t="s">
        <v>3176</v>
      </c>
      <c r="B1795" s="7" t="s">
        <v>3207</v>
      </c>
      <c r="C1795" s="7" t="s">
        <v>116</v>
      </c>
      <c r="D1795" s="7" t="s">
        <v>3748</v>
      </c>
      <c r="E1795" s="7" t="s">
        <v>280</v>
      </c>
      <c r="F1795" s="7" t="s">
        <v>1302</v>
      </c>
      <c r="G1795" s="7" t="s">
        <v>3710</v>
      </c>
      <c r="H1795" s="1" t="s">
        <v>3709</v>
      </c>
      <c r="I1795" s="2">
        <v>0.6</v>
      </c>
      <c r="J1795" s="2" t="s">
        <v>4367</v>
      </c>
      <c r="K1795" s="2" t="s">
        <v>5713</v>
      </c>
      <c r="L1795" s="6" t="s">
        <v>3834</v>
      </c>
      <c r="Q1795" s="2"/>
      <c r="R1795" s="7" t="s">
        <v>399</v>
      </c>
      <c r="X1795" s="5">
        <v>-16.251200000000001</v>
      </c>
      <c r="Y1795" s="5">
        <v>30.625</v>
      </c>
      <c r="Z1795" s="6">
        <v>404</v>
      </c>
      <c r="AA1795" s="7" t="s">
        <v>3756</v>
      </c>
    </row>
    <row r="1796" spans="1:28" ht="21.75" customHeight="1" x14ac:dyDescent="0.2">
      <c r="A1796" s="7" t="s">
        <v>3176</v>
      </c>
      <c r="B1796" s="7" t="s">
        <v>3207</v>
      </c>
      <c r="C1796" s="7" t="s">
        <v>116</v>
      </c>
      <c r="D1796" s="7" t="s">
        <v>3749</v>
      </c>
      <c r="E1796" s="7" t="s">
        <v>280</v>
      </c>
      <c r="F1796" s="7" t="s">
        <v>212</v>
      </c>
      <c r="G1796" s="7" t="s">
        <v>3760</v>
      </c>
      <c r="H1796" s="1" t="s">
        <v>3758</v>
      </c>
      <c r="I1796" s="2">
        <v>1.2</v>
      </c>
      <c r="J1796" s="2" t="s">
        <v>4367</v>
      </c>
      <c r="K1796" s="2" t="s">
        <v>5713</v>
      </c>
      <c r="L1796" s="6" t="s">
        <v>3834</v>
      </c>
      <c r="Q1796" s="2"/>
      <c r="R1796" s="7" t="s">
        <v>2538</v>
      </c>
      <c r="X1796" s="5">
        <v>-16.2575</v>
      </c>
      <c r="Y1796" s="5">
        <v>30.622399999999999</v>
      </c>
      <c r="Z1796" s="6">
        <v>407</v>
      </c>
      <c r="AA1796" s="7" t="s">
        <v>3759</v>
      </c>
      <c r="AB1796" s="7" t="s">
        <v>3761</v>
      </c>
    </row>
    <row r="1797" spans="1:28" ht="21.75" customHeight="1" x14ac:dyDescent="0.2">
      <c r="A1797" s="7" t="s">
        <v>3176</v>
      </c>
      <c r="B1797" s="7" t="s">
        <v>3207</v>
      </c>
      <c r="C1797" s="7" t="s">
        <v>116</v>
      </c>
      <c r="D1797" s="7" t="s">
        <v>3762</v>
      </c>
      <c r="E1797" s="7" t="s">
        <v>5049</v>
      </c>
      <c r="F1797" s="7" t="s">
        <v>212</v>
      </c>
      <c r="G1797" s="7" t="s">
        <v>3764</v>
      </c>
      <c r="H1797" s="1" t="s">
        <v>3763</v>
      </c>
      <c r="I1797" s="2">
        <v>0.6</v>
      </c>
      <c r="J1797" s="2" t="s">
        <v>4367</v>
      </c>
      <c r="K1797" s="2" t="s">
        <v>5713</v>
      </c>
      <c r="L1797" s="6" t="s">
        <v>3834</v>
      </c>
      <c r="Q1797" s="2"/>
      <c r="R1797" s="7" t="s">
        <v>2538</v>
      </c>
      <c r="X1797" s="5">
        <v>-16.247299999999999</v>
      </c>
      <c r="Y1797" s="5">
        <v>30.6174</v>
      </c>
      <c r="Z1797" s="6">
        <v>404</v>
      </c>
      <c r="AA1797" s="7" t="s">
        <v>3765</v>
      </c>
      <c r="AB1797" s="7" t="s">
        <v>3766</v>
      </c>
    </row>
    <row r="1798" spans="1:28" ht="21.75" customHeight="1" x14ac:dyDescent="0.2">
      <c r="A1798" s="7" t="s">
        <v>3176</v>
      </c>
      <c r="B1798" s="7" t="s">
        <v>3207</v>
      </c>
      <c r="C1798" s="7" t="s">
        <v>116</v>
      </c>
      <c r="D1798" s="7" t="s">
        <v>3767</v>
      </c>
      <c r="E1798" s="7" t="s">
        <v>280</v>
      </c>
      <c r="F1798" s="7" t="s">
        <v>212</v>
      </c>
      <c r="G1798" s="7" t="s">
        <v>3623</v>
      </c>
      <c r="H1798" s="1" t="s">
        <v>3620</v>
      </c>
      <c r="I1798" s="2">
        <v>0.8</v>
      </c>
      <c r="J1798" s="2" t="s">
        <v>4367</v>
      </c>
      <c r="K1798" s="2" t="s">
        <v>5713</v>
      </c>
      <c r="L1798" s="6" t="s">
        <v>3834</v>
      </c>
      <c r="O1798" s="45" t="s">
        <v>3770</v>
      </c>
      <c r="Q1798" s="2"/>
      <c r="R1798" s="7" t="s">
        <v>3769</v>
      </c>
      <c r="X1798" s="5">
        <v>-16.181100000000001</v>
      </c>
      <c r="Y1798" s="5">
        <v>30.548200000000001</v>
      </c>
      <c r="Z1798" s="6">
        <v>377</v>
      </c>
      <c r="AA1798" s="7" t="s">
        <v>3771</v>
      </c>
    </row>
    <row r="1799" spans="1:28" ht="21.75" customHeight="1" x14ac:dyDescent="0.2">
      <c r="A1799" s="7" t="s">
        <v>3176</v>
      </c>
      <c r="B1799" s="7" t="s">
        <v>3207</v>
      </c>
      <c r="C1799" s="7" t="s">
        <v>116</v>
      </c>
      <c r="D1799" s="7" t="s">
        <v>3775</v>
      </c>
      <c r="E1799" s="7" t="s">
        <v>280</v>
      </c>
      <c r="F1799" s="7" t="s">
        <v>212</v>
      </c>
      <c r="G1799" s="7" t="s">
        <v>3773</v>
      </c>
      <c r="H1799" s="1" t="s">
        <v>3772</v>
      </c>
      <c r="I1799" s="2">
        <v>1.5</v>
      </c>
      <c r="J1799" s="2" t="s">
        <v>4367</v>
      </c>
      <c r="K1799" s="2" t="s">
        <v>5713</v>
      </c>
      <c r="L1799" s="6" t="s">
        <v>3834</v>
      </c>
      <c r="O1799" s="45" t="s">
        <v>3770</v>
      </c>
      <c r="Q1799" s="2"/>
      <c r="R1799" s="7" t="s">
        <v>3769</v>
      </c>
      <c r="X1799" s="7">
        <v>-16.162500000000001</v>
      </c>
      <c r="Y1799" s="5">
        <v>30.5562</v>
      </c>
      <c r="Z1799" s="6">
        <v>378</v>
      </c>
      <c r="AA1799" s="7" t="s">
        <v>3774</v>
      </c>
      <c r="AB1799" s="7" t="s">
        <v>3776</v>
      </c>
    </row>
    <row r="1800" spans="1:28" ht="21.75" customHeight="1" x14ac:dyDescent="0.2">
      <c r="A1800" s="7" t="s">
        <v>3176</v>
      </c>
      <c r="B1800" s="7" t="s">
        <v>3207</v>
      </c>
      <c r="C1800" s="7" t="s">
        <v>116</v>
      </c>
      <c r="D1800" s="7" t="s">
        <v>3768</v>
      </c>
      <c r="E1800" s="7" t="s">
        <v>5049</v>
      </c>
      <c r="F1800" s="7" t="s">
        <v>212</v>
      </c>
      <c r="G1800" s="7" t="s">
        <v>3483</v>
      </c>
      <c r="H1800" s="1" t="s">
        <v>3473</v>
      </c>
      <c r="I1800" s="2">
        <v>1</v>
      </c>
      <c r="J1800" s="2" t="s">
        <v>4367</v>
      </c>
      <c r="K1800" s="2" t="s">
        <v>5713</v>
      </c>
      <c r="L1800" s="6" t="s">
        <v>3834</v>
      </c>
      <c r="O1800" s="45" t="s">
        <v>3770</v>
      </c>
      <c r="Q1800" s="2"/>
      <c r="R1800" s="7" t="s">
        <v>3769</v>
      </c>
      <c r="X1800" s="5">
        <v>-16.172799999999999</v>
      </c>
      <c r="Y1800" s="5">
        <v>30.5518</v>
      </c>
      <c r="Z1800" s="6">
        <v>380</v>
      </c>
      <c r="AA1800" s="7" t="s">
        <v>3836</v>
      </c>
      <c r="AB1800" s="7" t="s">
        <v>3777</v>
      </c>
    </row>
    <row r="1801" spans="1:28" s="8" customFormat="1" ht="21.75" customHeight="1" x14ac:dyDescent="0.2">
      <c r="A1801" s="8" t="s">
        <v>6492</v>
      </c>
      <c r="B1801" s="8" t="s">
        <v>6496</v>
      </c>
      <c r="C1801" s="8" t="s">
        <v>188</v>
      </c>
      <c r="E1801" s="8" t="s">
        <v>735</v>
      </c>
      <c r="F1801" s="8" t="s">
        <v>6497</v>
      </c>
      <c r="G1801" s="8" t="s">
        <v>6494</v>
      </c>
      <c r="H1801" s="3" t="s">
        <v>6493</v>
      </c>
      <c r="I1801" s="4">
        <v>2.0499999999999998</v>
      </c>
      <c r="J1801" s="4" t="s">
        <v>4367</v>
      </c>
      <c r="K1801" s="4" t="s">
        <v>4386</v>
      </c>
      <c r="L1801" s="14"/>
      <c r="M1801" s="14"/>
      <c r="N1801" s="14"/>
      <c r="O1801" s="110" t="s">
        <v>6499</v>
      </c>
      <c r="P1801" s="4"/>
      <c r="Q1801" s="4"/>
      <c r="R1801" s="8" t="s">
        <v>6500</v>
      </c>
      <c r="W1801" s="8" t="s">
        <v>4104</v>
      </c>
      <c r="X1801" s="13">
        <v>43.215299999999999</v>
      </c>
      <c r="Y1801" s="13">
        <v>76.934899999999999</v>
      </c>
      <c r="Z1801" s="14">
        <v>920</v>
      </c>
      <c r="AA1801" s="8" t="s">
        <v>6495</v>
      </c>
      <c r="AB1801" s="22" t="s">
        <v>6498</v>
      </c>
    </row>
    <row r="1802" spans="1:28" ht="21.75" customHeight="1" x14ac:dyDescent="0.2">
      <c r="A1802" s="7" t="s">
        <v>5982</v>
      </c>
      <c r="B1802" s="7" t="s">
        <v>5983</v>
      </c>
      <c r="C1802" s="7" t="s">
        <v>1839</v>
      </c>
      <c r="D1802" s="7" t="s">
        <v>5984</v>
      </c>
      <c r="E1802" s="7" t="s">
        <v>33</v>
      </c>
      <c r="F1802" s="7" t="s">
        <v>212</v>
      </c>
      <c r="G1802" s="7" t="s">
        <v>5988</v>
      </c>
      <c r="H1802" s="1" t="s">
        <v>5987</v>
      </c>
      <c r="I1802" s="2">
        <f>44*0.0254</f>
        <v>1.1175999999999999</v>
      </c>
      <c r="J1802" s="2" t="s">
        <v>4404</v>
      </c>
      <c r="K1802" s="2" t="s">
        <v>4410</v>
      </c>
      <c r="L1802" s="6">
        <f>54*25.4</f>
        <v>1371.6</v>
      </c>
      <c r="M1802" s="6" t="s">
        <v>2865</v>
      </c>
      <c r="O1802" s="45" t="s">
        <v>5994</v>
      </c>
      <c r="Q1802" s="2"/>
      <c r="R1802" s="7" t="s">
        <v>1271</v>
      </c>
      <c r="X1802" s="5">
        <v>33.120899999999999</v>
      </c>
      <c r="Y1802" s="5">
        <v>-91.654200000000003</v>
      </c>
      <c r="Z1802" s="6">
        <v>40</v>
      </c>
      <c r="AA1802" s="7" t="s">
        <v>5991</v>
      </c>
      <c r="AB1802" s="134" t="s">
        <v>5996</v>
      </c>
    </row>
    <row r="1803" spans="1:28" ht="21.75" customHeight="1" x14ac:dyDescent="0.2">
      <c r="A1803" s="7" t="s">
        <v>5982</v>
      </c>
      <c r="B1803" s="7" t="s">
        <v>5983</v>
      </c>
      <c r="C1803" s="7" t="s">
        <v>1839</v>
      </c>
      <c r="D1803" s="7" t="s">
        <v>5985</v>
      </c>
      <c r="E1803" s="7" t="s">
        <v>33</v>
      </c>
      <c r="F1803" s="7" t="s">
        <v>212</v>
      </c>
      <c r="G1803" s="7" t="s">
        <v>5988</v>
      </c>
      <c r="H1803" s="1" t="s">
        <v>5987</v>
      </c>
      <c r="I1803" s="2">
        <f>50*0.0254</f>
        <v>1.27</v>
      </c>
      <c r="J1803" s="2" t="s">
        <v>4404</v>
      </c>
      <c r="K1803" s="2" t="s">
        <v>4410</v>
      </c>
      <c r="L1803" s="6">
        <f>50*25.4</f>
        <v>1270</v>
      </c>
      <c r="M1803" s="6" t="s">
        <v>2865</v>
      </c>
      <c r="O1803" s="45" t="s">
        <v>5993</v>
      </c>
      <c r="Q1803" s="2"/>
      <c r="R1803" s="7" t="s">
        <v>5989</v>
      </c>
      <c r="X1803" s="5">
        <v>34.286900000000003</v>
      </c>
      <c r="Y1803" s="5">
        <v>-94.18</v>
      </c>
      <c r="Z1803" s="6">
        <v>234</v>
      </c>
      <c r="AA1803" s="7" t="s">
        <v>5990</v>
      </c>
      <c r="AB1803" s="136"/>
    </row>
    <row r="1804" spans="1:28" ht="21.75" customHeight="1" x14ac:dyDescent="0.2">
      <c r="A1804" s="7" t="s">
        <v>5982</v>
      </c>
      <c r="B1804" s="7" t="s">
        <v>5983</v>
      </c>
      <c r="C1804" s="7" t="s">
        <v>1839</v>
      </c>
      <c r="D1804" s="7" t="s">
        <v>5986</v>
      </c>
      <c r="E1804" s="7" t="s">
        <v>33</v>
      </c>
      <c r="F1804" s="7" t="s">
        <v>212</v>
      </c>
      <c r="G1804" s="7" t="s">
        <v>5988</v>
      </c>
      <c r="H1804" s="1" t="s">
        <v>5987</v>
      </c>
      <c r="I1804" s="2">
        <f>47*0.0254</f>
        <v>1.1938</v>
      </c>
      <c r="J1804" s="2" t="s">
        <v>4404</v>
      </c>
      <c r="K1804" s="2" t="s">
        <v>4410</v>
      </c>
      <c r="L1804" s="6">
        <f>44*25.4</f>
        <v>1117.5999999999999</v>
      </c>
      <c r="M1804" s="6" t="s">
        <v>2865</v>
      </c>
      <c r="O1804" s="45" t="s">
        <v>5992</v>
      </c>
      <c r="R1804" s="7" t="s">
        <v>5989</v>
      </c>
      <c r="X1804" s="5">
        <v>33.156500000000001</v>
      </c>
      <c r="Y1804" s="5">
        <v>-93.269400000000005</v>
      </c>
      <c r="Z1804" s="7">
        <v>87</v>
      </c>
      <c r="AA1804" s="7" t="s">
        <v>5995</v>
      </c>
      <c r="AB1804" s="135"/>
    </row>
    <row r="1805" spans="1:28" s="8" customFormat="1" ht="21.75" customHeight="1" x14ac:dyDescent="0.2">
      <c r="A1805" s="8" t="s">
        <v>5120</v>
      </c>
      <c r="B1805" s="8" t="s">
        <v>5121</v>
      </c>
      <c r="C1805" s="8" t="s">
        <v>5125</v>
      </c>
      <c r="E1805" s="8" t="s">
        <v>263</v>
      </c>
      <c r="F1805" s="8" t="s">
        <v>212</v>
      </c>
      <c r="H1805" s="3" t="s">
        <v>5126</v>
      </c>
      <c r="I1805" s="4">
        <v>1.85</v>
      </c>
      <c r="J1805" s="4" t="s">
        <v>4367</v>
      </c>
      <c r="K1805" s="4" t="s">
        <v>4480</v>
      </c>
      <c r="L1805" s="14">
        <v>2000</v>
      </c>
      <c r="M1805" s="14"/>
      <c r="N1805" s="14"/>
      <c r="O1805" s="110" t="s">
        <v>5124</v>
      </c>
      <c r="P1805" s="4"/>
      <c r="Q1805" s="4"/>
      <c r="R1805" s="8" t="s">
        <v>5122</v>
      </c>
      <c r="X1805" s="13">
        <v>10.300700000000001</v>
      </c>
      <c r="Y1805" s="13">
        <f>-(84+48/60)</f>
        <v>-84.8</v>
      </c>
      <c r="Z1805" s="14">
        <v>1550</v>
      </c>
      <c r="AA1805" s="8" t="s">
        <v>5123</v>
      </c>
      <c r="AB1805" s="8" t="s">
        <v>5127</v>
      </c>
    </row>
    <row r="1806" spans="1:28" ht="21.75" customHeight="1" x14ac:dyDescent="0.2">
      <c r="A1806" s="7" t="s">
        <v>2233</v>
      </c>
      <c r="B1806" s="7" t="s">
        <v>2235</v>
      </c>
      <c r="C1806" s="7" t="s">
        <v>2234</v>
      </c>
      <c r="D1806" s="7" t="s">
        <v>2236</v>
      </c>
      <c r="E1806" s="7" t="s">
        <v>736</v>
      </c>
      <c r="F1806" s="7" t="s">
        <v>212</v>
      </c>
      <c r="G1806" s="7" t="s">
        <v>2239</v>
      </c>
      <c r="H1806" s="1" t="s">
        <v>2240</v>
      </c>
      <c r="I1806" s="2">
        <v>1.85</v>
      </c>
      <c r="J1806" s="2" t="s">
        <v>5817</v>
      </c>
      <c r="K1806" s="2" t="s">
        <v>5783</v>
      </c>
      <c r="L1806" s="7" t="s">
        <v>2255</v>
      </c>
      <c r="Q1806" s="7">
        <v>5</v>
      </c>
      <c r="R1806" s="7" t="s">
        <v>2246</v>
      </c>
      <c r="X1806" s="5">
        <v>54.9773</v>
      </c>
      <c r="Y1806" s="5">
        <v>69.690100000000001</v>
      </c>
      <c r="Z1806" s="6">
        <v>146</v>
      </c>
      <c r="AA1806" s="139" t="s">
        <v>2249</v>
      </c>
      <c r="AB1806" s="7" t="s">
        <v>2250</v>
      </c>
    </row>
    <row r="1807" spans="1:28" ht="21.75" customHeight="1" x14ac:dyDescent="0.2">
      <c r="A1807" s="7" t="s">
        <v>2233</v>
      </c>
      <c r="B1807" s="7" t="s">
        <v>2235</v>
      </c>
      <c r="C1807" s="7" t="s">
        <v>2234</v>
      </c>
      <c r="D1807" s="44" t="s">
        <v>2237</v>
      </c>
      <c r="E1807" s="7" t="s">
        <v>736</v>
      </c>
      <c r="F1807" s="7" t="s">
        <v>212</v>
      </c>
      <c r="G1807" s="7" t="s">
        <v>2239</v>
      </c>
      <c r="H1807" s="1" t="s">
        <v>2240</v>
      </c>
      <c r="I1807" s="2">
        <v>1.36</v>
      </c>
      <c r="J1807" s="2" t="s">
        <v>5817</v>
      </c>
      <c r="K1807" s="2" t="s">
        <v>5783</v>
      </c>
      <c r="L1807" s="7" t="s">
        <v>2255</v>
      </c>
      <c r="Q1807" s="7">
        <v>4</v>
      </c>
      <c r="R1807" s="44" t="s">
        <v>2247</v>
      </c>
      <c r="X1807" s="5">
        <v>54.948300000000003</v>
      </c>
      <c r="Y1807" s="5">
        <v>69.706500000000005</v>
      </c>
      <c r="Z1807" s="6">
        <v>138</v>
      </c>
      <c r="AA1807" s="139"/>
      <c r="AB1807" s="7" t="s">
        <v>2251</v>
      </c>
    </row>
    <row r="1808" spans="1:28" ht="21.75" customHeight="1" x14ac:dyDescent="0.2">
      <c r="A1808" s="7" t="s">
        <v>2233</v>
      </c>
      <c r="B1808" s="7" t="s">
        <v>2235</v>
      </c>
      <c r="C1808" s="7" t="s">
        <v>2234</v>
      </c>
      <c r="D1808" s="44" t="s">
        <v>2237</v>
      </c>
      <c r="E1808" s="7" t="s">
        <v>2245</v>
      </c>
      <c r="F1808" s="7" t="s">
        <v>212</v>
      </c>
      <c r="G1808" s="7" t="s">
        <v>2241</v>
      </c>
      <c r="H1808" s="1" t="s">
        <v>2242</v>
      </c>
      <c r="I1808" s="2">
        <v>1</v>
      </c>
      <c r="J1808" s="2" t="s">
        <v>5817</v>
      </c>
      <c r="K1808" s="2" t="s">
        <v>5783</v>
      </c>
      <c r="L1808" s="7" t="s">
        <v>2255</v>
      </c>
      <c r="Q1808" s="7">
        <v>4</v>
      </c>
      <c r="R1808" s="44" t="s">
        <v>2247</v>
      </c>
      <c r="X1808" s="5">
        <v>54.948300000000003</v>
      </c>
      <c r="Y1808" s="5">
        <v>69.706500000000005</v>
      </c>
      <c r="Z1808" s="6">
        <v>138</v>
      </c>
      <c r="AA1808" s="139"/>
      <c r="AB1808" s="7" t="s">
        <v>2252</v>
      </c>
    </row>
    <row r="1809" spans="1:28" ht="21.75" customHeight="1" x14ac:dyDescent="0.2">
      <c r="A1809" s="7" t="s">
        <v>2233</v>
      </c>
      <c r="B1809" s="7" t="s">
        <v>2235</v>
      </c>
      <c r="C1809" s="7" t="s">
        <v>2234</v>
      </c>
      <c r="D1809" s="44" t="s">
        <v>2237</v>
      </c>
      <c r="E1809" s="7" t="s">
        <v>280</v>
      </c>
      <c r="F1809" s="7" t="s">
        <v>212</v>
      </c>
      <c r="G1809" s="7" t="s">
        <v>2243</v>
      </c>
      <c r="H1809" s="1" t="s">
        <v>2244</v>
      </c>
      <c r="I1809" s="2">
        <v>0.8</v>
      </c>
      <c r="J1809" s="2" t="s">
        <v>5817</v>
      </c>
      <c r="K1809" s="2" t="s">
        <v>5783</v>
      </c>
      <c r="L1809" s="7" t="s">
        <v>2255</v>
      </c>
      <c r="Q1809" s="7">
        <v>4</v>
      </c>
      <c r="R1809" s="44" t="s">
        <v>2247</v>
      </c>
      <c r="X1809" s="5">
        <v>54.948300000000003</v>
      </c>
      <c r="Y1809" s="5">
        <v>69.706500000000005</v>
      </c>
      <c r="Z1809" s="6">
        <v>138</v>
      </c>
      <c r="AA1809" s="139"/>
      <c r="AB1809" s="7" t="s">
        <v>2253</v>
      </c>
    </row>
    <row r="1810" spans="1:28" ht="21.75" customHeight="1" x14ac:dyDescent="0.2">
      <c r="A1810" s="7" t="s">
        <v>2233</v>
      </c>
      <c r="B1810" s="7" t="s">
        <v>2235</v>
      </c>
      <c r="C1810" s="7" t="s">
        <v>2234</v>
      </c>
      <c r="D1810" s="7" t="s">
        <v>2238</v>
      </c>
      <c r="E1810" s="7" t="s">
        <v>736</v>
      </c>
      <c r="F1810" s="7" t="s">
        <v>212</v>
      </c>
      <c r="G1810" s="7" t="s">
        <v>2239</v>
      </c>
      <c r="H1810" s="1" t="s">
        <v>2240</v>
      </c>
      <c r="I1810" s="2">
        <v>0.8</v>
      </c>
      <c r="J1810" s="2" t="s">
        <v>5817</v>
      </c>
      <c r="K1810" s="2" t="s">
        <v>5783</v>
      </c>
      <c r="L1810" s="7" t="s">
        <v>2255</v>
      </c>
      <c r="Q1810" s="7">
        <v>3</v>
      </c>
      <c r="R1810" s="7" t="s">
        <v>2248</v>
      </c>
      <c r="X1810" s="5">
        <v>54.924300000000002</v>
      </c>
      <c r="Y1810" s="5">
        <v>69.773899999999998</v>
      </c>
      <c r="Z1810" s="6">
        <v>133</v>
      </c>
      <c r="AA1810" s="139"/>
      <c r="AB1810" s="7" t="s">
        <v>2254</v>
      </c>
    </row>
    <row r="1811" spans="1:28" s="8" customFormat="1" ht="21.75" customHeight="1" x14ac:dyDescent="0.2">
      <c r="A1811" s="8" t="s">
        <v>6501</v>
      </c>
      <c r="B1811" s="8" t="s">
        <v>6502</v>
      </c>
      <c r="C1811" s="8" t="s">
        <v>46</v>
      </c>
      <c r="E1811" s="8" t="s">
        <v>6521</v>
      </c>
      <c r="F1811" s="8" t="s">
        <v>6519</v>
      </c>
      <c r="H1811" s="3" t="s">
        <v>6503</v>
      </c>
      <c r="I1811" s="4" t="s">
        <v>4960</v>
      </c>
      <c r="J1811" s="4" t="s">
        <v>4367</v>
      </c>
      <c r="K1811" s="4" t="s">
        <v>4386</v>
      </c>
      <c r="L1811" s="8">
        <v>90</v>
      </c>
      <c r="M1811" s="14"/>
      <c r="N1811" s="14"/>
      <c r="O1811" s="110" t="s">
        <v>2649</v>
      </c>
      <c r="P1811" s="4"/>
      <c r="R1811" s="8" t="s">
        <v>1605</v>
      </c>
      <c r="X1811" s="13">
        <v>30.9129</v>
      </c>
      <c r="Y1811" s="13">
        <v>34.447800000000001</v>
      </c>
      <c r="Z1811" s="14">
        <v>229</v>
      </c>
      <c r="AA1811" s="8" t="s">
        <v>6515</v>
      </c>
      <c r="AB1811" s="8" t="s">
        <v>6504</v>
      </c>
    </row>
    <row r="1812" spans="1:28" s="8" customFormat="1" ht="21.75" customHeight="1" x14ac:dyDescent="0.2">
      <c r="A1812" s="8" t="s">
        <v>6501</v>
      </c>
      <c r="B1812" s="8" t="s">
        <v>6502</v>
      </c>
      <c r="C1812" s="8" t="s">
        <v>46</v>
      </c>
      <c r="E1812" s="8" t="s">
        <v>6521</v>
      </c>
      <c r="F1812" s="8" t="s">
        <v>6520</v>
      </c>
      <c r="H1812" s="3" t="s">
        <v>6506</v>
      </c>
      <c r="I1812" s="4" t="s">
        <v>6507</v>
      </c>
      <c r="J1812" s="4" t="s">
        <v>4367</v>
      </c>
      <c r="K1812" s="4" t="s">
        <v>4480</v>
      </c>
      <c r="L1812" s="8">
        <v>90</v>
      </c>
      <c r="M1812" s="14"/>
      <c r="N1812" s="14"/>
      <c r="O1812" s="110" t="s">
        <v>2649</v>
      </c>
      <c r="P1812" s="4"/>
      <c r="R1812" s="8" t="s">
        <v>1605</v>
      </c>
      <c r="X1812" s="13">
        <v>30.978899999999999</v>
      </c>
      <c r="Y1812" s="13">
        <v>34.409300000000002</v>
      </c>
      <c r="Z1812" s="14">
        <v>205</v>
      </c>
      <c r="AA1812" s="8" t="s">
        <v>6508</v>
      </c>
      <c r="AB1812" s="8" t="s">
        <v>6509</v>
      </c>
    </row>
    <row r="1813" spans="1:28" s="8" customFormat="1" ht="21.75" customHeight="1" x14ac:dyDescent="0.2">
      <c r="A1813" s="8" t="s">
        <v>6501</v>
      </c>
      <c r="B1813" s="8" t="s">
        <v>6502</v>
      </c>
      <c r="C1813" s="8" t="s">
        <v>46</v>
      </c>
      <c r="E1813" s="8" t="s">
        <v>6521</v>
      </c>
      <c r="F1813" s="8" t="s">
        <v>214</v>
      </c>
      <c r="H1813" s="3" t="s">
        <v>6510</v>
      </c>
      <c r="I1813" s="4">
        <v>3.5</v>
      </c>
      <c r="J1813" s="4" t="s">
        <v>4367</v>
      </c>
      <c r="K1813" s="4" t="s">
        <v>4480</v>
      </c>
      <c r="L1813" s="8">
        <v>90</v>
      </c>
      <c r="M1813" s="14"/>
      <c r="N1813" s="14"/>
      <c r="O1813" s="110" t="s">
        <v>6511</v>
      </c>
      <c r="P1813" s="4"/>
      <c r="R1813" s="8" t="s">
        <v>1605</v>
      </c>
      <c r="X1813" s="13">
        <v>31.1004</v>
      </c>
      <c r="Y1813" s="13">
        <v>34.558599999999998</v>
      </c>
      <c r="Z1813" s="14">
        <v>201</v>
      </c>
      <c r="AA1813" s="8" t="s">
        <v>6512</v>
      </c>
      <c r="AB1813" s="8" t="s">
        <v>6513</v>
      </c>
    </row>
    <row r="1814" spans="1:28" s="8" customFormat="1" ht="21.75" customHeight="1" x14ac:dyDescent="0.2">
      <c r="A1814" s="8" t="s">
        <v>6501</v>
      </c>
      <c r="B1814" s="8" t="s">
        <v>6502</v>
      </c>
      <c r="C1814" s="8" t="s">
        <v>46</v>
      </c>
      <c r="E1814" s="8" t="s">
        <v>6514</v>
      </c>
      <c r="F1814" s="8" t="s">
        <v>214</v>
      </c>
      <c r="H1814" s="3" t="s">
        <v>6505</v>
      </c>
      <c r="I1814" s="4">
        <v>0.6</v>
      </c>
      <c r="J1814" s="4" t="s">
        <v>5786</v>
      </c>
      <c r="K1814" s="4" t="s">
        <v>4410</v>
      </c>
      <c r="L1814" s="8">
        <v>90</v>
      </c>
      <c r="M1814" s="14"/>
      <c r="N1814" s="14"/>
      <c r="O1814" s="110" t="s">
        <v>6516</v>
      </c>
      <c r="P1814" s="4"/>
      <c r="R1814" s="8" t="s">
        <v>1605</v>
      </c>
      <c r="X1814" s="13">
        <v>30.9955</v>
      </c>
      <c r="Y1814" s="13">
        <v>34.447200000000002</v>
      </c>
      <c r="Z1814" s="14">
        <v>248</v>
      </c>
      <c r="AA1814" s="8" t="s">
        <v>6517</v>
      </c>
      <c r="AB1814" s="8" t="s">
        <v>6518</v>
      </c>
    </row>
    <row r="1815" spans="1:28" ht="21.75" customHeight="1" x14ac:dyDescent="0.2">
      <c r="A1815" s="7" t="s">
        <v>2256</v>
      </c>
      <c r="B1815" s="7" t="s">
        <v>2257</v>
      </c>
      <c r="C1815" s="7" t="s">
        <v>2261</v>
      </c>
      <c r="D1815" s="7" t="s">
        <v>2258</v>
      </c>
      <c r="E1815" s="7" t="s">
        <v>280</v>
      </c>
      <c r="F1815" s="7" t="s">
        <v>214</v>
      </c>
      <c r="G1815" s="7" t="s">
        <v>2259</v>
      </c>
      <c r="H1815" s="1" t="s">
        <v>38</v>
      </c>
      <c r="I1815" s="2">
        <v>1.7</v>
      </c>
      <c r="J1815" s="2" t="s">
        <v>5818</v>
      </c>
      <c r="K1815" s="2" t="s">
        <v>4410</v>
      </c>
      <c r="L1815" s="7">
        <v>33</v>
      </c>
      <c r="M1815" s="6" t="s">
        <v>2267</v>
      </c>
      <c r="N1815" s="6">
        <v>2570</v>
      </c>
      <c r="O1815" s="45" t="s">
        <v>51</v>
      </c>
      <c r="Q1815" s="7" t="s">
        <v>2262</v>
      </c>
      <c r="R1815" s="7" t="s">
        <v>50</v>
      </c>
      <c r="X1815" s="5">
        <f>37+1/60</f>
        <v>37.016666666666666</v>
      </c>
      <c r="Y1815" s="5">
        <v>80.8</v>
      </c>
      <c r="Z1815" s="6">
        <v>1365</v>
      </c>
      <c r="AA1815" s="7" t="s">
        <v>2263</v>
      </c>
      <c r="AB1815" s="7" t="s">
        <v>2265</v>
      </c>
    </row>
    <row r="1816" spans="1:28" ht="21.75" customHeight="1" x14ac:dyDescent="0.2">
      <c r="A1816" s="7" t="s">
        <v>2256</v>
      </c>
      <c r="B1816" s="7" t="s">
        <v>2257</v>
      </c>
      <c r="C1816" s="7" t="s">
        <v>2261</v>
      </c>
      <c r="D1816" s="7" t="s">
        <v>2258</v>
      </c>
      <c r="E1816" s="7" t="s">
        <v>398</v>
      </c>
      <c r="F1816" s="7" t="s">
        <v>217</v>
      </c>
      <c r="H1816" s="1" t="s">
        <v>2260</v>
      </c>
      <c r="I1816" s="2">
        <v>2.2000000000000002</v>
      </c>
      <c r="J1816" s="2" t="s">
        <v>5818</v>
      </c>
      <c r="K1816" s="2" t="s">
        <v>4410</v>
      </c>
      <c r="L1816" s="7">
        <v>33</v>
      </c>
      <c r="M1816" s="6" t="s">
        <v>2267</v>
      </c>
      <c r="N1816" s="6">
        <v>2570</v>
      </c>
      <c r="O1816" s="45" t="s">
        <v>51</v>
      </c>
      <c r="Q1816" s="7" t="s">
        <v>2262</v>
      </c>
      <c r="R1816" s="7" t="s">
        <v>50</v>
      </c>
      <c r="X1816" s="5">
        <f>37+1/60</f>
        <v>37.016666666666666</v>
      </c>
      <c r="Y1816" s="5">
        <v>80.8</v>
      </c>
      <c r="Z1816" s="6">
        <v>1365</v>
      </c>
      <c r="AA1816" s="7" t="s">
        <v>2264</v>
      </c>
      <c r="AB1816" s="7" t="s">
        <v>2266</v>
      </c>
    </row>
    <row r="1817" spans="1:28" s="8" customFormat="1" ht="21.75" customHeight="1" x14ac:dyDescent="0.2">
      <c r="A1817" s="8" t="s">
        <v>2268</v>
      </c>
      <c r="B1817" s="8" t="s">
        <v>2269</v>
      </c>
      <c r="C1817" s="8" t="s">
        <v>90</v>
      </c>
      <c r="D1817" s="8" t="s">
        <v>2270</v>
      </c>
      <c r="E1817" s="8" t="s">
        <v>33</v>
      </c>
      <c r="F1817" s="8" t="s">
        <v>212</v>
      </c>
      <c r="G1817" s="8" t="s">
        <v>86</v>
      </c>
      <c r="H1817" s="3" t="s">
        <v>87</v>
      </c>
      <c r="I1817" s="4">
        <f>3.4*0.3048</f>
        <v>1.0363200000000001</v>
      </c>
      <c r="J1817" s="4" t="s">
        <v>4367</v>
      </c>
      <c r="K1817" s="4" t="s">
        <v>5713</v>
      </c>
      <c r="L1817" s="14"/>
      <c r="M1817" s="14"/>
      <c r="N1817" s="14"/>
      <c r="O1817" s="110" t="s">
        <v>2305</v>
      </c>
      <c r="P1817" s="4"/>
      <c r="R1817" s="8" t="s">
        <v>2282</v>
      </c>
      <c r="X1817" s="13">
        <v>53.297699999999999</v>
      </c>
      <c r="Y1817" s="13">
        <v>-117.86320000000001</v>
      </c>
      <c r="Z1817" s="14">
        <v>1019</v>
      </c>
      <c r="AA1817" s="8" t="s">
        <v>2295</v>
      </c>
      <c r="AB1817" s="8" t="s">
        <v>2324</v>
      </c>
    </row>
    <row r="1818" spans="1:28" s="8" customFormat="1" ht="21.75" customHeight="1" x14ac:dyDescent="0.2">
      <c r="A1818" s="8" t="s">
        <v>2268</v>
      </c>
      <c r="B1818" s="8" t="s">
        <v>2306</v>
      </c>
      <c r="C1818" s="8" t="s">
        <v>90</v>
      </c>
      <c r="D1818" s="8" t="s">
        <v>2271</v>
      </c>
      <c r="E1818" s="8" t="s">
        <v>33</v>
      </c>
      <c r="F1818" s="8" t="s">
        <v>212</v>
      </c>
      <c r="G1818" s="8" t="s">
        <v>86</v>
      </c>
      <c r="H1818" s="3" t="s">
        <v>87</v>
      </c>
      <c r="I1818" s="4">
        <f>1.3*0.3048</f>
        <v>0.39624000000000004</v>
      </c>
      <c r="J1818" s="4" t="s">
        <v>4367</v>
      </c>
      <c r="K1818" s="4" t="s">
        <v>5713</v>
      </c>
      <c r="L1818" s="14"/>
      <c r="M1818" s="14"/>
      <c r="N1818" s="14"/>
      <c r="O1818" s="110" t="s">
        <v>2307</v>
      </c>
      <c r="P1818" s="4"/>
      <c r="R1818" s="8" t="s">
        <v>2283</v>
      </c>
      <c r="X1818" s="13">
        <v>55.523600000000002</v>
      </c>
      <c r="Y1818" s="13">
        <v>-118.43429999999999</v>
      </c>
      <c r="Z1818" s="14">
        <v>658</v>
      </c>
      <c r="AA1818" s="8" t="s">
        <v>2296</v>
      </c>
      <c r="AB1818" s="8" t="s">
        <v>2325</v>
      </c>
    </row>
    <row r="1819" spans="1:28" s="8" customFormat="1" ht="21.75" customHeight="1" x14ac:dyDescent="0.2">
      <c r="A1819" s="8" t="s">
        <v>2268</v>
      </c>
      <c r="B1819" s="8" t="s">
        <v>2308</v>
      </c>
      <c r="C1819" s="8" t="s">
        <v>90</v>
      </c>
      <c r="D1819" s="8" t="s">
        <v>2272</v>
      </c>
      <c r="E1819" s="8" t="s">
        <v>33</v>
      </c>
      <c r="F1819" s="8" t="s">
        <v>212</v>
      </c>
      <c r="G1819" s="8" t="s">
        <v>86</v>
      </c>
      <c r="H1819" s="3" t="s">
        <v>87</v>
      </c>
      <c r="I1819" s="4">
        <f>2.9*0.3048</f>
        <v>0.88392000000000004</v>
      </c>
      <c r="J1819" s="4" t="s">
        <v>4367</v>
      </c>
      <c r="K1819" s="4" t="s">
        <v>5713</v>
      </c>
      <c r="L1819" s="14"/>
      <c r="M1819" s="14"/>
      <c r="N1819" s="14"/>
      <c r="O1819" s="110"/>
      <c r="P1819" s="4"/>
      <c r="R1819" s="8" t="s">
        <v>2284</v>
      </c>
      <c r="X1819" s="13">
        <v>55.074599999999997</v>
      </c>
      <c r="Y1819" s="13">
        <v>-118.9532</v>
      </c>
      <c r="Z1819" s="14">
        <v>582</v>
      </c>
      <c r="AA1819" s="8" t="s">
        <v>2297</v>
      </c>
      <c r="AB1819" s="8" t="s">
        <v>2326</v>
      </c>
    </row>
    <row r="1820" spans="1:28" s="8" customFormat="1" ht="21.75" customHeight="1" x14ac:dyDescent="0.2">
      <c r="A1820" s="8" t="s">
        <v>2268</v>
      </c>
      <c r="B1820" s="8" t="s">
        <v>2310</v>
      </c>
      <c r="C1820" s="8" t="s">
        <v>90</v>
      </c>
      <c r="D1820" s="8" t="s">
        <v>2273</v>
      </c>
      <c r="E1820" s="8" t="s">
        <v>33</v>
      </c>
      <c r="F1820" s="8" t="s">
        <v>212</v>
      </c>
      <c r="G1820" s="8" t="s">
        <v>86</v>
      </c>
      <c r="H1820" s="3" t="s">
        <v>87</v>
      </c>
      <c r="I1820" s="4">
        <f>0.8*0.3048</f>
        <v>0.24384000000000003</v>
      </c>
      <c r="J1820" s="4" t="s">
        <v>4367</v>
      </c>
      <c r="K1820" s="4" t="s">
        <v>5713</v>
      </c>
      <c r="L1820" s="14"/>
      <c r="M1820" s="14"/>
      <c r="N1820" s="14"/>
      <c r="O1820" s="110" t="s">
        <v>2309</v>
      </c>
      <c r="P1820" s="4"/>
      <c r="R1820" s="8" t="s">
        <v>2285</v>
      </c>
      <c r="U1820" s="8" t="s">
        <v>2286</v>
      </c>
      <c r="V1820" s="4">
        <f>9*0.0254</f>
        <v>0.2286</v>
      </c>
      <c r="X1820" s="13">
        <v>60.939</v>
      </c>
      <c r="Y1820" s="13">
        <v>-116.9178</v>
      </c>
      <c r="Z1820" s="14">
        <v>223</v>
      </c>
      <c r="AA1820" s="8" t="s">
        <v>2298</v>
      </c>
      <c r="AB1820" s="8" t="s">
        <v>2327</v>
      </c>
    </row>
    <row r="1821" spans="1:28" s="8" customFormat="1" ht="21.75" customHeight="1" x14ac:dyDescent="0.2">
      <c r="A1821" s="8" t="s">
        <v>2268</v>
      </c>
      <c r="B1821" s="8" t="s">
        <v>2311</v>
      </c>
      <c r="C1821" s="8" t="s">
        <v>90</v>
      </c>
      <c r="D1821" s="8" t="s">
        <v>2274</v>
      </c>
      <c r="E1821" s="8" t="s">
        <v>33</v>
      </c>
      <c r="F1821" s="8" t="s">
        <v>212</v>
      </c>
      <c r="G1821" s="8" t="s">
        <v>86</v>
      </c>
      <c r="H1821" s="3" t="s">
        <v>87</v>
      </c>
      <c r="I1821" s="4">
        <f>1.7*0.3048</f>
        <v>0.51816000000000006</v>
      </c>
      <c r="J1821" s="4" t="s">
        <v>4367</v>
      </c>
      <c r="K1821" s="4" t="s">
        <v>5713</v>
      </c>
      <c r="L1821" s="14"/>
      <c r="M1821" s="14"/>
      <c r="N1821" s="14"/>
      <c r="O1821" s="110"/>
      <c r="P1821" s="4"/>
      <c r="Q1821" s="4">
        <f>15*0.0254</f>
        <v>0.38100000000000001</v>
      </c>
      <c r="R1821" s="8" t="s">
        <v>2287</v>
      </c>
      <c r="X1821" s="13">
        <v>53.355499999999999</v>
      </c>
      <c r="Y1821" s="13">
        <v>-117.5677</v>
      </c>
      <c r="Z1821" s="14">
        <v>1214</v>
      </c>
      <c r="AA1821" s="8" t="s">
        <v>2299</v>
      </c>
      <c r="AB1821" s="8" t="s">
        <v>2328</v>
      </c>
    </row>
    <row r="1822" spans="1:28" s="8" customFormat="1" ht="21.75" customHeight="1" x14ac:dyDescent="0.2">
      <c r="A1822" s="8" t="s">
        <v>2268</v>
      </c>
      <c r="B1822" s="8" t="s">
        <v>2308</v>
      </c>
      <c r="C1822" s="8" t="s">
        <v>90</v>
      </c>
      <c r="D1822" s="8" t="s">
        <v>2275</v>
      </c>
      <c r="E1822" s="8" t="s">
        <v>33</v>
      </c>
      <c r="F1822" s="8" t="s">
        <v>212</v>
      </c>
      <c r="G1822" s="8" t="s">
        <v>86</v>
      </c>
      <c r="H1822" s="3" t="s">
        <v>87</v>
      </c>
      <c r="I1822" s="4">
        <f>0.6*0.3048</f>
        <v>0.18288000000000001</v>
      </c>
      <c r="J1822" s="4" t="s">
        <v>4367</v>
      </c>
      <c r="K1822" s="4" t="s">
        <v>5713</v>
      </c>
      <c r="L1822" s="14"/>
      <c r="M1822" s="14"/>
      <c r="N1822" s="14"/>
      <c r="O1822" s="110"/>
      <c r="P1822" s="4"/>
      <c r="Q1822" s="8">
        <v>0.2</v>
      </c>
      <c r="R1822" s="8" t="s">
        <v>2288</v>
      </c>
      <c r="X1822" s="13">
        <v>55.071300000000001</v>
      </c>
      <c r="Y1822" s="13">
        <v>-118.7865</v>
      </c>
      <c r="Z1822" s="14">
        <v>619</v>
      </c>
      <c r="AA1822" s="8" t="s">
        <v>2312</v>
      </c>
      <c r="AB1822" s="8" t="s">
        <v>2329</v>
      </c>
    </row>
    <row r="1823" spans="1:28" s="8" customFormat="1" ht="21.75" customHeight="1" x14ac:dyDescent="0.2">
      <c r="A1823" s="8" t="s">
        <v>2268</v>
      </c>
      <c r="B1823" s="8" t="s">
        <v>2313</v>
      </c>
      <c r="C1823" s="8" t="s">
        <v>90</v>
      </c>
      <c r="D1823" s="8" t="s">
        <v>2276</v>
      </c>
      <c r="E1823" s="8" t="s">
        <v>33</v>
      </c>
      <c r="F1823" s="8" t="s">
        <v>212</v>
      </c>
      <c r="G1823" s="8" t="s">
        <v>86</v>
      </c>
      <c r="H1823" s="3" t="s">
        <v>87</v>
      </c>
      <c r="I1823" s="4">
        <f>0.6*0.3048</f>
        <v>0.18288000000000001</v>
      </c>
      <c r="J1823" s="4" t="s">
        <v>4367</v>
      </c>
      <c r="K1823" s="4" t="s">
        <v>5713</v>
      </c>
      <c r="L1823" s="14"/>
      <c r="M1823" s="14"/>
      <c r="N1823" s="14"/>
      <c r="O1823" s="110"/>
      <c r="P1823" s="4"/>
      <c r="Q1823" s="8">
        <v>0.25</v>
      </c>
      <c r="R1823" s="8" t="s">
        <v>2289</v>
      </c>
      <c r="X1823" s="13">
        <v>54.407400000000003</v>
      </c>
      <c r="Y1823" s="13">
        <v>-116.75960000000001</v>
      </c>
      <c r="Z1823" s="14">
        <v>819</v>
      </c>
      <c r="AA1823" s="8" t="s">
        <v>2300</v>
      </c>
      <c r="AB1823" s="8" t="s">
        <v>2330</v>
      </c>
    </row>
    <row r="1824" spans="1:28" s="8" customFormat="1" ht="21.75" customHeight="1" x14ac:dyDescent="0.2">
      <c r="A1824" s="8" t="s">
        <v>2268</v>
      </c>
      <c r="B1824" s="8" t="s">
        <v>2314</v>
      </c>
      <c r="C1824" s="8" t="s">
        <v>90</v>
      </c>
      <c r="D1824" s="8" t="s">
        <v>2277</v>
      </c>
      <c r="E1824" s="8" t="s">
        <v>33</v>
      </c>
      <c r="F1824" s="8" t="s">
        <v>212</v>
      </c>
      <c r="G1824" s="8" t="s">
        <v>86</v>
      </c>
      <c r="H1824" s="3" t="s">
        <v>87</v>
      </c>
      <c r="I1824" s="4">
        <f>0.7*0.3048</f>
        <v>0.21335999999999999</v>
      </c>
      <c r="J1824" s="4" t="s">
        <v>4367</v>
      </c>
      <c r="K1824" s="4" t="s">
        <v>5713</v>
      </c>
      <c r="L1824" s="14"/>
      <c r="M1824" s="14"/>
      <c r="N1824" s="14"/>
      <c r="O1824" s="110" t="s">
        <v>2315</v>
      </c>
      <c r="P1824" s="4"/>
      <c r="Q1824" s="8">
        <v>0</v>
      </c>
      <c r="R1824" s="8" t="s">
        <v>2290</v>
      </c>
      <c r="X1824" s="13">
        <v>60.817900000000002</v>
      </c>
      <c r="Y1824" s="13">
        <v>-115.76649999999999</v>
      </c>
      <c r="Z1824" s="14">
        <v>162</v>
      </c>
      <c r="AA1824" s="8" t="s">
        <v>2301</v>
      </c>
      <c r="AB1824" s="8" t="s">
        <v>2331</v>
      </c>
    </row>
    <row r="1825" spans="1:29" s="8" customFormat="1" ht="21.75" customHeight="1" x14ac:dyDescent="0.2">
      <c r="A1825" s="8" t="s">
        <v>2268</v>
      </c>
      <c r="B1825" s="8" t="s">
        <v>2316</v>
      </c>
      <c r="C1825" s="8" t="s">
        <v>90</v>
      </c>
      <c r="D1825" s="8" t="s">
        <v>2278</v>
      </c>
      <c r="E1825" s="8" t="s">
        <v>33</v>
      </c>
      <c r="F1825" s="8" t="s">
        <v>212</v>
      </c>
      <c r="G1825" s="8" t="s">
        <v>86</v>
      </c>
      <c r="H1825" s="3" t="s">
        <v>87</v>
      </c>
      <c r="I1825" s="4">
        <f>3.3*0.3048</f>
        <v>1.0058400000000001</v>
      </c>
      <c r="J1825" s="4" t="s">
        <v>4367</v>
      </c>
      <c r="K1825" s="4" t="s">
        <v>5713</v>
      </c>
      <c r="L1825" s="14"/>
      <c r="M1825" s="14"/>
      <c r="N1825" s="14"/>
      <c r="O1825" s="110" t="s">
        <v>2317</v>
      </c>
      <c r="P1825" s="4"/>
      <c r="R1825" s="8" t="s">
        <v>2291</v>
      </c>
      <c r="X1825" s="13">
        <v>60.853999999999999</v>
      </c>
      <c r="Y1825" s="13">
        <v>-115.7632</v>
      </c>
      <c r="Z1825" s="14">
        <v>159</v>
      </c>
      <c r="AA1825" s="8" t="s">
        <v>2302</v>
      </c>
      <c r="AB1825" s="8" t="s">
        <v>2332</v>
      </c>
    </row>
    <row r="1826" spans="1:29" s="8" customFormat="1" ht="21.75" customHeight="1" x14ac:dyDescent="0.2">
      <c r="A1826" s="8" t="s">
        <v>2268</v>
      </c>
      <c r="B1826" s="8" t="s">
        <v>2318</v>
      </c>
      <c r="C1826" s="8" t="s">
        <v>90</v>
      </c>
      <c r="D1826" s="8" t="s">
        <v>2279</v>
      </c>
      <c r="E1826" s="8" t="s">
        <v>33</v>
      </c>
      <c r="F1826" s="8" t="s">
        <v>212</v>
      </c>
      <c r="G1826" s="8" t="s">
        <v>86</v>
      </c>
      <c r="H1826" s="3" t="s">
        <v>87</v>
      </c>
      <c r="I1826" s="4">
        <f>0.9*0.3048</f>
        <v>0.27432000000000001</v>
      </c>
      <c r="J1826" s="4" t="s">
        <v>4367</v>
      </c>
      <c r="K1826" s="4" t="s">
        <v>5713</v>
      </c>
      <c r="L1826" s="14"/>
      <c r="M1826" s="14"/>
      <c r="N1826" s="14"/>
      <c r="O1826" s="110" t="s">
        <v>2319</v>
      </c>
      <c r="P1826" s="4"/>
      <c r="R1826" s="8" t="s">
        <v>2292</v>
      </c>
      <c r="X1826" s="13">
        <v>54.9709</v>
      </c>
      <c r="Y1826" s="13">
        <v>-117.22320000000001</v>
      </c>
      <c r="Z1826" s="14">
        <v>638</v>
      </c>
      <c r="AA1826" s="8" t="s">
        <v>2303</v>
      </c>
      <c r="AB1826" s="8" t="s">
        <v>2333</v>
      </c>
    </row>
    <row r="1827" spans="1:29" s="8" customFormat="1" ht="21.75" customHeight="1" x14ac:dyDescent="0.2">
      <c r="A1827" s="8" t="s">
        <v>2268</v>
      </c>
      <c r="B1827" s="8" t="s">
        <v>2320</v>
      </c>
      <c r="C1827" s="8" t="s">
        <v>90</v>
      </c>
      <c r="D1827" s="8" t="s">
        <v>2280</v>
      </c>
      <c r="E1827" s="8" t="s">
        <v>33</v>
      </c>
      <c r="F1827" s="8" t="s">
        <v>212</v>
      </c>
      <c r="G1827" s="8" t="s">
        <v>86</v>
      </c>
      <c r="H1827" s="3" t="s">
        <v>87</v>
      </c>
      <c r="I1827" s="4">
        <f>1*0.3048</f>
        <v>0.30480000000000002</v>
      </c>
      <c r="J1827" s="4" t="s">
        <v>4367</v>
      </c>
      <c r="K1827" s="4" t="s">
        <v>5713</v>
      </c>
      <c r="L1827" s="14"/>
      <c r="M1827" s="14"/>
      <c r="N1827" s="14"/>
      <c r="O1827" s="110"/>
      <c r="P1827" s="4"/>
      <c r="Q1827" s="8">
        <v>0.25</v>
      </c>
      <c r="R1827" s="8" t="s">
        <v>2293</v>
      </c>
      <c r="X1827" s="13">
        <v>55.220500000000001</v>
      </c>
      <c r="Y1827" s="13">
        <v>-118.1643</v>
      </c>
      <c r="Z1827" s="14">
        <v>641</v>
      </c>
      <c r="AA1827" s="8" t="s">
        <v>2321</v>
      </c>
      <c r="AB1827" s="8" t="s">
        <v>2334</v>
      </c>
    </row>
    <row r="1828" spans="1:29" s="8" customFormat="1" ht="21.75" customHeight="1" x14ac:dyDescent="0.2">
      <c r="A1828" s="8" t="s">
        <v>2268</v>
      </c>
      <c r="B1828" s="8" t="s">
        <v>2322</v>
      </c>
      <c r="C1828" s="8" t="s">
        <v>90</v>
      </c>
      <c r="D1828" s="8" t="s">
        <v>2281</v>
      </c>
      <c r="E1828" s="8" t="s">
        <v>33</v>
      </c>
      <c r="F1828" s="8" t="s">
        <v>212</v>
      </c>
      <c r="G1828" s="8" t="s">
        <v>86</v>
      </c>
      <c r="H1828" s="3" t="s">
        <v>87</v>
      </c>
      <c r="I1828" s="4">
        <f>0.8*0.3048</f>
        <v>0.24384000000000003</v>
      </c>
      <c r="J1828" s="4" t="s">
        <v>4367</v>
      </c>
      <c r="K1828" s="4" t="s">
        <v>5713</v>
      </c>
      <c r="L1828" s="14"/>
      <c r="M1828" s="14"/>
      <c r="N1828" s="14"/>
      <c r="O1828" s="110" t="s">
        <v>2323</v>
      </c>
      <c r="P1828" s="4"/>
      <c r="Q1828" s="4">
        <f>14*0.0254</f>
        <v>0.35559999999999997</v>
      </c>
      <c r="R1828" s="8" t="s">
        <v>2294</v>
      </c>
      <c r="X1828" s="13">
        <v>61.374699999999997</v>
      </c>
      <c r="Y1828" s="13">
        <v>-117.6564</v>
      </c>
      <c r="Z1828" s="14">
        <v>155</v>
      </c>
      <c r="AA1828" s="8" t="s">
        <v>2304</v>
      </c>
      <c r="AB1828" s="8" t="s">
        <v>2335</v>
      </c>
    </row>
    <row r="1829" spans="1:29" ht="21.75" customHeight="1" x14ac:dyDescent="0.2">
      <c r="A1829" s="7" t="s">
        <v>5091</v>
      </c>
      <c r="B1829" s="7" t="s">
        <v>5092</v>
      </c>
      <c r="C1829" s="7" t="s">
        <v>2920</v>
      </c>
      <c r="D1829" s="7" t="s">
        <v>5111</v>
      </c>
      <c r="E1829" s="7" t="s">
        <v>398</v>
      </c>
      <c r="F1829" s="7" t="s">
        <v>806</v>
      </c>
      <c r="G1829" s="7" t="s">
        <v>5100</v>
      </c>
      <c r="H1829" s="1" t="s">
        <v>5099</v>
      </c>
      <c r="I1829" s="2">
        <v>0.4</v>
      </c>
      <c r="J1829" s="2" t="s">
        <v>4367</v>
      </c>
      <c r="K1829" s="2" t="s">
        <v>4410</v>
      </c>
      <c r="L1829" s="6">
        <v>100</v>
      </c>
      <c r="Q1829" s="2"/>
      <c r="X1829" s="5">
        <v>36.467500000000001</v>
      </c>
      <c r="Y1829" s="5">
        <v>-116.35760000000001</v>
      </c>
      <c r="Z1829" s="6">
        <v>671</v>
      </c>
      <c r="AA1829" s="7" t="s">
        <v>5116</v>
      </c>
      <c r="AB1829" s="7" t="s">
        <v>5117</v>
      </c>
      <c r="AC1829" s="7" t="s">
        <v>5119</v>
      </c>
    </row>
    <row r="1830" spans="1:29" ht="21.75" customHeight="1" x14ac:dyDescent="0.2">
      <c r="A1830" s="7" t="s">
        <v>5091</v>
      </c>
      <c r="B1830" s="7" t="s">
        <v>5092</v>
      </c>
      <c r="C1830" s="7" t="s">
        <v>2920</v>
      </c>
      <c r="D1830" s="7" t="s">
        <v>5112</v>
      </c>
      <c r="E1830" s="7" t="s">
        <v>263</v>
      </c>
      <c r="F1830" s="7" t="s">
        <v>214</v>
      </c>
      <c r="G1830" s="7" t="s">
        <v>3105</v>
      </c>
      <c r="H1830" s="1" t="s">
        <v>510</v>
      </c>
      <c r="I1830" s="2">
        <v>0.5</v>
      </c>
      <c r="J1830" s="2" t="s">
        <v>4367</v>
      </c>
      <c r="K1830" s="2" t="s">
        <v>4410</v>
      </c>
      <c r="L1830" s="6">
        <v>100</v>
      </c>
      <c r="Q1830" s="2"/>
      <c r="X1830" s="5">
        <v>36.8108</v>
      </c>
      <c r="Y1830" s="5">
        <v>-115.9669</v>
      </c>
      <c r="Z1830" s="6">
        <v>945</v>
      </c>
      <c r="AB1830" s="7" t="s">
        <v>5118</v>
      </c>
      <c r="AC1830" s="7" t="s">
        <v>5119</v>
      </c>
    </row>
    <row r="1831" spans="1:29" ht="21.75" customHeight="1" x14ac:dyDescent="0.2">
      <c r="A1831" s="7" t="s">
        <v>5091</v>
      </c>
      <c r="B1831" s="7" t="s">
        <v>5092</v>
      </c>
      <c r="C1831" s="7" t="s">
        <v>2920</v>
      </c>
      <c r="D1831" s="7" t="s">
        <v>5115</v>
      </c>
      <c r="E1831" s="7" t="s">
        <v>263</v>
      </c>
      <c r="F1831" s="7" t="s">
        <v>214</v>
      </c>
      <c r="G1831" s="7" t="s">
        <v>5101</v>
      </c>
      <c r="H1831" s="1" t="s">
        <v>5093</v>
      </c>
      <c r="I1831" s="2">
        <v>0.5</v>
      </c>
      <c r="J1831" s="2" t="s">
        <v>4367</v>
      </c>
      <c r="K1831" s="2" t="s">
        <v>4410</v>
      </c>
      <c r="L1831" s="6">
        <v>100</v>
      </c>
      <c r="Q1831" s="2"/>
      <c r="X1831" s="5">
        <v>36.664099999999998</v>
      </c>
      <c r="Y1831" s="5">
        <v>-116.0057</v>
      </c>
      <c r="Z1831" s="6">
        <v>1141</v>
      </c>
      <c r="AA1831" s="7" t="s">
        <v>5114</v>
      </c>
      <c r="AB1831" s="7" t="s">
        <v>5105</v>
      </c>
      <c r="AC1831" s="7" t="s">
        <v>5119</v>
      </c>
    </row>
    <row r="1832" spans="1:29" ht="21.75" customHeight="1" x14ac:dyDescent="0.2">
      <c r="A1832" s="7" t="s">
        <v>5091</v>
      </c>
      <c r="B1832" s="7" t="s">
        <v>5092</v>
      </c>
      <c r="C1832" s="7" t="s">
        <v>2920</v>
      </c>
      <c r="D1832" s="7" t="s">
        <v>5111</v>
      </c>
      <c r="E1832" s="7" t="s">
        <v>263</v>
      </c>
      <c r="F1832" s="7" t="s">
        <v>214</v>
      </c>
      <c r="G1832" s="7" t="s">
        <v>5102</v>
      </c>
      <c r="H1832" s="1" t="s">
        <v>5094</v>
      </c>
      <c r="I1832" s="2">
        <v>0.5</v>
      </c>
      <c r="J1832" s="2" t="s">
        <v>4367</v>
      </c>
      <c r="K1832" s="2" t="s">
        <v>4410</v>
      </c>
      <c r="L1832" s="6">
        <v>100</v>
      </c>
      <c r="Q1832" s="2"/>
      <c r="X1832" s="5">
        <v>36.467500000000001</v>
      </c>
      <c r="Y1832" s="5">
        <v>-116.35760000000001</v>
      </c>
      <c r="Z1832" s="6">
        <v>671</v>
      </c>
      <c r="AC1832" s="7" t="s">
        <v>5119</v>
      </c>
    </row>
    <row r="1833" spans="1:29" ht="21.75" customHeight="1" x14ac:dyDescent="0.2">
      <c r="A1833" s="7" t="s">
        <v>5091</v>
      </c>
      <c r="B1833" s="7" t="s">
        <v>5092</v>
      </c>
      <c r="C1833" s="7" t="s">
        <v>2920</v>
      </c>
      <c r="D1833" s="7" t="s">
        <v>5111</v>
      </c>
      <c r="E1833" s="7" t="s">
        <v>5106</v>
      </c>
      <c r="F1833" s="7" t="s">
        <v>214</v>
      </c>
      <c r="G1833" s="7" t="s">
        <v>5103</v>
      </c>
      <c r="H1833" s="1" t="s">
        <v>5095</v>
      </c>
      <c r="I1833" s="2">
        <v>0.5</v>
      </c>
      <c r="J1833" s="2" t="s">
        <v>4367</v>
      </c>
      <c r="K1833" s="2" t="s">
        <v>4410</v>
      </c>
      <c r="L1833" s="6">
        <v>100</v>
      </c>
      <c r="Q1833" s="2"/>
      <c r="X1833" s="5">
        <v>36.467500000000001</v>
      </c>
      <c r="Y1833" s="5">
        <v>-116.35760000000001</v>
      </c>
      <c r="Z1833" s="6">
        <v>671</v>
      </c>
      <c r="AB1833" s="7" t="s">
        <v>5104</v>
      </c>
      <c r="AC1833" s="7" t="s">
        <v>5119</v>
      </c>
    </row>
    <row r="1834" spans="1:29" ht="21.75" customHeight="1" x14ac:dyDescent="0.2">
      <c r="A1834" s="7" t="s">
        <v>5091</v>
      </c>
      <c r="B1834" s="7" t="s">
        <v>5092</v>
      </c>
      <c r="C1834" s="7" t="s">
        <v>2920</v>
      </c>
      <c r="D1834" s="7" t="s">
        <v>5112</v>
      </c>
      <c r="E1834" s="7" t="s">
        <v>455</v>
      </c>
      <c r="F1834" s="7" t="s">
        <v>214</v>
      </c>
      <c r="G1834" s="7" t="s">
        <v>5107</v>
      </c>
      <c r="H1834" s="1" t="s">
        <v>5096</v>
      </c>
      <c r="I1834" s="2">
        <v>0.5</v>
      </c>
      <c r="J1834" s="2" t="s">
        <v>4367</v>
      </c>
      <c r="K1834" s="2" t="s">
        <v>4410</v>
      </c>
      <c r="L1834" s="6">
        <v>100</v>
      </c>
      <c r="Q1834" s="2"/>
      <c r="X1834" s="5">
        <v>36.8108</v>
      </c>
      <c r="Y1834" s="5">
        <v>-115.9669</v>
      </c>
      <c r="Z1834" s="6">
        <v>945</v>
      </c>
      <c r="AC1834" s="7" t="s">
        <v>5119</v>
      </c>
    </row>
    <row r="1835" spans="1:29" ht="21.75" customHeight="1" x14ac:dyDescent="0.2">
      <c r="A1835" s="7" t="s">
        <v>5091</v>
      </c>
      <c r="B1835" s="7" t="s">
        <v>5092</v>
      </c>
      <c r="C1835" s="7" t="s">
        <v>2920</v>
      </c>
      <c r="D1835" s="7" t="s">
        <v>5111</v>
      </c>
      <c r="E1835" s="7" t="s">
        <v>455</v>
      </c>
      <c r="F1835" s="7" t="s">
        <v>214</v>
      </c>
      <c r="G1835" s="7" t="s">
        <v>5108</v>
      </c>
      <c r="H1835" s="1" t="s">
        <v>5097</v>
      </c>
      <c r="I1835" s="2">
        <v>0.4</v>
      </c>
      <c r="J1835" s="2" t="s">
        <v>4367</v>
      </c>
      <c r="K1835" s="2" t="s">
        <v>4410</v>
      </c>
      <c r="L1835" s="6">
        <v>100</v>
      </c>
      <c r="Q1835" s="2"/>
      <c r="X1835" s="5">
        <v>36.467500000000001</v>
      </c>
      <c r="Y1835" s="5">
        <v>-116.35760000000001</v>
      </c>
      <c r="Z1835" s="6">
        <v>671</v>
      </c>
      <c r="AA1835" s="7" t="s">
        <v>5113</v>
      </c>
      <c r="AC1835" s="7" t="s">
        <v>5119</v>
      </c>
    </row>
    <row r="1836" spans="1:29" ht="21.75" customHeight="1" x14ac:dyDescent="0.2">
      <c r="A1836" s="7" t="s">
        <v>5091</v>
      </c>
      <c r="B1836" s="7" t="s">
        <v>5092</v>
      </c>
      <c r="C1836" s="7" t="s">
        <v>2920</v>
      </c>
      <c r="D1836" s="7" t="s">
        <v>5111</v>
      </c>
      <c r="E1836" s="7" t="s">
        <v>263</v>
      </c>
      <c r="F1836" s="7" t="s">
        <v>214</v>
      </c>
      <c r="G1836" s="7" t="s">
        <v>5109</v>
      </c>
      <c r="H1836" s="1" t="s">
        <v>534</v>
      </c>
      <c r="I1836" s="2">
        <v>0.6</v>
      </c>
      <c r="J1836" s="2" t="s">
        <v>4367</v>
      </c>
      <c r="K1836" s="2" t="s">
        <v>4410</v>
      </c>
      <c r="L1836" s="6">
        <v>100</v>
      </c>
      <c r="Q1836" s="2"/>
      <c r="X1836" s="5">
        <v>36.467500000000001</v>
      </c>
      <c r="Y1836" s="5">
        <v>-116.35760000000001</v>
      </c>
      <c r="Z1836" s="6">
        <v>671</v>
      </c>
      <c r="AC1836" s="7" t="s">
        <v>5119</v>
      </c>
    </row>
    <row r="1837" spans="1:29" ht="21.75" customHeight="1" x14ac:dyDescent="0.2">
      <c r="A1837" s="7" t="s">
        <v>5091</v>
      </c>
      <c r="B1837" s="7" t="s">
        <v>5092</v>
      </c>
      <c r="C1837" s="7" t="s">
        <v>2920</v>
      </c>
      <c r="D1837" s="7" t="s">
        <v>5111</v>
      </c>
      <c r="E1837" s="7" t="s">
        <v>263</v>
      </c>
      <c r="F1837" s="7" t="s">
        <v>214</v>
      </c>
      <c r="G1837" s="7" t="s">
        <v>5110</v>
      </c>
      <c r="H1837" s="1" t="s">
        <v>5098</v>
      </c>
      <c r="I1837" s="2">
        <v>0.6</v>
      </c>
      <c r="J1837" s="2" t="s">
        <v>4367</v>
      </c>
      <c r="K1837" s="2" t="s">
        <v>4410</v>
      </c>
      <c r="L1837" s="6">
        <v>100</v>
      </c>
      <c r="Q1837" s="2"/>
      <c r="X1837" s="5">
        <v>36.467500000000001</v>
      </c>
      <c r="Y1837" s="5">
        <v>-116.35760000000001</v>
      </c>
      <c r="Z1837" s="6">
        <v>671</v>
      </c>
      <c r="AC1837" s="7" t="s">
        <v>5119</v>
      </c>
    </row>
    <row r="1838" spans="1:29" s="82" customFormat="1" ht="21.75" customHeight="1" x14ac:dyDescent="0.2">
      <c r="A1838" s="82" t="s">
        <v>7728</v>
      </c>
      <c r="B1838" s="82" t="s">
        <v>7730</v>
      </c>
      <c r="C1838" s="82" t="s">
        <v>7729</v>
      </c>
      <c r="E1838" s="82" t="s">
        <v>398</v>
      </c>
      <c r="F1838" s="82" t="s">
        <v>7732</v>
      </c>
      <c r="H1838" s="83" t="s">
        <v>7731</v>
      </c>
      <c r="I1838" s="84">
        <v>0.34</v>
      </c>
      <c r="J1838" s="84" t="s">
        <v>4433</v>
      </c>
      <c r="K1838" s="84" t="s">
        <v>4410</v>
      </c>
      <c r="L1838" s="85">
        <v>196</v>
      </c>
      <c r="M1838" s="85" t="s">
        <v>7735</v>
      </c>
      <c r="N1838" s="85"/>
      <c r="O1838" s="116" t="s">
        <v>7736</v>
      </c>
      <c r="P1838" s="84"/>
      <c r="Q1838" s="84"/>
      <c r="S1838" s="82" t="s">
        <v>5727</v>
      </c>
      <c r="T1838" s="82">
        <v>0.34</v>
      </c>
      <c r="X1838" s="86">
        <f>70+49/60+28/3600</f>
        <v>70.824444444444438</v>
      </c>
      <c r="Y1838" s="86">
        <f>147+29/60+23/3600</f>
        <v>147.48972222222221</v>
      </c>
      <c r="Z1838" s="85">
        <v>11</v>
      </c>
      <c r="AB1838" s="82" t="s">
        <v>7737</v>
      </c>
    </row>
    <row r="1839" spans="1:29" s="82" customFormat="1" ht="21.75" customHeight="1" x14ac:dyDescent="0.2">
      <c r="A1839" s="82" t="s">
        <v>7728</v>
      </c>
      <c r="B1839" s="82" t="s">
        <v>7730</v>
      </c>
      <c r="C1839" s="82" t="s">
        <v>7729</v>
      </c>
      <c r="E1839" s="82" t="s">
        <v>280</v>
      </c>
      <c r="F1839" s="82" t="s">
        <v>7733</v>
      </c>
      <c r="H1839" s="83" t="s">
        <v>7734</v>
      </c>
      <c r="I1839" s="84">
        <v>0.23</v>
      </c>
      <c r="J1839" s="84" t="s">
        <v>4433</v>
      </c>
      <c r="K1839" s="84" t="s">
        <v>4410</v>
      </c>
      <c r="L1839" s="85">
        <v>196</v>
      </c>
      <c r="M1839" s="85" t="s">
        <v>7735</v>
      </c>
      <c r="N1839" s="85"/>
      <c r="O1839" s="116" t="s">
        <v>7736</v>
      </c>
      <c r="P1839" s="84"/>
      <c r="Q1839" s="84"/>
      <c r="S1839" s="82" t="s">
        <v>5727</v>
      </c>
      <c r="T1839" s="82">
        <v>0.23</v>
      </c>
      <c r="X1839" s="86">
        <f>70+49/60+28/3600</f>
        <v>70.824444444444438</v>
      </c>
      <c r="Y1839" s="86">
        <f>147+29/60+23/3600</f>
        <v>147.48972222222221</v>
      </c>
      <c r="Z1839" s="85">
        <v>11</v>
      </c>
      <c r="AB1839" s="82" t="s">
        <v>7737</v>
      </c>
    </row>
    <row r="1840" spans="1:29" ht="21.75" customHeight="1" x14ac:dyDescent="0.2">
      <c r="A1840" s="7" t="s">
        <v>5083</v>
      </c>
      <c r="B1840" s="7" t="s">
        <v>5084</v>
      </c>
      <c r="C1840" s="7" t="s">
        <v>760</v>
      </c>
      <c r="D1840" s="7" t="s">
        <v>5088</v>
      </c>
      <c r="E1840" s="7" t="s">
        <v>33</v>
      </c>
      <c r="F1840" s="7" t="s">
        <v>212</v>
      </c>
      <c r="G1840" s="7" t="s">
        <v>4074</v>
      </c>
      <c r="H1840" s="1" t="s">
        <v>4071</v>
      </c>
      <c r="I1840" s="2">
        <v>1.73</v>
      </c>
      <c r="J1840" s="2" t="s">
        <v>4367</v>
      </c>
      <c r="K1840" s="2" t="s">
        <v>4480</v>
      </c>
      <c r="M1840" s="6" t="s">
        <v>5090</v>
      </c>
      <c r="O1840" s="45" t="s">
        <v>5085</v>
      </c>
      <c r="Q1840" s="2"/>
      <c r="R1840" s="7" t="s">
        <v>5086</v>
      </c>
      <c r="X1840" s="5">
        <v>-39.103000000000002</v>
      </c>
      <c r="Y1840" s="5">
        <v>174.30019999999999</v>
      </c>
      <c r="Z1840" s="6">
        <v>120</v>
      </c>
      <c r="AA1840" s="7" t="s">
        <v>5087</v>
      </c>
      <c r="AB1840" s="7" t="s">
        <v>5089</v>
      </c>
    </row>
    <row r="1841" spans="1:28" s="8" customFormat="1" ht="21.75" customHeight="1" x14ac:dyDescent="0.2">
      <c r="A1841" s="8" t="s">
        <v>2336</v>
      </c>
      <c r="B1841" s="8" t="s">
        <v>2380</v>
      </c>
      <c r="C1841" s="8" t="s">
        <v>2384</v>
      </c>
      <c r="E1841" s="8" t="s">
        <v>398</v>
      </c>
      <c r="F1841" s="8" t="s">
        <v>217</v>
      </c>
      <c r="G1841" s="8" t="s">
        <v>2337</v>
      </c>
      <c r="H1841" s="3" t="s">
        <v>2338</v>
      </c>
      <c r="I1841" s="4">
        <f>11*0.3048</f>
        <v>3.3528000000000002</v>
      </c>
      <c r="J1841" s="4" t="s">
        <v>4367</v>
      </c>
      <c r="K1841" s="4" t="s">
        <v>5748</v>
      </c>
      <c r="L1841" s="14">
        <f>21.6*25.4</f>
        <v>548.64</v>
      </c>
      <c r="M1841" s="14" t="s">
        <v>2435</v>
      </c>
      <c r="N1841" s="14"/>
      <c r="O1841" s="110" t="s">
        <v>2424</v>
      </c>
      <c r="P1841" s="4"/>
      <c r="R1841" s="8" t="s">
        <v>2434</v>
      </c>
      <c r="X1841" s="13">
        <v>46.820799999999998</v>
      </c>
      <c r="Y1841" s="13">
        <v>-117.1902</v>
      </c>
      <c r="Z1841" s="14">
        <v>765</v>
      </c>
      <c r="AA1841" s="8" t="s">
        <v>2385</v>
      </c>
    </row>
    <row r="1842" spans="1:28" s="8" customFormat="1" ht="21.75" customHeight="1" x14ac:dyDescent="0.2">
      <c r="A1842" s="8" t="s">
        <v>2336</v>
      </c>
      <c r="B1842" s="8" t="s">
        <v>2380</v>
      </c>
      <c r="C1842" s="8" t="s">
        <v>2384</v>
      </c>
      <c r="E1842" s="8" t="s">
        <v>398</v>
      </c>
      <c r="F1842" s="8" t="s">
        <v>217</v>
      </c>
      <c r="G1842" s="8" t="s">
        <v>2339</v>
      </c>
      <c r="H1842" s="3" t="s">
        <v>2340</v>
      </c>
      <c r="I1842" s="4">
        <f>5.4167*0.3048</f>
        <v>1.65101016</v>
      </c>
      <c r="J1842" s="4" t="s">
        <v>4367</v>
      </c>
      <c r="K1842" s="4" t="s">
        <v>5748</v>
      </c>
      <c r="L1842" s="14">
        <f t="shared" ref="L1842:L1865" si="19">21.6*25.4</f>
        <v>548.64</v>
      </c>
      <c r="M1842" s="14" t="s">
        <v>2435</v>
      </c>
      <c r="N1842" s="14"/>
      <c r="O1842" s="110" t="s">
        <v>2425</v>
      </c>
      <c r="P1842" s="4"/>
      <c r="R1842" s="8" t="s">
        <v>2434</v>
      </c>
      <c r="X1842" s="13">
        <v>46.830399999999997</v>
      </c>
      <c r="Y1842" s="13">
        <v>-117.2209</v>
      </c>
      <c r="Z1842" s="14">
        <v>700</v>
      </c>
      <c r="AA1842" s="8" t="s">
        <v>2386</v>
      </c>
    </row>
    <row r="1843" spans="1:28" s="8" customFormat="1" ht="21.75" customHeight="1" x14ac:dyDescent="0.2">
      <c r="A1843" s="8" t="s">
        <v>2336</v>
      </c>
      <c r="B1843" s="8" t="s">
        <v>2380</v>
      </c>
      <c r="C1843" s="8" t="s">
        <v>2384</v>
      </c>
      <c r="E1843" s="8" t="s">
        <v>398</v>
      </c>
      <c r="F1843" s="8" t="s">
        <v>217</v>
      </c>
      <c r="G1843" s="8" t="s">
        <v>2341</v>
      </c>
      <c r="H1843" s="3" t="s">
        <v>2342</v>
      </c>
      <c r="I1843" s="4">
        <f>5.83333*0.3048</f>
        <v>1.7779989840000001</v>
      </c>
      <c r="J1843" s="4" t="s">
        <v>4367</v>
      </c>
      <c r="K1843" s="4" t="s">
        <v>5748</v>
      </c>
      <c r="L1843" s="14">
        <f t="shared" si="19"/>
        <v>548.64</v>
      </c>
      <c r="M1843" s="14" t="s">
        <v>2435</v>
      </c>
      <c r="N1843" s="14"/>
      <c r="O1843" s="110" t="s">
        <v>2410</v>
      </c>
      <c r="P1843" s="4"/>
      <c r="R1843" s="8" t="s">
        <v>2434</v>
      </c>
      <c r="X1843" s="13">
        <v>46.774700000000003</v>
      </c>
      <c r="Y1843" s="13">
        <v>-117.111</v>
      </c>
      <c r="Z1843" s="14">
        <v>786</v>
      </c>
      <c r="AA1843" s="8" t="s">
        <v>2387</v>
      </c>
    </row>
    <row r="1844" spans="1:28" s="8" customFormat="1" ht="21.75" customHeight="1" x14ac:dyDescent="0.2">
      <c r="A1844" s="8" t="s">
        <v>2336</v>
      </c>
      <c r="B1844" s="8" t="s">
        <v>2380</v>
      </c>
      <c r="C1844" s="8" t="s">
        <v>2384</v>
      </c>
      <c r="E1844" s="8" t="s">
        <v>398</v>
      </c>
      <c r="F1844" s="8" t="s">
        <v>884</v>
      </c>
      <c r="G1844" s="8" t="s">
        <v>2343</v>
      </c>
      <c r="H1844" s="3" t="s">
        <v>2344</v>
      </c>
      <c r="I1844" s="4">
        <f>4.7917*0.3048</f>
        <v>1.4605101599999999</v>
      </c>
      <c r="J1844" s="4" t="s">
        <v>4367</v>
      </c>
      <c r="K1844" s="4" t="s">
        <v>5748</v>
      </c>
      <c r="L1844" s="14">
        <f t="shared" si="19"/>
        <v>548.64</v>
      </c>
      <c r="M1844" s="14" t="s">
        <v>2435</v>
      </c>
      <c r="N1844" s="14"/>
      <c r="O1844" s="110" t="s">
        <v>2411</v>
      </c>
      <c r="P1844" s="4"/>
      <c r="R1844" s="8" t="s">
        <v>2434</v>
      </c>
      <c r="U1844" s="8" t="s">
        <v>2429</v>
      </c>
      <c r="X1844" s="13">
        <v>46.626199999999997</v>
      </c>
      <c r="Y1844" s="13">
        <v>-117.32080000000001</v>
      </c>
      <c r="Z1844" s="14">
        <v>619</v>
      </c>
      <c r="AA1844" s="8" t="s">
        <v>2388</v>
      </c>
      <c r="AB1844" s="8" t="s">
        <v>2428</v>
      </c>
    </row>
    <row r="1845" spans="1:28" s="8" customFormat="1" ht="21.75" customHeight="1" x14ac:dyDescent="0.2">
      <c r="A1845" s="8" t="s">
        <v>2336</v>
      </c>
      <c r="B1845" s="8" t="s">
        <v>2380</v>
      </c>
      <c r="C1845" s="8" t="s">
        <v>2384</v>
      </c>
      <c r="E1845" s="8" t="s">
        <v>398</v>
      </c>
      <c r="F1845" s="8" t="s">
        <v>884</v>
      </c>
      <c r="H1845" s="3" t="s">
        <v>2345</v>
      </c>
      <c r="I1845" s="4">
        <f>3.25*0.3048</f>
        <v>0.99060000000000004</v>
      </c>
      <c r="J1845" s="4" t="s">
        <v>4367</v>
      </c>
      <c r="K1845" s="4" t="s">
        <v>5748</v>
      </c>
      <c r="L1845" s="14">
        <f t="shared" si="19"/>
        <v>548.64</v>
      </c>
      <c r="M1845" s="14" t="s">
        <v>2435</v>
      </c>
      <c r="N1845" s="14"/>
      <c r="O1845" s="110" t="s">
        <v>2410</v>
      </c>
      <c r="P1845" s="4"/>
      <c r="R1845" s="8" t="s">
        <v>2434</v>
      </c>
      <c r="X1845" s="13">
        <v>46.657299999999999</v>
      </c>
      <c r="Y1845" s="13">
        <v>-117.2535</v>
      </c>
      <c r="Z1845" s="14">
        <v>781</v>
      </c>
      <c r="AA1845" s="8" t="s">
        <v>2389</v>
      </c>
    </row>
    <row r="1846" spans="1:28" s="8" customFormat="1" ht="21.75" customHeight="1" x14ac:dyDescent="0.2">
      <c r="A1846" s="8" t="s">
        <v>2336</v>
      </c>
      <c r="B1846" s="8" t="s">
        <v>2380</v>
      </c>
      <c r="C1846" s="8" t="s">
        <v>2384</v>
      </c>
      <c r="E1846" s="8" t="s">
        <v>398</v>
      </c>
      <c r="F1846" s="8" t="s">
        <v>884</v>
      </c>
      <c r="G1846" s="8" t="s">
        <v>2346</v>
      </c>
      <c r="H1846" s="3" t="s">
        <v>2347</v>
      </c>
      <c r="I1846" s="4">
        <f>13*0.0254</f>
        <v>0.33019999999999999</v>
      </c>
      <c r="J1846" s="4" t="s">
        <v>4367</v>
      </c>
      <c r="K1846" s="4" t="s">
        <v>5748</v>
      </c>
      <c r="L1846" s="14">
        <f t="shared" si="19"/>
        <v>548.64</v>
      </c>
      <c r="M1846" s="14" t="s">
        <v>2435</v>
      </c>
      <c r="N1846" s="14"/>
      <c r="O1846" s="110" t="s">
        <v>2411</v>
      </c>
      <c r="P1846" s="4"/>
      <c r="R1846" s="8" t="s">
        <v>2434</v>
      </c>
      <c r="X1846" s="13">
        <v>46.651899999999998</v>
      </c>
      <c r="Y1846" s="13">
        <v>-117.35680000000001</v>
      </c>
      <c r="Z1846" s="14">
        <v>654</v>
      </c>
      <c r="AA1846" s="8" t="s">
        <v>2390</v>
      </c>
    </row>
    <row r="1847" spans="1:28" s="8" customFormat="1" ht="21.75" customHeight="1" x14ac:dyDescent="0.2">
      <c r="A1847" s="8" t="s">
        <v>2336</v>
      </c>
      <c r="B1847" s="8" t="s">
        <v>2380</v>
      </c>
      <c r="C1847" s="8" t="s">
        <v>2384</v>
      </c>
      <c r="E1847" s="8" t="s">
        <v>398</v>
      </c>
      <c r="F1847" s="8" t="s">
        <v>884</v>
      </c>
      <c r="G1847" s="8" t="s">
        <v>1390</v>
      </c>
      <c r="H1847" s="3" t="s">
        <v>1389</v>
      </c>
      <c r="I1847" s="4">
        <f>28*0.0254</f>
        <v>0.71119999999999994</v>
      </c>
      <c r="J1847" s="4" t="s">
        <v>4367</v>
      </c>
      <c r="K1847" s="4" t="s">
        <v>5748</v>
      </c>
      <c r="L1847" s="14">
        <f t="shared" si="19"/>
        <v>548.64</v>
      </c>
      <c r="M1847" s="14" t="s">
        <v>2435</v>
      </c>
      <c r="N1847" s="14"/>
      <c r="O1847" s="110" t="s">
        <v>2426</v>
      </c>
      <c r="P1847" s="4"/>
      <c r="R1847" s="8" t="s">
        <v>2434</v>
      </c>
      <c r="X1847" s="13">
        <v>46.638599999999997</v>
      </c>
      <c r="Y1847" s="13">
        <v>-117.3374</v>
      </c>
      <c r="Z1847" s="14">
        <v>713</v>
      </c>
      <c r="AA1847" s="8" t="s">
        <v>2391</v>
      </c>
      <c r="AB1847" s="8" t="s">
        <v>2412</v>
      </c>
    </row>
    <row r="1848" spans="1:28" s="8" customFormat="1" ht="21.75" customHeight="1" x14ac:dyDescent="0.2">
      <c r="A1848" s="8" t="s">
        <v>2336</v>
      </c>
      <c r="B1848" s="8" t="s">
        <v>2380</v>
      </c>
      <c r="C1848" s="8" t="s">
        <v>2384</v>
      </c>
      <c r="E1848" s="8" t="s">
        <v>398</v>
      </c>
      <c r="F1848" s="8" t="s">
        <v>217</v>
      </c>
      <c r="G1848" s="8" t="s">
        <v>2348</v>
      </c>
      <c r="H1848" s="3" t="s">
        <v>2349</v>
      </c>
      <c r="I1848" s="4">
        <f>8.83333*0.3048</f>
        <v>2.692398984</v>
      </c>
      <c r="J1848" s="4" t="s">
        <v>4367</v>
      </c>
      <c r="K1848" s="4" t="s">
        <v>5748</v>
      </c>
      <c r="L1848" s="14">
        <f t="shared" si="19"/>
        <v>548.64</v>
      </c>
      <c r="M1848" s="14" t="s">
        <v>2435</v>
      </c>
      <c r="N1848" s="14"/>
      <c r="O1848" s="110" t="s">
        <v>2413</v>
      </c>
      <c r="P1848" s="4"/>
      <c r="R1848" s="8" t="s">
        <v>2434</v>
      </c>
      <c r="X1848" s="13">
        <v>46.770600000000002</v>
      </c>
      <c r="Y1848" s="13">
        <v>-117.3329</v>
      </c>
      <c r="Z1848" s="14">
        <v>741</v>
      </c>
      <c r="AA1848" s="8" t="s">
        <v>2392</v>
      </c>
    </row>
    <row r="1849" spans="1:28" s="8" customFormat="1" ht="21.75" customHeight="1" x14ac:dyDescent="0.2">
      <c r="A1849" s="8" t="s">
        <v>2336</v>
      </c>
      <c r="B1849" s="8" t="s">
        <v>2380</v>
      </c>
      <c r="C1849" s="8" t="s">
        <v>2384</v>
      </c>
      <c r="E1849" s="8" t="s">
        <v>398</v>
      </c>
      <c r="F1849" s="8" t="s">
        <v>217</v>
      </c>
      <c r="G1849" s="8" t="s">
        <v>2350</v>
      </c>
      <c r="H1849" s="3" t="s">
        <v>2351</v>
      </c>
      <c r="I1849" s="4">
        <f>9.5*0.3048</f>
        <v>2.8956</v>
      </c>
      <c r="J1849" s="4" t="s">
        <v>4367</v>
      </c>
      <c r="K1849" s="4" t="s">
        <v>5748</v>
      </c>
      <c r="L1849" s="14">
        <f t="shared" si="19"/>
        <v>548.64</v>
      </c>
      <c r="M1849" s="14" t="s">
        <v>2435</v>
      </c>
      <c r="N1849" s="14"/>
      <c r="O1849" s="110" t="s">
        <v>2414</v>
      </c>
      <c r="P1849" s="4"/>
      <c r="R1849" s="8" t="s">
        <v>2434</v>
      </c>
      <c r="X1849" s="13">
        <v>46.755699999999997</v>
      </c>
      <c r="Y1849" s="13">
        <v>-117.32599999999999</v>
      </c>
      <c r="Z1849" s="14">
        <v>721</v>
      </c>
      <c r="AA1849" s="8" t="s">
        <v>2393</v>
      </c>
    </row>
    <row r="1850" spans="1:28" s="8" customFormat="1" ht="21.75" customHeight="1" x14ac:dyDescent="0.2">
      <c r="A1850" s="8" t="s">
        <v>2336</v>
      </c>
      <c r="B1850" s="8" t="s">
        <v>2380</v>
      </c>
      <c r="C1850" s="8" t="s">
        <v>2384</v>
      </c>
      <c r="E1850" s="8" t="s">
        <v>398</v>
      </c>
      <c r="F1850" s="8" t="s">
        <v>217</v>
      </c>
      <c r="G1850" s="8" t="s">
        <v>2352</v>
      </c>
      <c r="H1850" s="3" t="s">
        <v>2353</v>
      </c>
      <c r="I1850" s="4">
        <f>6.4167*0.3048</f>
        <v>1.95581016</v>
      </c>
      <c r="J1850" s="4" t="s">
        <v>4367</v>
      </c>
      <c r="K1850" s="4" t="s">
        <v>5748</v>
      </c>
      <c r="L1850" s="14">
        <f t="shared" si="19"/>
        <v>548.64</v>
      </c>
      <c r="M1850" s="14" t="s">
        <v>2435</v>
      </c>
      <c r="N1850" s="14"/>
      <c r="O1850" s="110" t="s">
        <v>2415</v>
      </c>
      <c r="P1850" s="4"/>
      <c r="R1850" s="8" t="s">
        <v>2434</v>
      </c>
      <c r="X1850" s="13">
        <v>46.709499999999998</v>
      </c>
      <c r="Y1850" s="13">
        <v>-117.27419999999999</v>
      </c>
      <c r="Z1850" s="14">
        <v>754</v>
      </c>
      <c r="AA1850" s="8" t="s">
        <v>2394</v>
      </c>
      <c r="AB1850" s="8" t="s">
        <v>2431</v>
      </c>
    </row>
    <row r="1851" spans="1:28" s="8" customFormat="1" ht="21.75" customHeight="1" x14ac:dyDescent="0.2">
      <c r="A1851" s="8" t="s">
        <v>2336</v>
      </c>
      <c r="B1851" s="8" t="s">
        <v>2380</v>
      </c>
      <c r="C1851" s="8" t="s">
        <v>2384</v>
      </c>
      <c r="E1851" s="8" t="s">
        <v>398</v>
      </c>
      <c r="F1851" s="8" t="s">
        <v>217</v>
      </c>
      <c r="G1851" s="8" t="s">
        <v>2354</v>
      </c>
      <c r="H1851" s="3" t="s">
        <v>2355</v>
      </c>
      <c r="I1851" s="4">
        <f>5.9167*0.3048</f>
        <v>1.8034101599999999</v>
      </c>
      <c r="J1851" s="4" t="s">
        <v>4367</v>
      </c>
      <c r="K1851" s="4" t="s">
        <v>5748</v>
      </c>
      <c r="L1851" s="14">
        <f t="shared" si="19"/>
        <v>548.64</v>
      </c>
      <c r="M1851" s="14" t="s">
        <v>2435</v>
      </c>
      <c r="N1851" s="14"/>
      <c r="O1851" s="110" t="s">
        <v>2416</v>
      </c>
      <c r="P1851" s="4"/>
      <c r="R1851" s="8" t="s">
        <v>2434</v>
      </c>
      <c r="X1851" s="13">
        <v>46.593899999999998</v>
      </c>
      <c r="Y1851" s="13">
        <v>-117.27160000000001</v>
      </c>
      <c r="Z1851" s="14">
        <v>699</v>
      </c>
      <c r="AA1851" s="8" t="s">
        <v>2395</v>
      </c>
    </row>
    <row r="1852" spans="1:28" s="8" customFormat="1" ht="21.75" customHeight="1" x14ac:dyDescent="0.2">
      <c r="A1852" s="8" t="s">
        <v>2336</v>
      </c>
      <c r="B1852" s="8" t="s">
        <v>2380</v>
      </c>
      <c r="C1852" s="8" t="s">
        <v>2384</v>
      </c>
      <c r="E1852" s="8" t="s">
        <v>398</v>
      </c>
      <c r="F1852" s="8" t="s">
        <v>217</v>
      </c>
      <c r="G1852" s="8" t="s">
        <v>2356</v>
      </c>
      <c r="H1852" s="3" t="s">
        <v>2357</v>
      </c>
      <c r="I1852" s="4">
        <f>5.5833*0.3048</f>
        <v>1.7017898400000002</v>
      </c>
      <c r="J1852" s="4" t="s">
        <v>4367</v>
      </c>
      <c r="K1852" s="4" t="s">
        <v>5748</v>
      </c>
      <c r="L1852" s="14">
        <f t="shared" si="19"/>
        <v>548.64</v>
      </c>
      <c r="M1852" s="14" t="s">
        <v>2435</v>
      </c>
      <c r="N1852" s="14"/>
      <c r="O1852" s="110" t="s">
        <v>2415</v>
      </c>
      <c r="P1852" s="4"/>
      <c r="R1852" s="8" t="s">
        <v>2434</v>
      </c>
      <c r="X1852" s="13">
        <v>46.627099999999999</v>
      </c>
      <c r="Y1852" s="13">
        <v>-117.24890000000001</v>
      </c>
      <c r="Z1852" s="14">
        <v>782</v>
      </c>
      <c r="AA1852" s="8" t="s">
        <v>2396</v>
      </c>
    </row>
    <row r="1853" spans="1:28" s="8" customFormat="1" ht="21.75" customHeight="1" x14ac:dyDescent="0.2">
      <c r="A1853" s="8" t="s">
        <v>2336</v>
      </c>
      <c r="B1853" s="8" t="s">
        <v>2380</v>
      </c>
      <c r="C1853" s="8" t="s">
        <v>2384</v>
      </c>
      <c r="E1853" s="8" t="s">
        <v>398</v>
      </c>
      <c r="F1853" s="8" t="s">
        <v>217</v>
      </c>
      <c r="G1853" s="8" t="s">
        <v>2358</v>
      </c>
      <c r="H1853" s="3" t="s">
        <v>2359</v>
      </c>
      <c r="I1853" s="4">
        <f>5.4167*0.3048</f>
        <v>1.65101016</v>
      </c>
      <c r="J1853" s="4" t="s">
        <v>4367</v>
      </c>
      <c r="K1853" s="4" t="s">
        <v>5748</v>
      </c>
      <c r="L1853" s="14">
        <f t="shared" si="19"/>
        <v>548.64</v>
      </c>
      <c r="M1853" s="14" t="s">
        <v>2435</v>
      </c>
      <c r="N1853" s="14"/>
      <c r="O1853" s="110" t="s">
        <v>2415</v>
      </c>
      <c r="P1853" s="4"/>
      <c r="R1853" s="8" t="s">
        <v>2434</v>
      </c>
      <c r="X1853" s="13">
        <v>46.804200000000002</v>
      </c>
      <c r="Y1853" s="13">
        <v>-117.11279999999999</v>
      </c>
      <c r="Z1853" s="14">
        <v>798</v>
      </c>
      <c r="AA1853" s="8" t="s">
        <v>2397</v>
      </c>
    </row>
    <row r="1854" spans="1:28" s="8" customFormat="1" ht="21.75" customHeight="1" x14ac:dyDescent="0.2">
      <c r="A1854" s="8" t="s">
        <v>2336</v>
      </c>
      <c r="B1854" s="8" t="s">
        <v>2380</v>
      </c>
      <c r="C1854" s="8" t="s">
        <v>2384</v>
      </c>
      <c r="E1854" s="8" t="s">
        <v>398</v>
      </c>
      <c r="F1854" s="8" t="s">
        <v>217</v>
      </c>
      <c r="H1854" s="3" t="s">
        <v>2360</v>
      </c>
      <c r="I1854" s="4">
        <f>11*0.3048</f>
        <v>3.3528000000000002</v>
      </c>
      <c r="J1854" s="4" t="s">
        <v>4367</v>
      </c>
      <c r="K1854" s="4" t="s">
        <v>5748</v>
      </c>
      <c r="L1854" s="14">
        <f t="shared" si="19"/>
        <v>548.64</v>
      </c>
      <c r="M1854" s="14" t="s">
        <v>2435</v>
      </c>
      <c r="N1854" s="14"/>
      <c r="O1854" s="110" t="s">
        <v>2413</v>
      </c>
      <c r="P1854" s="4"/>
      <c r="R1854" s="8" t="s">
        <v>2434</v>
      </c>
      <c r="X1854" s="13">
        <v>46.844000000000001</v>
      </c>
      <c r="Y1854" s="13">
        <v>-117.18519999999999</v>
      </c>
      <c r="Z1854" s="14">
        <v>766</v>
      </c>
      <c r="AA1854" s="8" t="s">
        <v>2398</v>
      </c>
    </row>
    <row r="1855" spans="1:28" s="8" customFormat="1" ht="21.75" customHeight="1" x14ac:dyDescent="0.2">
      <c r="A1855" s="8" t="s">
        <v>2336</v>
      </c>
      <c r="B1855" s="8" t="s">
        <v>2380</v>
      </c>
      <c r="C1855" s="8" t="s">
        <v>2384</v>
      </c>
      <c r="E1855" s="8" t="s">
        <v>398</v>
      </c>
      <c r="F1855" s="8" t="s">
        <v>217</v>
      </c>
      <c r="G1855" s="8" t="s">
        <v>2361</v>
      </c>
      <c r="H1855" s="3" t="s">
        <v>2362</v>
      </c>
      <c r="I1855" s="4">
        <f>6.25*0.3048</f>
        <v>1.905</v>
      </c>
      <c r="J1855" s="4" t="s">
        <v>4367</v>
      </c>
      <c r="K1855" s="4" t="s">
        <v>5748</v>
      </c>
      <c r="L1855" s="14">
        <f t="shared" si="19"/>
        <v>548.64</v>
      </c>
      <c r="M1855" s="14" t="s">
        <v>2435</v>
      </c>
      <c r="N1855" s="14"/>
      <c r="O1855" s="110" t="s">
        <v>2417</v>
      </c>
      <c r="P1855" s="4"/>
      <c r="R1855" s="8" t="s">
        <v>2434</v>
      </c>
      <c r="X1855" s="13">
        <v>46.712600000000002</v>
      </c>
      <c r="Y1855" s="13">
        <v>-117.3998</v>
      </c>
      <c r="Z1855" s="14">
        <v>641</v>
      </c>
      <c r="AA1855" s="8" t="s">
        <v>2399</v>
      </c>
    </row>
    <row r="1856" spans="1:28" s="8" customFormat="1" ht="21.75" customHeight="1" x14ac:dyDescent="0.2">
      <c r="A1856" s="8" t="s">
        <v>2336</v>
      </c>
      <c r="B1856" s="8" t="s">
        <v>2380</v>
      </c>
      <c r="C1856" s="8" t="s">
        <v>2384</v>
      </c>
      <c r="E1856" s="8" t="s">
        <v>398</v>
      </c>
      <c r="F1856" s="8" t="s">
        <v>217</v>
      </c>
      <c r="G1856" s="8" t="s">
        <v>2363</v>
      </c>
      <c r="H1856" s="3" t="s">
        <v>2364</v>
      </c>
      <c r="I1856" s="4">
        <f>5.5*0.3048</f>
        <v>1.6764000000000001</v>
      </c>
      <c r="J1856" s="4" t="s">
        <v>4367</v>
      </c>
      <c r="K1856" s="4" t="s">
        <v>5748</v>
      </c>
      <c r="L1856" s="14">
        <f t="shared" si="19"/>
        <v>548.64</v>
      </c>
      <c r="M1856" s="14" t="s">
        <v>2435</v>
      </c>
      <c r="N1856" s="14"/>
      <c r="O1856" s="110" t="s">
        <v>2415</v>
      </c>
      <c r="P1856" s="4"/>
      <c r="R1856" s="8" t="s">
        <v>2434</v>
      </c>
      <c r="X1856" s="13">
        <v>46.666499999999999</v>
      </c>
      <c r="Y1856" s="13">
        <v>-117.0912</v>
      </c>
      <c r="Z1856" s="14">
        <v>792</v>
      </c>
      <c r="AA1856" s="8" t="s">
        <v>2400</v>
      </c>
    </row>
    <row r="1857" spans="1:28" s="8" customFormat="1" ht="21.75" customHeight="1" x14ac:dyDescent="0.2">
      <c r="A1857" s="8" t="s">
        <v>2336</v>
      </c>
      <c r="B1857" s="8" t="s">
        <v>2380</v>
      </c>
      <c r="C1857" s="8" t="s">
        <v>2384</v>
      </c>
      <c r="E1857" s="8" t="s">
        <v>398</v>
      </c>
      <c r="F1857" s="8" t="s">
        <v>217</v>
      </c>
      <c r="G1857" s="8" t="s">
        <v>2365</v>
      </c>
      <c r="H1857" s="3" t="s">
        <v>2366</v>
      </c>
      <c r="I1857" s="4">
        <f>4.08333*0.3048</f>
        <v>1.244598984</v>
      </c>
      <c r="J1857" s="4" t="s">
        <v>4367</v>
      </c>
      <c r="K1857" s="4" t="s">
        <v>5748</v>
      </c>
      <c r="L1857" s="14">
        <f t="shared" si="19"/>
        <v>548.64</v>
      </c>
      <c r="M1857" s="14" t="s">
        <v>2435</v>
      </c>
      <c r="N1857" s="14"/>
      <c r="O1857" s="110" t="s">
        <v>2418</v>
      </c>
      <c r="P1857" s="4"/>
      <c r="R1857" s="8" t="s">
        <v>2434</v>
      </c>
      <c r="X1857" s="13">
        <v>46.760199999999998</v>
      </c>
      <c r="Y1857" s="13">
        <v>-117.1374</v>
      </c>
      <c r="Z1857" s="14">
        <v>763</v>
      </c>
      <c r="AA1857" s="8" t="s">
        <v>2401</v>
      </c>
    </row>
    <row r="1858" spans="1:28" s="8" customFormat="1" ht="21.75" customHeight="1" x14ac:dyDescent="0.2">
      <c r="A1858" s="8" t="s">
        <v>2336</v>
      </c>
      <c r="B1858" s="8" t="s">
        <v>2380</v>
      </c>
      <c r="C1858" s="8" t="s">
        <v>2384</v>
      </c>
      <c r="E1858" s="8" t="s">
        <v>398</v>
      </c>
      <c r="F1858" s="8" t="s">
        <v>217</v>
      </c>
      <c r="G1858" s="8" t="s">
        <v>2367</v>
      </c>
      <c r="H1858" s="3" t="s">
        <v>2368</v>
      </c>
      <c r="I1858" s="4">
        <f>7.75*0.3048</f>
        <v>2.3622000000000001</v>
      </c>
      <c r="J1858" s="4" t="s">
        <v>4367</v>
      </c>
      <c r="K1858" s="4" t="s">
        <v>5748</v>
      </c>
      <c r="L1858" s="14">
        <f t="shared" si="19"/>
        <v>548.64</v>
      </c>
      <c r="M1858" s="14" t="s">
        <v>2435</v>
      </c>
      <c r="N1858" s="14"/>
      <c r="O1858" s="110" t="s">
        <v>2413</v>
      </c>
      <c r="P1858" s="4"/>
      <c r="R1858" s="8" t="s">
        <v>2434</v>
      </c>
      <c r="X1858" s="13">
        <v>46.756399999999999</v>
      </c>
      <c r="Y1858" s="13">
        <v>-117.2079</v>
      </c>
      <c r="Z1858" s="14">
        <v>757</v>
      </c>
      <c r="AA1858" s="8" t="s">
        <v>2402</v>
      </c>
    </row>
    <row r="1859" spans="1:28" s="8" customFormat="1" ht="21.75" customHeight="1" x14ac:dyDescent="0.2">
      <c r="A1859" s="8" t="s">
        <v>2336</v>
      </c>
      <c r="B1859" s="8" t="s">
        <v>2380</v>
      </c>
      <c r="C1859" s="8" t="s">
        <v>2384</v>
      </c>
      <c r="E1859" s="8" t="s">
        <v>398</v>
      </c>
      <c r="F1859" s="8" t="s">
        <v>217</v>
      </c>
      <c r="H1859" s="3" t="s">
        <v>2369</v>
      </c>
      <c r="I1859" s="4">
        <f>7.4167*0.3048</f>
        <v>2.2606101600000001</v>
      </c>
      <c r="J1859" s="4" t="s">
        <v>4367</v>
      </c>
      <c r="K1859" s="4" t="s">
        <v>5748</v>
      </c>
      <c r="L1859" s="14">
        <f t="shared" si="19"/>
        <v>548.64</v>
      </c>
      <c r="M1859" s="14" t="s">
        <v>2435</v>
      </c>
      <c r="N1859" s="14"/>
      <c r="O1859" s="110" t="s">
        <v>2419</v>
      </c>
      <c r="P1859" s="4"/>
      <c r="R1859" s="8" t="s">
        <v>2434</v>
      </c>
      <c r="X1859" s="13">
        <v>46.7714</v>
      </c>
      <c r="Y1859" s="13">
        <v>-117.2894</v>
      </c>
      <c r="Z1859" s="14">
        <v>720</v>
      </c>
      <c r="AA1859" s="8" t="s">
        <v>2403</v>
      </c>
    </row>
    <row r="1860" spans="1:28" s="8" customFormat="1" ht="21.75" customHeight="1" x14ac:dyDescent="0.2">
      <c r="A1860" s="8" t="s">
        <v>2336</v>
      </c>
      <c r="B1860" s="8" t="s">
        <v>2380</v>
      </c>
      <c r="C1860" s="8" t="s">
        <v>2384</v>
      </c>
      <c r="E1860" s="8" t="s">
        <v>398</v>
      </c>
      <c r="F1860" s="8" t="s">
        <v>217</v>
      </c>
      <c r="G1860" s="8" t="s">
        <v>2370</v>
      </c>
      <c r="H1860" s="3" t="s">
        <v>2371</v>
      </c>
      <c r="I1860" s="4">
        <v>1</v>
      </c>
      <c r="J1860" s="4" t="s">
        <v>4367</v>
      </c>
      <c r="K1860" s="4" t="s">
        <v>5748</v>
      </c>
      <c r="L1860" s="14">
        <f t="shared" si="19"/>
        <v>548.64</v>
      </c>
      <c r="M1860" s="14" t="s">
        <v>2435</v>
      </c>
      <c r="N1860" s="14"/>
      <c r="O1860" s="110" t="s">
        <v>2420</v>
      </c>
      <c r="P1860" s="4"/>
      <c r="R1860" s="8" t="s">
        <v>2434</v>
      </c>
      <c r="X1860" s="13">
        <v>46.620899999999999</v>
      </c>
      <c r="Y1860" s="13">
        <v>-117.2967</v>
      </c>
      <c r="Z1860" s="14">
        <v>756</v>
      </c>
      <c r="AA1860" s="8" t="s">
        <v>2404</v>
      </c>
      <c r="AB1860" s="8" t="s">
        <v>2432</v>
      </c>
    </row>
    <row r="1861" spans="1:28" s="8" customFormat="1" ht="21.75" customHeight="1" x14ac:dyDescent="0.2">
      <c r="A1861" s="8" t="s">
        <v>2336</v>
      </c>
      <c r="B1861" s="8" t="s">
        <v>2380</v>
      </c>
      <c r="C1861" s="8" t="s">
        <v>2384</v>
      </c>
      <c r="E1861" s="8" t="s">
        <v>398</v>
      </c>
      <c r="F1861" s="8" t="s">
        <v>2382</v>
      </c>
      <c r="G1861" s="8" t="s">
        <v>2381</v>
      </c>
      <c r="H1861" s="3" t="s">
        <v>2372</v>
      </c>
      <c r="I1861" s="4">
        <f>8*0.3048</f>
        <v>2.4384000000000001</v>
      </c>
      <c r="J1861" s="4" t="s">
        <v>4367</v>
      </c>
      <c r="K1861" s="4" t="s">
        <v>5748</v>
      </c>
      <c r="L1861" s="14">
        <f t="shared" si="19"/>
        <v>548.64</v>
      </c>
      <c r="M1861" s="14" t="s">
        <v>2435</v>
      </c>
      <c r="N1861" s="14"/>
      <c r="O1861" s="110" t="s">
        <v>2430</v>
      </c>
      <c r="P1861" s="4"/>
      <c r="R1861" s="8" t="s">
        <v>2434</v>
      </c>
      <c r="X1861" s="13">
        <v>46.677300000000002</v>
      </c>
      <c r="Y1861" s="13">
        <v>-117.3108</v>
      </c>
      <c r="Z1861" s="14">
        <v>782</v>
      </c>
      <c r="AA1861" s="8" t="s">
        <v>2405</v>
      </c>
      <c r="AB1861" s="8" t="s">
        <v>2421</v>
      </c>
    </row>
    <row r="1862" spans="1:28" s="8" customFormat="1" ht="21.75" customHeight="1" x14ac:dyDescent="0.2">
      <c r="A1862" s="8" t="s">
        <v>2336</v>
      </c>
      <c r="B1862" s="8" t="s">
        <v>2380</v>
      </c>
      <c r="C1862" s="8" t="s">
        <v>2384</v>
      </c>
      <c r="E1862" s="8" t="s">
        <v>398</v>
      </c>
      <c r="F1862" s="8" t="s">
        <v>217</v>
      </c>
      <c r="G1862" s="8" t="s">
        <v>2373</v>
      </c>
      <c r="H1862" s="3" t="s">
        <v>2374</v>
      </c>
      <c r="I1862" s="4">
        <f>3.8333*0.3048</f>
        <v>1.1683898400000001</v>
      </c>
      <c r="J1862" s="4" t="s">
        <v>4367</v>
      </c>
      <c r="K1862" s="4" t="s">
        <v>5748</v>
      </c>
      <c r="L1862" s="14">
        <f t="shared" si="19"/>
        <v>548.64</v>
      </c>
      <c r="M1862" s="14" t="s">
        <v>2435</v>
      </c>
      <c r="N1862" s="14"/>
      <c r="O1862" s="110" t="s">
        <v>2427</v>
      </c>
      <c r="P1862" s="4"/>
      <c r="R1862" s="8" t="s">
        <v>2434</v>
      </c>
      <c r="X1862" s="13">
        <v>46.9099</v>
      </c>
      <c r="Y1862" s="13">
        <v>-117.0549</v>
      </c>
      <c r="Z1862" s="14">
        <v>746</v>
      </c>
      <c r="AA1862" s="8" t="s">
        <v>2406</v>
      </c>
      <c r="AB1862" s="8" t="s">
        <v>2422</v>
      </c>
    </row>
    <row r="1863" spans="1:28" s="8" customFormat="1" ht="21.75" customHeight="1" x14ac:dyDescent="0.2">
      <c r="A1863" s="8" t="s">
        <v>2336</v>
      </c>
      <c r="B1863" s="8" t="s">
        <v>2380</v>
      </c>
      <c r="C1863" s="8" t="s">
        <v>2384</v>
      </c>
      <c r="E1863" s="8" t="s">
        <v>398</v>
      </c>
      <c r="F1863" s="8" t="s">
        <v>214</v>
      </c>
      <c r="G1863" s="8" t="s">
        <v>2383</v>
      </c>
      <c r="H1863" s="3" t="s">
        <v>2375</v>
      </c>
      <c r="I1863" s="4">
        <f>10*0.3048</f>
        <v>3.048</v>
      </c>
      <c r="J1863" s="4" t="s">
        <v>4367</v>
      </c>
      <c r="K1863" s="4" t="s">
        <v>5748</v>
      </c>
      <c r="L1863" s="14">
        <f t="shared" si="19"/>
        <v>548.64</v>
      </c>
      <c r="M1863" s="14" t="s">
        <v>2435</v>
      </c>
      <c r="N1863" s="14"/>
      <c r="O1863" s="110" t="s">
        <v>2423</v>
      </c>
      <c r="P1863" s="4"/>
      <c r="R1863" s="8" t="s">
        <v>2434</v>
      </c>
      <c r="X1863" s="13">
        <v>46.588799999999999</v>
      </c>
      <c r="Y1863" s="13">
        <v>-117.2617</v>
      </c>
      <c r="Z1863" s="14">
        <v>775</v>
      </c>
      <c r="AA1863" s="8" t="s">
        <v>2407</v>
      </c>
    </row>
    <row r="1864" spans="1:28" s="8" customFormat="1" ht="21.75" customHeight="1" x14ac:dyDescent="0.2">
      <c r="A1864" s="8" t="s">
        <v>2336</v>
      </c>
      <c r="B1864" s="8" t="s">
        <v>2380</v>
      </c>
      <c r="C1864" s="8" t="s">
        <v>2384</v>
      </c>
      <c r="E1864" s="8" t="s">
        <v>398</v>
      </c>
      <c r="F1864" s="8" t="s">
        <v>217</v>
      </c>
      <c r="G1864" s="8" t="s">
        <v>2376</v>
      </c>
      <c r="H1864" s="3" t="s">
        <v>2377</v>
      </c>
      <c r="I1864" s="4">
        <f>5*0.3048</f>
        <v>1.524</v>
      </c>
      <c r="J1864" s="4" t="s">
        <v>4367</v>
      </c>
      <c r="K1864" s="4" t="s">
        <v>5748</v>
      </c>
      <c r="L1864" s="14">
        <f t="shared" si="19"/>
        <v>548.64</v>
      </c>
      <c r="M1864" s="14" t="s">
        <v>2435</v>
      </c>
      <c r="N1864" s="14"/>
      <c r="O1864" s="110" t="s">
        <v>2423</v>
      </c>
      <c r="P1864" s="4"/>
      <c r="R1864" s="8" t="s">
        <v>2434</v>
      </c>
      <c r="X1864" s="13">
        <v>46.6096</v>
      </c>
      <c r="Y1864" s="13">
        <v>-117.28660000000001</v>
      </c>
      <c r="Z1864" s="14">
        <v>758</v>
      </c>
      <c r="AA1864" s="8" t="s">
        <v>2408</v>
      </c>
    </row>
    <row r="1865" spans="1:28" s="8" customFormat="1" ht="21.75" customHeight="1" x14ac:dyDescent="0.2">
      <c r="A1865" s="8" t="s">
        <v>2336</v>
      </c>
      <c r="B1865" s="8" t="s">
        <v>2380</v>
      </c>
      <c r="C1865" s="8" t="s">
        <v>2384</v>
      </c>
      <c r="E1865" s="8" t="s">
        <v>275</v>
      </c>
      <c r="F1865" s="8" t="s">
        <v>217</v>
      </c>
      <c r="G1865" s="8" t="s">
        <v>2378</v>
      </c>
      <c r="H1865" s="3" t="s">
        <v>2379</v>
      </c>
      <c r="I1865" s="4">
        <f>6.5*0.0254</f>
        <v>0.1651</v>
      </c>
      <c r="J1865" s="4" t="s">
        <v>4367</v>
      </c>
      <c r="K1865" s="4" t="s">
        <v>5748</v>
      </c>
      <c r="L1865" s="14">
        <f t="shared" si="19"/>
        <v>548.64</v>
      </c>
      <c r="M1865" s="14" t="s">
        <v>2435</v>
      </c>
      <c r="N1865" s="14"/>
      <c r="O1865" s="110" t="s">
        <v>2423</v>
      </c>
      <c r="P1865" s="4"/>
      <c r="R1865" s="8" t="s">
        <v>2434</v>
      </c>
      <c r="X1865" s="13">
        <v>46.670699999999997</v>
      </c>
      <c r="Y1865" s="13">
        <v>-117.3789</v>
      </c>
      <c r="Z1865" s="14">
        <v>674</v>
      </c>
      <c r="AA1865" s="8" t="s">
        <v>2409</v>
      </c>
      <c r="AB1865" s="8" t="s">
        <v>2433</v>
      </c>
    </row>
    <row r="1866" spans="1:28" ht="21.75" customHeight="1" x14ac:dyDescent="0.2">
      <c r="A1866" s="7" t="s">
        <v>1367</v>
      </c>
      <c r="B1866" s="7" t="s">
        <v>1368</v>
      </c>
      <c r="C1866" s="7" t="s">
        <v>1369</v>
      </c>
      <c r="E1866" s="7" t="s">
        <v>398</v>
      </c>
      <c r="F1866" s="7" t="s">
        <v>884</v>
      </c>
      <c r="G1866" s="7" t="s">
        <v>1371</v>
      </c>
      <c r="H1866" s="1" t="s">
        <v>1370</v>
      </c>
      <c r="I1866" s="2">
        <f>9*0.3048</f>
        <v>2.7432000000000003</v>
      </c>
      <c r="J1866" s="2" t="s">
        <v>4367</v>
      </c>
      <c r="K1866" s="2" t="s">
        <v>5713</v>
      </c>
      <c r="L1866" s="6">
        <f>28*25.4</f>
        <v>711.19999999999993</v>
      </c>
      <c r="M1866" s="6" t="s">
        <v>1426</v>
      </c>
      <c r="R1866" s="7" t="s">
        <v>1394</v>
      </c>
      <c r="AA1866" s="7" t="s">
        <v>1372</v>
      </c>
      <c r="AB1866" s="139" t="s">
        <v>1500</v>
      </c>
    </row>
    <row r="1867" spans="1:28" ht="21.75" customHeight="1" x14ac:dyDescent="0.2">
      <c r="A1867" s="7" t="s">
        <v>1367</v>
      </c>
      <c r="B1867" s="7" t="s">
        <v>1368</v>
      </c>
      <c r="C1867" s="7" t="s">
        <v>1369</v>
      </c>
      <c r="D1867" s="7" t="s">
        <v>1375</v>
      </c>
      <c r="E1867" s="7" t="s">
        <v>398</v>
      </c>
      <c r="F1867" s="7" t="s">
        <v>884</v>
      </c>
      <c r="G1867" s="7" t="s">
        <v>1374</v>
      </c>
      <c r="H1867" s="1" t="s">
        <v>1373</v>
      </c>
      <c r="I1867" s="2">
        <f>(6+10/12)*0.3048</f>
        <v>2.0828000000000002</v>
      </c>
      <c r="J1867" s="2" t="s">
        <v>4367</v>
      </c>
      <c r="K1867" s="2" t="s">
        <v>5713</v>
      </c>
      <c r="L1867" s="6">
        <v>711</v>
      </c>
      <c r="M1867" s="6" t="s">
        <v>1426</v>
      </c>
      <c r="R1867" s="7" t="s">
        <v>1394</v>
      </c>
      <c r="X1867" s="5">
        <v>40.817599999999999</v>
      </c>
      <c r="Y1867" s="5">
        <v>-96.691900000000004</v>
      </c>
      <c r="Z1867" s="6">
        <v>352</v>
      </c>
      <c r="AA1867" s="7" t="s">
        <v>1380</v>
      </c>
      <c r="AB1867" s="139"/>
    </row>
    <row r="1868" spans="1:28" ht="21.75" customHeight="1" x14ac:dyDescent="0.2">
      <c r="A1868" s="7" t="s">
        <v>1367</v>
      </c>
      <c r="B1868" s="7" t="s">
        <v>1368</v>
      </c>
      <c r="C1868" s="7" t="s">
        <v>1369</v>
      </c>
      <c r="E1868" s="7" t="s">
        <v>398</v>
      </c>
      <c r="F1868" s="7" t="s">
        <v>884</v>
      </c>
      <c r="G1868" s="7" t="s">
        <v>1377</v>
      </c>
      <c r="H1868" s="1" t="s">
        <v>1376</v>
      </c>
      <c r="I1868" s="2">
        <f>28*0.0254</f>
        <v>0.71119999999999994</v>
      </c>
      <c r="J1868" s="2" t="s">
        <v>4367</v>
      </c>
      <c r="K1868" s="2" t="s">
        <v>5713</v>
      </c>
      <c r="L1868" s="6">
        <v>711</v>
      </c>
      <c r="M1868" s="6" t="s">
        <v>1426</v>
      </c>
      <c r="R1868" s="7" t="s">
        <v>1378</v>
      </c>
      <c r="U1868" s="7" t="s">
        <v>368</v>
      </c>
      <c r="V1868" s="2">
        <f>3*0.3048</f>
        <v>0.9144000000000001</v>
      </c>
      <c r="AA1868" s="7" t="s">
        <v>1381</v>
      </c>
      <c r="AB1868" s="139"/>
    </row>
    <row r="1869" spans="1:28" ht="21.75" customHeight="1" x14ac:dyDescent="0.2">
      <c r="A1869" s="7" t="s">
        <v>1367</v>
      </c>
      <c r="B1869" s="7" t="s">
        <v>1368</v>
      </c>
      <c r="C1869" s="7" t="s">
        <v>1369</v>
      </c>
      <c r="E1869" s="7" t="s">
        <v>398</v>
      </c>
      <c r="F1869" s="7" t="s">
        <v>884</v>
      </c>
      <c r="G1869" s="7" t="s">
        <v>1377</v>
      </c>
      <c r="H1869" s="1" t="s">
        <v>1376</v>
      </c>
      <c r="I1869" s="2">
        <f>65*0.0254</f>
        <v>1.651</v>
      </c>
      <c r="J1869" s="2" t="s">
        <v>4367</v>
      </c>
      <c r="K1869" s="2" t="s">
        <v>5713</v>
      </c>
      <c r="L1869" s="6">
        <v>711</v>
      </c>
      <c r="M1869" s="6" t="s">
        <v>1426</v>
      </c>
      <c r="R1869" s="7" t="s">
        <v>1379</v>
      </c>
      <c r="AA1869" s="7" t="s">
        <v>1381</v>
      </c>
      <c r="AB1869" s="139"/>
    </row>
    <row r="1870" spans="1:28" ht="21.75" customHeight="1" x14ac:dyDescent="0.2">
      <c r="A1870" s="7" t="s">
        <v>1367</v>
      </c>
      <c r="B1870" s="7" t="s">
        <v>1368</v>
      </c>
      <c r="C1870" s="7" t="s">
        <v>1369</v>
      </c>
      <c r="E1870" s="7" t="s">
        <v>398</v>
      </c>
      <c r="F1870" s="7" t="s">
        <v>884</v>
      </c>
      <c r="G1870" s="7" t="s">
        <v>1383</v>
      </c>
      <c r="H1870" s="1" t="s">
        <v>1382</v>
      </c>
      <c r="I1870" s="2">
        <f>59*0.0254</f>
        <v>1.4985999999999999</v>
      </c>
      <c r="J1870" s="2" t="s">
        <v>4367</v>
      </c>
      <c r="K1870" s="2" t="s">
        <v>5713</v>
      </c>
      <c r="L1870" s="6">
        <v>711</v>
      </c>
      <c r="M1870" s="6" t="s">
        <v>1426</v>
      </c>
      <c r="R1870" s="7" t="s">
        <v>1385</v>
      </c>
      <c r="AA1870" s="7" t="s">
        <v>1384</v>
      </c>
      <c r="AB1870" s="139"/>
    </row>
    <row r="1871" spans="1:28" ht="21.75" customHeight="1" x14ac:dyDescent="0.2">
      <c r="A1871" s="7" t="s">
        <v>1367</v>
      </c>
      <c r="B1871" s="7" t="s">
        <v>1368</v>
      </c>
      <c r="C1871" s="7" t="s">
        <v>1369</v>
      </c>
      <c r="E1871" s="7" t="s">
        <v>398</v>
      </c>
      <c r="F1871" s="7" t="s">
        <v>884</v>
      </c>
      <c r="G1871" s="7" t="s">
        <v>1388</v>
      </c>
      <c r="H1871" s="1" t="s">
        <v>1386</v>
      </c>
      <c r="I1871" s="2">
        <f>26*0.0254</f>
        <v>0.66039999999999999</v>
      </c>
      <c r="J1871" s="2" t="s">
        <v>4367</v>
      </c>
      <c r="K1871" s="2" t="s">
        <v>5713</v>
      </c>
      <c r="L1871" s="6">
        <v>711</v>
      </c>
      <c r="M1871" s="6" t="s">
        <v>1426</v>
      </c>
      <c r="R1871" s="7" t="s">
        <v>1394</v>
      </c>
      <c r="AA1871" s="7" t="s">
        <v>1387</v>
      </c>
      <c r="AB1871" s="139"/>
    </row>
    <row r="1872" spans="1:28" ht="21.75" customHeight="1" x14ac:dyDescent="0.2">
      <c r="A1872" s="7" t="s">
        <v>1367</v>
      </c>
      <c r="B1872" s="7" t="s">
        <v>1368</v>
      </c>
      <c r="C1872" s="7" t="s">
        <v>1369</v>
      </c>
      <c r="E1872" s="7" t="s">
        <v>398</v>
      </c>
      <c r="F1872" s="7" t="s">
        <v>884</v>
      </c>
      <c r="G1872" s="7" t="s">
        <v>1390</v>
      </c>
      <c r="H1872" s="1" t="s">
        <v>1389</v>
      </c>
      <c r="I1872" s="2">
        <f>21*0.0254</f>
        <v>0.53339999999999999</v>
      </c>
      <c r="J1872" s="2" t="s">
        <v>4367</v>
      </c>
      <c r="K1872" s="2" t="s">
        <v>5713</v>
      </c>
      <c r="L1872" s="6">
        <v>711</v>
      </c>
      <c r="M1872" s="6" t="s">
        <v>1426</v>
      </c>
      <c r="R1872" s="7" t="s">
        <v>1394</v>
      </c>
      <c r="AA1872" s="7" t="s">
        <v>1391</v>
      </c>
      <c r="AB1872" s="139"/>
    </row>
    <row r="1873" spans="1:28" ht="21.75" customHeight="1" x14ac:dyDescent="0.2">
      <c r="A1873" s="7" t="s">
        <v>1367</v>
      </c>
      <c r="B1873" s="7" t="s">
        <v>1368</v>
      </c>
      <c r="C1873" s="7" t="s">
        <v>1369</v>
      </c>
      <c r="E1873" s="7" t="s">
        <v>398</v>
      </c>
      <c r="F1873" s="7" t="s">
        <v>884</v>
      </c>
      <c r="G1873" s="7" t="s">
        <v>1393</v>
      </c>
      <c r="H1873" s="1" t="s">
        <v>1392</v>
      </c>
      <c r="I1873" s="2">
        <f>22*0.0254</f>
        <v>0.55879999999999996</v>
      </c>
      <c r="J1873" s="2" t="s">
        <v>4367</v>
      </c>
      <c r="K1873" s="2" t="s">
        <v>5713</v>
      </c>
      <c r="L1873" s="6">
        <v>711</v>
      </c>
      <c r="M1873" s="6" t="s">
        <v>1426</v>
      </c>
      <c r="R1873" s="7" t="s">
        <v>1394</v>
      </c>
      <c r="AA1873" s="7" t="s">
        <v>1395</v>
      </c>
      <c r="AB1873" s="139"/>
    </row>
    <row r="1874" spans="1:28" ht="21.75" customHeight="1" x14ac:dyDescent="0.2">
      <c r="A1874" s="7" t="s">
        <v>1367</v>
      </c>
      <c r="B1874" s="7" t="s">
        <v>1368</v>
      </c>
      <c r="C1874" s="7" t="s">
        <v>1369</v>
      </c>
      <c r="E1874" s="7" t="s">
        <v>398</v>
      </c>
      <c r="F1874" s="7" t="s">
        <v>884</v>
      </c>
      <c r="G1874" s="7" t="s">
        <v>1397</v>
      </c>
      <c r="H1874" s="1" t="s">
        <v>1396</v>
      </c>
      <c r="I1874" s="2">
        <f>8*0.3048</f>
        <v>2.4384000000000001</v>
      </c>
      <c r="J1874" s="2" t="s">
        <v>4367</v>
      </c>
      <c r="K1874" s="2" t="s">
        <v>5713</v>
      </c>
      <c r="L1874" s="6">
        <v>711</v>
      </c>
      <c r="M1874" s="6" t="s">
        <v>1426</v>
      </c>
      <c r="R1874" s="7" t="s">
        <v>1394</v>
      </c>
      <c r="AA1874" s="7" t="s">
        <v>1398</v>
      </c>
      <c r="AB1874" s="139"/>
    </row>
    <row r="1875" spans="1:28" ht="21.75" customHeight="1" x14ac:dyDescent="0.2">
      <c r="A1875" s="7" t="s">
        <v>1367</v>
      </c>
      <c r="B1875" s="7" t="s">
        <v>1368</v>
      </c>
      <c r="C1875" s="7" t="s">
        <v>1369</v>
      </c>
      <c r="D1875" s="7" t="s">
        <v>1375</v>
      </c>
      <c r="E1875" s="7" t="s">
        <v>398</v>
      </c>
      <c r="F1875" s="7" t="s">
        <v>884</v>
      </c>
      <c r="G1875" s="7" t="s">
        <v>1400</v>
      </c>
      <c r="H1875" s="1" t="s">
        <v>1399</v>
      </c>
      <c r="I1875" s="2">
        <f>2*0.3048</f>
        <v>0.60960000000000003</v>
      </c>
      <c r="J1875" s="2" t="s">
        <v>4367</v>
      </c>
      <c r="K1875" s="2" t="s">
        <v>5713</v>
      </c>
      <c r="L1875" s="6">
        <v>711</v>
      </c>
      <c r="M1875" s="6" t="s">
        <v>1426</v>
      </c>
      <c r="O1875" s="45" t="s">
        <v>1498</v>
      </c>
      <c r="Q1875" s="2">
        <f>6*0.3048</f>
        <v>1.8288000000000002</v>
      </c>
      <c r="R1875" s="7" t="s">
        <v>1394</v>
      </c>
      <c r="X1875" s="5">
        <v>40.818100000000001</v>
      </c>
      <c r="Y1875" s="5">
        <v>-96.719700000000003</v>
      </c>
      <c r="Z1875" s="6">
        <v>349</v>
      </c>
      <c r="AA1875" s="7" t="s">
        <v>1402</v>
      </c>
      <c r="AB1875" s="7" t="s">
        <v>1401</v>
      </c>
    </row>
    <row r="1876" spans="1:28" ht="21.75" customHeight="1" x14ac:dyDescent="0.2">
      <c r="A1876" s="7" t="s">
        <v>1367</v>
      </c>
      <c r="B1876" s="7" t="s">
        <v>1368</v>
      </c>
      <c r="C1876" s="7" t="s">
        <v>1369</v>
      </c>
      <c r="E1876" s="7" t="s">
        <v>398</v>
      </c>
      <c r="F1876" s="7" t="s">
        <v>884</v>
      </c>
      <c r="H1876" s="1" t="s">
        <v>1403</v>
      </c>
      <c r="I1876" s="2">
        <f>40*0.0254</f>
        <v>1.016</v>
      </c>
      <c r="J1876" s="2" t="s">
        <v>4367</v>
      </c>
      <c r="K1876" s="2" t="s">
        <v>5713</v>
      </c>
      <c r="L1876" s="6">
        <v>711</v>
      </c>
      <c r="M1876" s="6" t="s">
        <v>1426</v>
      </c>
      <c r="R1876" s="7" t="s">
        <v>1394</v>
      </c>
      <c r="AA1876" s="7" t="s">
        <v>1404</v>
      </c>
    </row>
    <row r="1877" spans="1:28" ht="21.75" customHeight="1" x14ac:dyDescent="0.2">
      <c r="A1877" s="7" t="s">
        <v>1367</v>
      </c>
      <c r="B1877" s="7" t="s">
        <v>1368</v>
      </c>
      <c r="C1877" s="7" t="s">
        <v>1369</v>
      </c>
      <c r="E1877" s="7" t="s">
        <v>398</v>
      </c>
      <c r="F1877" s="7" t="s">
        <v>884</v>
      </c>
      <c r="G1877" s="7" t="s">
        <v>1407</v>
      </c>
      <c r="H1877" s="1" t="s">
        <v>1406</v>
      </c>
      <c r="I1877" s="2">
        <f>40*0.0254</f>
        <v>1.016</v>
      </c>
      <c r="J1877" s="2" t="s">
        <v>4367</v>
      </c>
      <c r="K1877" s="2" t="s">
        <v>5713</v>
      </c>
      <c r="L1877" s="6">
        <v>711</v>
      </c>
      <c r="M1877" s="6" t="s">
        <v>1426</v>
      </c>
      <c r="R1877" s="7" t="s">
        <v>1405</v>
      </c>
      <c r="AA1877" s="7" t="s">
        <v>1408</v>
      </c>
    </row>
    <row r="1878" spans="1:28" ht="21.75" customHeight="1" x14ac:dyDescent="0.2">
      <c r="A1878" s="7" t="s">
        <v>1367</v>
      </c>
      <c r="B1878" s="7" t="s">
        <v>1368</v>
      </c>
      <c r="C1878" s="7" t="s">
        <v>1369</v>
      </c>
      <c r="E1878" s="7" t="s">
        <v>398</v>
      </c>
      <c r="F1878" s="7" t="s">
        <v>884</v>
      </c>
      <c r="G1878" s="7" t="s">
        <v>1409</v>
      </c>
      <c r="H1878" s="1" t="s">
        <v>1410</v>
      </c>
      <c r="I1878" s="2">
        <f>73*0.0254</f>
        <v>1.8541999999999998</v>
      </c>
      <c r="J1878" s="2" t="s">
        <v>4367</v>
      </c>
      <c r="K1878" s="2" t="s">
        <v>5713</v>
      </c>
      <c r="L1878" s="6">
        <v>711</v>
      </c>
      <c r="M1878" s="6" t="s">
        <v>1426</v>
      </c>
      <c r="O1878" s="45" t="s">
        <v>1412</v>
      </c>
      <c r="Q1878" s="2">
        <f>73*0.0254</f>
        <v>1.8541999999999998</v>
      </c>
      <c r="R1878" s="7" t="s">
        <v>1411</v>
      </c>
      <c r="X1878" s="5">
        <v>40.936900000000001</v>
      </c>
      <c r="Y1878" s="5">
        <v>-96.534999999999997</v>
      </c>
      <c r="Z1878" s="6">
        <v>338</v>
      </c>
      <c r="AA1878" s="7" t="s">
        <v>1413</v>
      </c>
    </row>
    <row r="1879" spans="1:28" ht="21.75" customHeight="1" x14ac:dyDescent="0.2">
      <c r="A1879" s="7" t="s">
        <v>1367</v>
      </c>
      <c r="B1879" s="7" t="s">
        <v>1368</v>
      </c>
      <c r="C1879" s="7" t="s">
        <v>1369</v>
      </c>
      <c r="D1879" s="7" t="s">
        <v>1375</v>
      </c>
      <c r="E1879" s="7" t="s">
        <v>398</v>
      </c>
      <c r="F1879" s="7" t="s">
        <v>884</v>
      </c>
      <c r="G1879" s="7" t="s">
        <v>1414</v>
      </c>
      <c r="H1879" s="1" t="s">
        <v>1132</v>
      </c>
      <c r="I1879" s="2">
        <f>46*0.0254</f>
        <v>1.1683999999999999</v>
      </c>
      <c r="J1879" s="2" t="s">
        <v>4367</v>
      </c>
      <c r="K1879" s="2" t="s">
        <v>5713</v>
      </c>
      <c r="L1879" s="6">
        <v>711</v>
      </c>
      <c r="M1879" s="6" t="s">
        <v>1426</v>
      </c>
      <c r="O1879" s="45" t="s">
        <v>1416</v>
      </c>
      <c r="R1879" s="7" t="s">
        <v>1415</v>
      </c>
      <c r="X1879" s="5">
        <v>40.850900000000003</v>
      </c>
      <c r="Y1879" s="5">
        <v>-96.702200000000005</v>
      </c>
      <c r="Z1879" s="6">
        <v>381</v>
      </c>
      <c r="AA1879" s="7" t="s">
        <v>1417</v>
      </c>
    </row>
    <row r="1880" spans="1:28" ht="21.75" customHeight="1" x14ac:dyDescent="0.2">
      <c r="A1880" s="7" t="s">
        <v>1367</v>
      </c>
      <c r="B1880" s="7" t="s">
        <v>1368</v>
      </c>
      <c r="C1880" s="7" t="s">
        <v>1369</v>
      </c>
      <c r="E1880" s="7" t="s">
        <v>398</v>
      </c>
      <c r="F1880" s="7" t="s">
        <v>217</v>
      </c>
      <c r="G1880" s="7" t="s">
        <v>1419</v>
      </c>
      <c r="H1880" s="1" t="s">
        <v>1418</v>
      </c>
      <c r="I1880" s="2">
        <f>(15+9/12)*0.3048</f>
        <v>4.8006000000000002</v>
      </c>
      <c r="J1880" s="2" t="s">
        <v>4367</v>
      </c>
      <c r="K1880" s="2" t="s">
        <v>5713</v>
      </c>
      <c r="L1880" s="6">
        <v>711</v>
      </c>
      <c r="M1880" s="6" t="s">
        <v>1426</v>
      </c>
      <c r="R1880" s="7" t="s">
        <v>1421</v>
      </c>
      <c r="AA1880" s="7" t="s">
        <v>1420</v>
      </c>
    </row>
    <row r="1881" spans="1:28" ht="21.75" customHeight="1" x14ac:dyDescent="0.2">
      <c r="A1881" s="7" t="s">
        <v>1367</v>
      </c>
      <c r="B1881" s="7" t="s">
        <v>1368</v>
      </c>
      <c r="C1881" s="7" t="s">
        <v>1369</v>
      </c>
      <c r="E1881" s="7" t="s">
        <v>398</v>
      </c>
      <c r="F1881" s="7" t="s">
        <v>217</v>
      </c>
      <c r="G1881" s="7" t="s">
        <v>1419</v>
      </c>
      <c r="H1881" s="1" t="s">
        <v>1418</v>
      </c>
      <c r="I1881" s="2">
        <f>(6+8/12)*0.3048</f>
        <v>2.032</v>
      </c>
      <c r="J1881" s="2" t="s">
        <v>4367</v>
      </c>
      <c r="K1881" s="2" t="s">
        <v>5713</v>
      </c>
      <c r="L1881" s="6">
        <v>711</v>
      </c>
      <c r="M1881" s="6" t="s">
        <v>1426</v>
      </c>
      <c r="R1881" s="7" t="s">
        <v>1423</v>
      </c>
      <c r="AA1881" s="7" t="s">
        <v>1422</v>
      </c>
    </row>
    <row r="1882" spans="1:28" ht="21.75" customHeight="1" x14ac:dyDescent="0.2">
      <c r="A1882" s="7" t="s">
        <v>1367</v>
      </c>
      <c r="B1882" s="7" t="s">
        <v>1368</v>
      </c>
      <c r="C1882" s="7" t="s">
        <v>1369</v>
      </c>
      <c r="E1882" s="7" t="s">
        <v>398</v>
      </c>
      <c r="F1882" s="7" t="s">
        <v>217</v>
      </c>
      <c r="G1882" s="7" t="s">
        <v>1427</v>
      </c>
      <c r="H1882" s="1" t="s">
        <v>1424</v>
      </c>
      <c r="I1882" s="2">
        <f>5*0.3048</f>
        <v>1.524</v>
      </c>
      <c r="J1882" s="2" t="s">
        <v>4367</v>
      </c>
      <c r="K1882" s="2" t="s">
        <v>5713</v>
      </c>
      <c r="L1882" s="6">
        <v>711</v>
      </c>
      <c r="M1882" s="6" t="s">
        <v>1426</v>
      </c>
      <c r="R1882" s="7" t="s">
        <v>1394</v>
      </c>
      <c r="AA1882" s="7" t="s">
        <v>1425</v>
      </c>
    </row>
    <row r="1883" spans="1:28" ht="21.75" customHeight="1" x14ac:dyDescent="0.2">
      <c r="A1883" s="7" t="s">
        <v>1367</v>
      </c>
      <c r="B1883" s="7" t="s">
        <v>1368</v>
      </c>
      <c r="C1883" s="7" t="s">
        <v>1369</v>
      </c>
      <c r="E1883" s="7" t="s">
        <v>398</v>
      </c>
      <c r="F1883" s="7" t="s">
        <v>217</v>
      </c>
      <c r="G1883" s="7" t="s">
        <v>1429</v>
      </c>
      <c r="H1883" s="1" t="s">
        <v>1428</v>
      </c>
      <c r="I1883" s="2">
        <f>11*0.3048</f>
        <v>3.3528000000000002</v>
      </c>
      <c r="J1883" s="2" t="s">
        <v>4367</v>
      </c>
      <c r="K1883" s="2" t="s">
        <v>5713</v>
      </c>
      <c r="L1883" s="6">
        <v>711</v>
      </c>
      <c r="M1883" s="6" t="s">
        <v>1426</v>
      </c>
      <c r="R1883" s="7" t="s">
        <v>1394</v>
      </c>
      <c r="AA1883" s="7" t="s">
        <v>1430</v>
      </c>
    </row>
    <row r="1884" spans="1:28" ht="21.75" customHeight="1" x14ac:dyDescent="0.2">
      <c r="A1884" s="7" t="s">
        <v>1367</v>
      </c>
      <c r="B1884" s="7" t="s">
        <v>1368</v>
      </c>
      <c r="C1884" s="7" t="s">
        <v>1369</v>
      </c>
      <c r="E1884" s="7" t="s">
        <v>398</v>
      </c>
      <c r="F1884" s="7" t="s">
        <v>217</v>
      </c>
      <c r="G1884" s="7" t="s">
        <v>1432</v>
      </c>
      <c r="H1884" s="1" t="s">
        <v>1431</v>
      </c>
      <c r="I1884" s="2">
        <f>(13+8/12)*0.3048</f>
        <v>4.1656000000000004</v>
      </c>
      <c r="J1884" s="2" t="s">
        <v>4367</v>
      </c>
      <c r="K1884" s="2" t="s">
        <v>5713</v>
      </c>
      <c r="L1884" s="6">
        <v>711</v>
      </c>
      <c r="M1884" s="6" t="s">
        <v>1426</v>
      </c>
      <c r="R1884" s="7" t="s">
        <v>1394</v>
      </c>
      <c r="AA1884" s="7" t="s">
        <v>1433</v>
      </c>
    </row>
    <row r="1885" spans="1:28" ht="21.75" customHeight="1" x14ac:dyDescent="0.2">
      <c r="A1885" s="7" t="s">
        <v>1367</v>
      </c>
      <c r="B1885" s="7" t="s">
        <v>1368</v>
      </c>
      <c r="C1885" s="7" t="s">
        <v>1369</v>
      </c>
      <c r="E1885" s="7" t="s">
        <v>398</v>
      </c>
      <c r="F1885" s="7" t="s">
        <v>217</v>
      </c>
      <c r="G1885" s="7" t="s">
        <v>1435</v>
      </c>
      <c r="H1885" s="1" t="s">
        <v>1434</v>
      </c>
      <c r="I1885" s="2">
        <f>7.5*0.3048</f>
        <v>2.286</v>
      </c>
      <c r="J1885" s="2" t="s">
        <v>4367</v>
      </c>
      <c r="K1885" s="2" t="s">
        <v>5713</v>
      </c>
      <c r="L1885" s="6">
        <v>711</v>
      </c>
      <c r="M1885" s="6" t="s">
        <v>1426</v>
      </c>
      <c r="R1885" s="7" t="s">
        <v>1394</v>
      </c>
      <c r="AA1885" s="7" t="s">
        <v>1436</v>
      </c>
    </row>
    <row r="1886" spans="1:28" ht="21.75" customHeight="1" x14ac:dyDescent="0.2">
      <c r="A1886" s="7" t="s">
        <v>1367</v>
      </c>
      <c r="B1886" s="7" t="s">
        <v>1368</v>
      </c>
      <c r="C1886" s="7" t="s">
        <v>1369</v>
      </c>
      <c r="E1886" s="7" t="s">
        <v>398</v>
      </c>
      <c r="F1886" s="7" t="s">
        <v>217</v>
      </c>
      <c r="G1886" s="7" t="s">
        <v>1438</v>
      </c>
      <c r="H1886" s="1" t="s">
        <v>1437</v>
      </c>
      <c r="I1886" s="7">
        <f>50*0.0254</f>
        <v>1.27</v>
      </c>
      <c r="J1886" s="2" t="s">
        <v>4367</v>
      </c>
      <c r="K1886" s="2" t="s">
        <v>5713</v>
      </c>
      <c r="L1886" s="6">
        <v>711</v>
      </c>
      <c r="M1886" s="6" t="s">
        <v>1426</v>
      </c>
      <c r="R1886" s="7" t="s">
        <v>1394</v>
      </c>
      <c r="AA1886" s="7" t="s">
        <v>1439</v>
      </c>
    </row>
    <row r="1887" spans="1:28" ht="21.75" customHeight="1" x14ac:dyDescent="0.2">
      <c r="A1887" s="7" t="s">
        <v>1367</v>
      </c>
      <c r="B1887" s="7" t="s">
        <v>1368</v>
      </c>
      <c r="C1887" s="7" t="s">
        <v>1369</v>
      </c>
      <c r="E1887" s="7" t="s">
        <v>398</v>
      </c>
      <c r="F1887" s="7" t="s">
        <v>217</v>
      </c>
      <c r="G1887" s="7" t="s">
        <v>1441</v>
      </c>
      <c r="H1887" s="1" t="s">
        <v>1440</v>
      </c>
      <c r="I1887" s="2">
        <f>66*0.0254</f>
        <v>1.6763999999999999</v>
      </c>
      <c r="J1887" s="2" t="s">
        <v>4367</v>
      </c>
      <c r="K1887" s="2" t="s">
        <v>5713</v>
      </c>
      <c r="L1887" s="6">
        <v>711</v>
      </c>
      <c r="M1887" s="6" t="s">
        <v>1426</v>
      </c>
      <c r="R1887" s="7" t="s">
        <v>1394</v>
      </c>
      <c r="AA1887" s="7" t="s">
        <v>1442</v>
      </c>
    </row>
    <row r="1888" spans="1:28" ht="21.75" customHeight="1" x14ac:dyDescent="0.2">
      <c r="A1888" s="7" t="s">
        <v>1367</v>
      </c>
      <c r="B1888" s="7" t="s">
        <v>1368</v>
      </c>
      <c r="C1888" s="7" t="s">
        <v>1369</v>
      </c>
      <c r="E1888" s="7" t="s">
        <v>398</v>
      </c>
      <c r="F1888" s="7" t="s">
        <v>217</v>
      </c>
      <c r="G1888" s="7" t="s">
        <v>1444</v>
      </c>
      <c r="H1888" s="1" t="s">
        <v>1443</v>
      </c>
      <c r="I1888" s="2">
        <f>68*0.0254</f>
        <v>1.7271999999999998</v>
      </c>
      <c r="J1888" s="2" t="s">
        <v>4367</v>
      </c>
      <c r="K1888" s="2" t="s">
        <v>5713</v>
      </c>
      <c r="L1888" s="6">
        <v>711</v>
      </c>
      <c r="M1888" s="6" t="s">
        <v>1426</v>
      </c>
      <c r="R1888" s="7" t="s">
        <v>1394</v>
      </c>
      <c r="AA1888" s="7" t="s">
        <v>1445</v>
      </c>
    </row>
    <row r="1889" spans="1:28" ht="21.75" customHeight="1" x14ac:dyDescent="0.2">
      <c r="A1889" s="7" t="s">
        <v>1367</v>
      </c>
      <c r="B1889" s="7" t="s">
        <v>1368</v>
      </c>
      <c r="C1889" s="7" t="s">
        <v>1369</v>
      </c>
      <c r="E1889" s="7" t="s">
        <v>398</v>
      </c>
      <c r="F1889" s="7" t="s">
        <v>217</v>
      </c>
      <c r="G1889" s="7" t="s">
        <v>1446</v>
      </c>
      <c r="H1889" s="1" t="s">
        <v>1446</v>
      </c>
      <c r="I1889" s="2">
        <f>11.5*0.3048</f>
        <v>3.5052000000000003</v>
      </c>
      <c r="J1889" s="2" t="s">
        <v>4367</v>
      </c>
      <c r="K1889" s="2" t="s">
        <v>5713</v>
      </c>
      <c r="L1889" s="6">
        <v>711</v>
      </c>
      <c r="M1889" s="6" t="s">
        <v>1426</v>
      </c>
      <c r="R1889" s="7" t="s">
        <v>1394</v>
      </c>
      <c r="AA1889" s="7" t="s">
        <v>1447</v>
      </c>
    </row>
    <row r="1890" spans="1:28" ht="21.75" customHeight="1" x14ac:dyDescent="0.2">
      <c r="A1890" s="7" t="s">
        <v>1367</v>
      </c>
      <c r="B1890" s="7" t="s">
        <v>1368</v>
      </c>
      <c r="C1890" s="7" t="s">
        <v>1369</v>
      </c>
      <c r="E1890" s="7" t="s">
        <v>398</v>
      </c>
      <c r="F1890" s="7" t="s">
        <v>217</v>
      </c>
      <c r="H1890" s="1" t="s">
        <v>1450</v>
      </c>
      <c r="I1890" s="2">
        <f>17.25*0.3048</f>
        <v>5.2578000000000005</v>
      </c>
      <c r="J1890" s="2" t="s">
        <v>4367</v>
      </c>
      <c r="K1890" s="2" t="s">
        <v>5713</v>
      </c>
      <c r="L1890" s="6">
        <v>711</v>
      </c>
      <c r="M1890" s="6" t="s">
        <v>1426</v>
      </c>
      <c r="R1890" s="7" t="s">
        <v>1394</v>
      </c>
      <c r="AA1890" s="7" t="s">
        <v>1449</v>
      </c>
      <c r="AB1890" s="7" t="s">
        <v>1448</v>
      </c>
    </row>
    <row r="1891" spans="1:28" ht="21.75" customHeight="1" x14ac:dyDescent="0.2">
      <c r="A1891" s="7" t="s">
        <v>1367</v>
      </c>
      <c r="B1891" s="7" t="s">
        <v>1368</v>
      </c>
      <c r="C1891" s="7" t="s">
        <v>1369</v>
      </c>
      <c r="E1891" s="7" t="s">
        <v>398</v>
      </c>
      <c r="F1891" s="7" t="s">
        <v>217</v>
      </c>
      <c r="G1891" s="7" t="s">
        <v>1452</v>
      </c>
      <c r="H1891" s="1" t="s">
        <v>1451</v>
      </c>
      <c r="I1891" s="2">
        <f>4*0.3048</f>
        <v>1.2192000000000001</v>
      </c>
      <c r="J1891" s="2" t="s">
        <v>4367</v>
      </c>
      <c r="K1891" s="2" t="s">
        <v>5713</v>
      </c>
      <c r="L1891" s="6">
        <v>711</v>
      </c>
      <c r="M1891" s="6" t="s">
        <v>1426</v>
      </c>
      <c r="R1891" s="7" t="s">
        <v>1394</v>
      </c>
      <c r="AA1891" s="7" t="s">
        <v>1453</v>
      </c>
    </row>
    <row r="1892" spans="1:28" ht="21.75" customHeight="1" x14ac:dyDescent="0.2">
      <c r="A1892" s="7" t="s">
        <v>1367</v>
      </c>
      <c r="B1892" s="7" t="s">
        <v>1368</v>
      </c>
      <c r="C1892" s="7" t="s">
        <v>1369</v>
      </c>
      <c r="E1892" s="7" t="s">
        <v>398</v>
      </c>
      <c r="F1892" s="7" t="s">
        <v>217</v>
      </c>
      <c r="G1892" s="7" t="s">
        <v>1455</v>
      </c>
      <c r="H1892" s="1" t="s">
        <v>1454</v>
      </c>
      <c r="I1892" s="2">
        <f>73*0.0254</f>
        <v>1.8541999999999998</v>
      </c>
      <c r="J1892" s="2" t="s">
        <v>4367</v>
      </c>
      <c r="K1892" s="2" t="s">
        <v>5713</v>
      </c>
      <c r="L1892" s="6">
        <v>711</v>
      </c>
      <c r="M1892" s="6" t="s">
        <v>1426</v>
      </c>
      <c r="R1892" s="7" t="s">
        <v>1394</v>
      </c>
      <c r="AA1892" s="7" t="s">
        <v>1457</v>
      </c>
      <c r="AB1892" s="7" t="s">
        <v>1456</v>
      </c>
    </row>
    <row r="1893" spans="1:28" ht="21.75" customHeight="1" x14ac:dyDescent="0.2">
      <c r="A1893" s="7" t="s">
        <v>1367</v>
      </c>
      <c r="B1893" s="7" t="s">
        <v>1368</v>
      </c>
      <c r="C1893" s="7" t="s">
        <v>1369</v>
      </c>
      <c r="E1893" s="7" t="s">
        <v>398</v>
      </c>
      <c r="F1893" s="7" t="s">
        <v>217</v>
      </c>
      <c r="G1893" s="7" t="s">
        <v>1459</v>
      </c>
      <c r="H1893" s="1" t="s">
        <v>1458</v>
      </c>
      <c r="I1893" s="2">
        <f>15*0.3048</f>
        <v>4.5720000000000001</v>
      </c>
      <c r="J1893" s="2" t="s">
        <v>4367</v>
      </c>
      <c r="K1893" s="2" t="s">
        <v>5713</v>
      </c>
      <c r="L1893" s="6">
        <v>711</v>
      </c>
      <c r="M1893" s="6" t="s">
        <v>1426</v>
      </c>
      <c r="R1893" s="7" t="s">
        <v>1394</v>
      </c>
      <c r="AA1893" s="7" t="s">
        <v>1460</v>
      </c>
    </row>
    <row r="1894" spans="1:28" ht="21.75" customHeight="1" x14ac:dyDescent="0.2">
      <c r="A1894" s="7" t="s">
        <v>1367</v>
      </c>
      <c r="B1894" s="7" t="s">
        <v>1368</v>
      </c>
      <c r="C1894" s="7" t="s">
        <v>1369</v>
      </c>
      <c r="D1894" s="7" t="s">
        <v>1462</v>
      </c>
      <c r="E1894" s="7" t="s">
        <v>398</v>
      </c>
      <c r="F1894" s="7" t="s">
        <v>217</v>
      </c>
      <c r="G1894" s="7" t="s">
        <v>1464</v>
      </c>
      <c r="H1894" s="1" t="s">
        <v>1461</v>
      </c>
      <c r="I1894" s="2">
        <f>6*0.3048</f>
        <v>1.8288000000000002</v>
      </c>
      <c r="J1894" s="2" t="s">
        <v>4367</v>
      </c>
      <c r="K1894" s="2" t="s">
        <v>5713</v>
      </c>
      <c r="L1894" s="6">
        <v>711</v>
      </c>
      <c r="M1894" s="6" t="s">
        <v>1426</v>
      </c>
      <c r="O1894" s="45" t="s">
        <v>1463</v>
      </c>
      <c r="Q1894" s="2">
        <f>7*0.3048</f>
        <v>2.1335999999999999</v>
      </c>
      <c r="R1894" s="7" t="s">
        <v>1465</v>
      </c>
      <c r="X1894" s="5">
        <v>40.833500000000001</v>
      </c>
      <c r="Y1894" s="5">
        <v>-96.708600000000004</v>
      </c>
      <c r="Z1894" s="6">
        <v>350</v>
      </c>
      <c r="AA1894" s="7" t="s">
        <v>1467</v>
      </c>
      <c r="AB1894" s="7" t="s">
        <v>1466</v>
      </c>
    </row>
    <row r="1895" spans="1:28" ht="21.75" customHeight="1" x14ac:dyDescent="0.2">
      <c r="A1895" s="7" t="s">
        <v>1367</v>
      </c>
      <c r="B1895" s="7" t="s">
        <v>1368</v>
      </c>
      <c r="C1895" s="7" t="s">
        <v>1369</v>
      </c>
      <c r="E1895" s="7" t="s">
        <v>398</v>
      </c>
      <c r="F1895" s="7" t="s">
        <v>217</v>
      </c>
      <c r="G1895" s="7" t="s">
        <v>1469</v>
      </c>
      <c r="H1895" s="1" t="s">
        <v>1468</v>
      </c>
      <c r="I1895" s="2">
        <f>6*0.3048</f>
        <v>1.8288000000000002</v>
      </c>
      <c r="J1895" s="2" t="s">
        <v>4367</v>
      </c>
      <c r="K1895" s="2" t="s">
        <v>5713</v>
      </c>
      <c r="L1895" s="6">
        <v>711</v>
      </c>
      <c r="M1895" s="6" t="s">
        <v>1426</v>
      </c>
      <c r="R1895" s="7" t="s">
        <v>1394</v>
      </c>
      <c r="AA1895" s="7" t="s">
        <v>1470</v>
      </c>
    </row>
    <row r="1896" spans="1:28" ht="21.75" customHeight="1" x14ac:dyDescent="0.2">
      <c r="A1896" s="7" t="s">
        <v>1367</v>
      </c>
      <c r="B1896" s="7" t="s">
        <v>1368</v>
      </c>
      <c r="C1896" s="7" t="s">
        <v>1369</v>
      </c>
      <c r="E1896" s="7" t="s">
        <v>398</v>
      </c>
      <c r="F1896" s="7" t="s">
        <v>217</v>
      </c>
      <c r="G1896" s="7" t="s">
        <v>1472</v>
      </c>
      <c r="H1896" s="1" t="s">
        <v>1471</v>
      </c>
      <c r="I1896" s="2">
        <f>6*0.3048</f>
        <v>1.8288000000000002</v>
      </c>
      <c r="J1896" s="2" t="s">
        <v>4367</v>
      </c>
      <c r="K1896" s="2" t="s">
        <v>5713</v>
      </c>
      <c r="L1896" s="6">
        <v>711</v>
      </c>
      <c r="M1896" s="6" t="s">
        <v>1426</v>
      </c>
      <c r="Q1896" s="2">
        <f>6*0.3048</f>
        <v>1.8288000000000002</v>
      </c>
      <c r="R1896" s="7" t="s">
        <v>1394</v>
      </c>
      <c r="AA1896" s="7" t="s">
        <v>1473</v>
      </c>
    </row>
    <row r="1897" spans="1:28" ht="21.75" customHeight="1" x14ac:dyDescent="0.2">
      <c r="A1897" s="7" t="s">
        <v>1367</v>
      </c>
      <c r="B1897" s="7" t="s">
        <v>1368</v>
      </c>
      <c r="C1897" s="7" t="s">
        <v>1369</v>
      </c>
      <c r="E1897" s="7" t="s">
        <v>398</v>
      </c>
      <c r="F1897" s="7" t="s">
        <v>217</v>
      </c>
      <c r="G1897" s="7" t="s">
        <v>1475</v>
      </c>
      <c r="H1897" s="1" t="s">
        <v>1474</v>
      </c>
      <c r="I1897" s="2">
        <f>80*0.0254</f>
        <v>2.032</v>
      </c>
      <c r="J1897" s="2" t="s">
        <v>4367</v>
      </c>
      <c r="K1897" s="2" t="s">
        <v>5713</v>
      </c>
      <c r="L1897" s="6">
        <v>711</v>
      </c>
      <c r="M1897" s="6" t="s">
        <v>1426</v>
      </c>
      <c r="Q1897" s="2">
        <f>80*0.0254</f>
        <v>2.032</v>
      </c>
      <c r="R1897" s="7" t="s">
        <v>1394</v>
      </c>
      <c r="AA1897" s="7" t="s">
        <v>1477</v>
      </c>
      <c r="AB1897" s="7" t="s">
        <v>1476</v>
      </c>
    </row>
    <row r="1898" spans="1:28" ht="21.75" customHeight="1" x14ac:dyDescent="0.2">
      <c r="A1898" s="7" t="s">
        <v>1367</v>
      </c>
      <c r="B1898" s="7" t="s">
        <v>1478</v>
      </c>
      <c r="C1898" s="7" t="s">
        <v>1479</v>
      </c>
      <c r="E1898" s="7" t="s">
        <v>398</v>
      </c>
      <c r="F1898" s="7" t="s">
        <v>884</v>
      </c>
      <c r="G1898" s="7" t="s">
        <v>1374</v>
      </c>
      <c r="H1898" s="1" t="s">
        <v>1373</v>
      </c>
      <c r="I1898" s="2">
        <f>9.25*0.3048</f>
        <v>2.8194000000000004</v>
      </c>
      <c r="J1898" s="2" t="s">
        <v>4367</v>
      </c>
      <c r="K1898" s="2" t="s">
        <v>5713</v>
      </c>
      <c r="L1898" s="6" t="s">
        <v>1482</v>
      </c>
      <c r="M1898" s="6" t="s">
        <v>1595</v>
      </c>
      <c r="O1898" s="45" t="s">
        <v>1480</v>
      </c>
      <c r="R1898" s="7" t="s">
        <v>1494</v>
      </c>
      <c r="X1898" s="5">
        <v>40.462800000000001</v>
      </c>
      <c r="Y1898" s="5">
        <v>-95.750799999999998</v>
      </c>
      <c r="Z1898" s="6">
        <v>341</v>
      </c>
      <c r="AA1898" s="7" t="s">
        <v>1481</v>
      </c>
      <c r="AB1898" s="139" t="s">
        <v>1499</v>
      </c>
    </row>
    <row r="1899" spans="1:28" ht="21.75" customHeight="1" x14ac:dyDescent="0.2">
      <c r="A1899" s="7" t="s">
        <v>1367</v>
      </c>
      <c r="B1899" s="7" t="s">
        <v>1478</v>
      </c>
      <c r="C1899" s="7" t="s">
        <v>1479</v>
      </c>
      <c r="E1899" s="7" t="s">
        <v>398</v>
      </c>
      <c r="F1899" s="7" t="s">
        <v>217</v>
      </c>
      <c r="G1899" s="7" t="s">
        <v>1441</v>
      </c>
      <c r="H1899" s="1" t="s">
        <v>1440</v>
      </c>
      <c r="I1899" s="2">
        <f>8*0.3048</f>
        <v>2.4384000000000001</v>
      </c>
      <c r="J1899" s="2" t="s">
        <v>4367</v>
      </c>
      <c r="K1899" s="2" t="s">
        <v>5713</v>
      </c>
      <c r="L1899" s="6" t="s">
        <v>1482</v>
      </c>
      <c r="M1899" s="6" t="s">
        <v>1595</v>
      </c>
      <c r="O1899" s="45" t="s">
        <v>1483</v>
      </c>
      <c r="R1899" s="7" t="s">
        <v>1494</v>
      </c>
      <c r="X1899" s="5">
        <v>40.463299999999997</v>
      </c>
      <c r="Y1899" s="5">
        <v>-95.751900000000006</v>
      </c>
      <c r="Z1899" s="6">
        <v>339</v>
      </c>
      <c r="AA1899" s="7" t="s">
        <v>1488</v>
      </c>
      <c r="AB1899" s="139"/>
    </row>
    <row r="1900" spans="1:28" ht="21.75" customHeight="1" x14ac:dyDescent="0.2">
      <c r="A1900" s="7" t="s">
        <v>1367</v>
      </c>
      <c r="B1900" s="7" t="s">
        <v>1478</v>
      </c>
      <c r="C1900" s="7" t="s">
        <v>1479</v>
      </c>
      <c r="E1900" s="7" t="s">
        <v>398</v>
      </c>
      <c r="F1900" s="7" t="s">
        <v>217</v>
      </c>
      <c r="G1900" s="7" t="s">
        <v>1489</v>
      </c>
      <c r="H1900" s="1" t="s">
        <v>1484</v>
      </c>
      <c r="I1900" s="2">
        <f>21*0.3048</f>
        <v>6.4008000000000003</v>
      </c>
      <c r="J1900" s="2" t="s">
        <v>4367</v>
      </c>
      <c r="K1900" s="2" t="s">
        <v>5713</v>
      </c>
      <c r="L1900" s="6" t="s">
        <v>1482</v>
      </c>
      <c r="M1900" s="6" t="s">
        <v>1595</v>
      </c>
      <c r="O1900" s="45" t="s">
        <v>1483</v>
      </c>
      <c r="R1900" s="7" t="s">
        <v>1494</v>
      </c>
      <c r="X1900" s="5">
        <v>40.459899999999998</v>
      </c>
      <c r="Y1900" s="5">
        <v>-95.748099999999994</v>
      </c>
      <c r="Z1900" s="6">
        <v>337</v>
      </c>
      <c r="AA1900" s="7" t="s">
        <v>1492</v>
      </c>
      <c r="AB1900" s="139"/>
    </row>
    <row r="1901" spans="1:28" ht="21.75" customHeight="1" x14ac:dyDescent="0.2">
      <c r="A1901" s="7" t="s">
        <v>1367</v>
      </c>
      <c r="B1901" s="7" t="s">
        <v>1478</v>
      </c>
      <c r="C1901" s="7" t="s">
        <v>1479</v>
      </c>
      <c r="E1901" s="7" t="s">
        <v>398</v>
      </c>
      <c r="F1901" s="7" t="s">
        <v>217</v>
      </c>
      <c r="G1901" s="7" t="s">
        <v>1490</v>
      </c>
      <c r="H1901" s="1" t="s">
        <v>1486</v>
      </c>
      <c r="I1901" s="2">
        <f>(7+10/12)*0.3048</f>
        <v>2.3875999999999999</v>
      </c>
      <c r="J1901" s="2" t="s">
        <v>4367</v>
      </c>
      <c r="K1901" s="2" t="s">
        <v>5713</v>
      </c>
      <c r="L1901" s="6" t="s">
        <v>1482</v>
      </c>
      <c r="M1901" s="6" t="s">
        <v>1595</v>
      </c>
      <c r="O1901" s="45" t="s">
        <v>1485</v>
      </c>
      <c r="R1901" s="7" t="s">
        <v>1495</v>
      </c>
      <c r="X1901" s="5">
        <v>40.461799999999997</v>
      </c>
      <c r="Y1901" s="5">
        <v>-95.752899999999997</v>
      </c>
      <c r="Z1901" s="6">
        <v>331</v>
      </c>
      <c r="AA1901" s="7" t="s">
        <v>1493</v>
      </c>
      <c r="AB1901" s="139"/>
    </row>
    <row r="1902" spans="1:28" ht="21.75" customHeight="1" x14ac:dyDescent="0.2">
      <c r="A1902" s="7" t="s">
        <v>1367</v>
      </c>
      <c r="B1902" s="7" t="s">
        <v>1478</v>
      </c>
      <c r="C1902" s="7" t="s">
        <v>1479</v>
      </c>
      <c r="E1902" s="7" t="s">
        <v>398</v>
      </c>
      <c r="F1902" s="7" t="s">
        <v>217</v>
      </c>
      <c r="G1902" s="7" t="s">
        <v>1435</v>
      </c>
      <c r="H1902" s="1" t="s">
        <v>1434</v>
      </c>
      <c r="I1902" s="2">
        <f>(12+10/12)*0.3048</f>
        <v>3.9116000000000004</v>
      </c>
      <c r="J1902" s="2" t="s">
        <v>4367</v>
      </c>
      <c r="K1902" s="2" t="s">
        <v>5713</v>
      </c>
      <c r="L1902" s="6" t="s">
        <v>1482</v>
      </c>
      <c r="M1902" s="6" t="s">
        <v>1595</v>
      </c>
      <c r="O1902" s="45" t="s">
        <v>1485</v>
      </c>
      <c r="R1902" s="7" t="s">
        <v>1495</v>
      </c>
      <c r="X1902" s="5">
        <v>40.460599999999999</v>
      </c>
      <c r="Y1902" s="5">
        <v>-95.751599999999996</v>
      </c>
      <c r="Z1902" s="6">
        <v>331</v>
      </c>
      <c r="AA1902" s="7" t="s">
        <v>1496</v>
      </c>
      <c r="AB1902" s="139"/>
    </row>
    <row r="1903" spans="1:28" ht="21.75" customHeight="1" x14ac:dyDescent="0.2">
      <c r="A1903" s="7" t="s">
        <v>1367</v>
      </c>
      <c r="B1903" s="7" t="s">
        <v>1478</v>
      </c>
      <c r="C1903" s="7" t="s">
        <v>1479</v>
      </c>
      <c r="E1903" s="7" t="s">
        <v>739</v>
      </c>
      <c r="F1903" s="7" t="s">
        <v>214</v>
      </c>
      <c r="G1903" s="7" t="s">
        <v>1491</v>
      </c>
      <c r="H1903" s="1" t="s">
        <v>1487</v>
      </c>
      <c r="I1903" s="2">
        <f>14.5*0.3048</f>
        <v>4.4196</v>
      </c>
      <c r="J1903" s="2" t="s">
        <v>4367</v>
      </c>
      <c r="K1903" s="2" t="s">
        <v>5713</v>
      </c>
      <c r="L1903" s="6" t="s">
        <v>1482</v>
      </c>
      <c r="M1903" s="6" t="s">
        <v>1595</v>
      </c>
      <c r="O1903" s="45" t="s">
        <v>1485</v>
      </c>
      <c r="R1903" s="7" t="s">
        <v>1495</v>
      </c>
      <c r="X1903" s="5">
        <v>40.460500000000003</v>
      </c>
      <c r="Y1903" s="5">
        <v>-95.752099999999999</v>
      </c>
      <c r="Z1903" s="6">
        <v>328</v>
      </c>
      <c r="AA1903" s="7" t="s">
        <v>1497</v>
      </c>
      <c r="AB1903" s="139"/>
    </row>
    <row r="1904" spans="1:28" ht="21.75" customHeight="1" x14ac:dyDescent="0.2">
      <c r="A1904" s="7" t="s">
        <v>1367</v>
      </c>
      <c r="B1904" s="7" t="s">
        <v>1521</v>
      </c>
      <c r="C1904" s="7" t="s">
        <v>1501</v>
      </c>
      <c r="D1904" s="7" t="s">
        <v>1524</v>
      </c>
      <c r="E1904" s="7" t="s">
        <v>739</v>
      </c>
      <c r="F1904" s="7" t="s">
        <v>214</v>
      </c>
      <c r="G1904" s="7" t="s">
        <v>1503</v>
      </c>
      <c r="H1904" s="1" t="s">
        <v>1502</v>
      </c>
      <c r="I1904" s="2">
        <f>65*0.0254</f>
        <v>1.651</v>
      </c>
      <c r="J1904" s="2" t="s">
        <v>4367</v>
      </c>
      <c r="K1904" s="2" t="s">
        <v>5713</v>
      </c>
      <c r="L1904" s="6" t="s">
        <v>1482</v>
      </c>
      <c r="M1904" s="6" t="s">
        <v>1595</v>
      </c>
      <c r="R1904" s="7" t="s">
        <v>1394</v>
      </c>
      <c r="X1904" s="5">
        <v>40.468000000000004</v>
      </c>
      <c r="Y1904" s="5">
        <v>-95.709199999999996</v>
      </c>
      <c r="Z1904" s="6">
        <v>344</v>
      </c>
      <c r="AA1904" s="7" t="s">
        <v>1504</v>
      </c>
      <c r="AB1904" s="139" t="s">
        <v>1523</v>
      </c>
    </row>
    <row r="1905" spans="1:28" ht="21.75" customHeight="1" x14ac:dyDescent="0.2">
      <c r="A1905" s="7" t="s">
        <v>1367</v>
      </c>
      <c r="B1905" s="7" t="s">
        <v>1521</v>
      </c>
      <c r="C1905" s="7" t="s">
        <v>1501</v>
      </c>
      <c r="D1905" s="7" t="s">
        <v>1524</v>
      </c>
      <c r="E1905" s="7" t="s">
        <v>739</v>
      </c>
      <c r="F1905" s="7" t="s">
        <v>1512</v>
      </c>
      <c r="G1905" s="7" t="s">
        <v>1506</v>
      </c>
      <c r="H1905" s="1" t="s">
        <v>1505</v>
      </c>
      <c r="I1905" s="2">
        <f>90*0.0254</f>
        <v>2.286</v>
      </c>
      <c r="J1905" s="2" t="s">
        <v>4367</v>
      </c>
      <c r="K1905" s="2" t="s">
        <v>5713</v>
      </c>
      <c r="L1905" s="6" t="s">
        <v>1482</v>
      </c>
      <c r="M1905" s="6" t="s">
        <v>1595</v>
      </c>
      <c r="R1905" s="7" t="s">
        <v>1394</v>
      </c>
      <c r="X1905" s="5">
        <v>40.467199999999998</v>
      </c>
      <c r="Y1905" s="5">
        <v>-95.708100000000002</v>
      </c>
      <c r="Z1905" s="6">
        <v>347</v>
      </c>
      <c r="AA1905" s="7" t="s">
        <v>1507</v>
      </c>
      <c r="AB1905" s="139"/>
    </row>
    <row r="1906" spans="1:28" ht="21.75" customHeight="1" x14ac:dyDescent="0.2">
      <c r="A1906" s="7" t="s">
        <v>1367</v>
      </c>
      <c r="B1906" s="7" t="s">
        <v>1521</v>
      </c>
      <c r="C1906" s="7" t="s">
        <v>1501</v>
      </c>
      <c r="D1906" s="7" t="s">
        <v>1524</v>
      </c>
      <c r="E1906" s="7" t="s">
        <v>739</v>
      </c>
      <c r="F1906" s="7" t="s">
        <v>1512</v>
      </c>
      <c r="G1906" s="7" t="s">
        <v>1509</v>
      </c>
      <c r="H1906" s="1" t="s">
        <v>1508</v>
      </c>
      <c r="I1906" s="2">
        <f>11.5*0.3048</f>
        <v>3.5052000000000003</v>
      </c>
      <c r="J1906" s="2" t="s">
        <v>4367</v>
      </c>
      <c r="K1906" s="2" t="s">
        <v>5713</v>
      </c>
      <c r="L1906" s="6" t="s">
        <v>1482</v>
      </c>
      <c r="M1906" s="6" t="s">
        <v>1595</v>
      </c>
      <c r="O1906" s="45" t="s">
        <v>1522</v>
      </c>
      <c r="R1906" s="7" t="s">
        <v>1394</v>
      </c>
      <c r="X1906" s="5">
        <v>40.466000000000001</v>
      </c>
      <c r="Y1906" s="5">
        <v>-95.706699999999998</v>
      </c>
      <c r="Z1906" s="6">
        <v>349</v>
      </c>
      <c r="AA1906" s="7" t="s">
        <v>1510</v>
      </c>
      <c r="AB1906" s="139"/>
    </row>
    <row r="1907" spans="1:28" ht="21.75" customHeight="1" x14ac:dyDescent="0.2">
      <c r="A1907" s="7" t="s">
        <v>1367</v>
      </c>
      <c r="B1907" s="7" t="s">
        <v>1521</v>
      </c>
      <c r="C1907" s="7" t="s">
        <v>1501</v>
      </c>
      <c r="D1907" s="7" t="s">
        <v>1524</v>
      </c>
      <c r="E1907" s="7" t="s">
        <v>739</v>
      </c>
      <c r="F1907" s="7" t="s">
        <v>1514</v>
      </c>
      <c r="G1907" s="7" t="s">
        <v>1513</v>
      </c>
      <c r="H1907" s="1" t="s">
        <v>1511</v>
      </c>
      <c r="I1907" s="2">
        <f>13.5*0.3048</f>
        <v>4.1147999999999998</v>
      </c>
      <c r="J1907" s="2" t="s">
        <v>4367</v>
      </c>
      <c r="K1907" s="2" t="s">
        <v>5713</v>
      </c>
      <c r="L1907" s="6" t="s">
        <v>1482</v>
      </c>
      <c r="M1907" s="6" t="s">
        <v>1595</v>
      </c>
      <c r="R1907" s="7" t="s">
        <v>1394</v>
      </c>
      <c r="X1907" s="5">
        <v>40.468000000000004</v>
      </c>
      <c r="Y1907" s="5">
        <v>-95.707899999999995</v>
      </c>
      <c r="Z1907" s="6">
        <v>352</v>
      </c>
      <c r="AA1907" s="7" t="s">
        <v>1515</v>
      </c>
      <c r="AB1907" s="139"/>
    </row>
    <row r="1908" spans="1:28" ht="21.75" customHeight="1" x14ac:dyDescent="0.2">
      <c r="A1908" s="7" t="s">
        <v>1367</v>
      </c>
      <c r="B1908" s="7" t="s">
        <v>1521</v>
      </c>
      <c r="C1908" s="7" t="s">
        <v>1501</v>
      </c>
      <c r="D1908" s="7" t="s">
        <v>1524</v>
      </c>
      <c r="E1908" s="7" t="s">
        <v>739</v>
      </c>
      <c r="F1908" s="7" t="s">
        <v>214</v>
      </c>
      <c r="G1908" s="7" t="s">
        <v>1517</v>
      </c>
      <c r="H1908" s="1" t="s">
        <v>1516</v>
      </c>
      <c r="I1908" s="2">
        <f>(21+2/12)*0.3048</f>
        <v>6.4516000000000009</v>
      </c>
      <c r="J1908" s="2" t="s">
        <v>4367</v>
      </c>
      <c r="K1908" s="2" t="s">
        <v>5713</v>
      </c>
      <c r="L1908" s="6" t="s">
        <v>1482</v>
      </c>
      <c r="M1908" s="6" t="s">
        <v>1595</v>
      </c>
      <c r="O1908" s="45" t="s">
        <v>1519</v>
      </c>
      <c r="R1908" s="7" t="s">
        <v>1520</v>
      </c>
      <c r="X1908" s="5">
        <v>40.486199999999997</v>
      </c>
      <c r="Y1908" s="5">
        <v>-95.737700000000004</v>
      </c>
      <c r="Z1908" s="6">
        <v>316</v>
      </c>
      <c r="AA1908" s="7" t="s">
        <v>1518</v>
      </c>
      <c r="AB1908" s="139"/>
    </row>
    <row r="1909" spans="1:28" ht="21.75" customHeight="1" x14ac:dyDescent="0.2">
      <c r="A1909" s="7" t="s">
        <v>1367</v>
      </c>
      <c r="B1909" s="7" t="s">
        <v>1525</v>
      </c>
      <c r="C1909" s="7" t="s">
        <v>1528</v>
      </c>
      <c r="D1909" s="7" t="s">
        <v>1596</v>
      </c>
      <c r="E1909" s="7" t="s">
        <v>398</v>
      </c>
      <c r="F1909" s="7" t="s">
        <v>1527</v>
      </c>
      <c r="G1909" s="7" t="s">
        <v>1526</v>
      </c>
      <c r="H1909" s="1" t="s">
        <v>1132</v>
      </c>
      <c r="I1909" s="2">
        <f>48*0.0254</f>
        <v>1.2191999999999998</v>
      </c>
      <c r="J1909" s="2" t="s">
        <v>4367</v>
      </c>
      <c r="K1909" s="2" t="s">
        <v>5713</v>
      </c>
      <c r="L1909" s="6">
        <f>15*25.4</f>
        <v>381</v>
      </c>
      <c r="M1909" s="6" t="s">
        <v>1595</v>
      </c>
      <c r="R1909" s="7" t="s">
        <v>1597</v>
      </c>
      <c r="X1909" s="5">
        <v>38.608499999999999</v>
      </c>
      <c r="Y1909" s="5">
        <v>-104.44</v>
      </c>
      <c r="Z1909" s="6">
        <v>1644</v>
      </c>
      <c r="AA1909" s="7" t="s">
        <v>1529</v>
      </c>
    </row>
    <row r="1910" spans="1:28" ht="21.75" customHeight="1" x14ac:dyDescent="0.2">
      <c r="A1910" s="7" t="s">
        <v>1367</v>
      </c>
      <c r="B1910" s="7" t="s">
        <v>1525</v>
      </c>
      <c r="C1910" s="7" t="s">
        <v>1528</v>
      </c>
      <c r="E1910" s="7" t="s">
        <v>398</v>
      </c>
      <c r="F1910" s="7" t="s">
        <v>884</v>
      </c>
      <c r="G1910" s="7" t="s">
        <v>1530</v>
      </c>
      <c r="H1910" s="1" t="s">
        <v>572</v>
      </c>
      <c r="I1910" s="2">
        <f>4.25*0.3048</f>
        <v>1.2954000000000001</v>
      </c>
      <c r="J1910" s="2" t="s">
        <v>4367</v>
      </c>
      <c r="K1910" s="2" t="s">
        <v>5713</v>
      </c>
      <c r="L1910" s="6">
        <v>381</v>
      </c>
      <c r="M1910" s="6" t="s">
        <v>1595</v>
      </c>
      <c r="R1910" s="7" t="s">
        <v>1597</v>
      </c>
      <c r="X1910" s="5">
        <v>38.594700000000003</v>
      </c>
      <c r="Y1910" s="5">
        <v>-104.4395</v>
      </c>
      <c r="Z1910" s="6">
        <v>1630</v>
      </c>
      <c r="AA1910" s="7" t="s">
        <v>1531</v>
      </c>
      <c r="AB1910" s="7" t="s">
        <v>1532</v>
      </c>
    </row>
    <row r="1911" spans="1:28" ht="21.75" customHeight="1" x14ac:dyDescent="0.2">
      <c r="A1911" s="7" t="s">
        <v>1367</v>
      </c>
      <c r="B1911" s="7" t="s">
        <v>1525</v>
      </c>
      <c r="C1911" s="7" t="s">
        <v>1528</v>
      </c>
      <c r="D1911" s="7" t="s">
        <v>1596</v>
      </c>
      <c r="E1911" s="7" t="s">
        <v>398</v>
      </c>
      <c r="F1911" s="7" t="s">
        <v>1534</v>
      </c>
      <c r="H1911" s="1" t="s">
        <v>1533</v>
      </c>
      <c r="I1911" s="2">
        <f>55*0.0254</f>
        <v>1.397</v>
      </c>
      <c r="J1911" s="2" t="s">
        <v>4367</v>
      </c>
      <c r="K1911" s="2" t="s">
        <v>5713</v>
      </c>
      <c r="L1911" s="6">
        <v>381</v>
      </c>
      <c r="M1911" s="6" t="s">
        <v>1595</v>
      </c>
      <c r="R1911" s="7" t="s">
        <v>1597</v>
      </c>
      <c r="X1911" s="5">
        <v>38.594799999999999</v>
      </c>
      <c r="Y1911" s="5">
        <v>-104.42529999999999</v>
      </c>
      <c r="Z1911" s="6">
        <v>1630</v>
      </c>
      <c r="AA1911" s="7" t="s">
        <v>1535</v>
      </c>
    </row>
    <row r="1912" spans="1:28" ht="21.75" customHeight="1" x14ac:dyDescent="0.2">
      <c r="A1912" s="7" t="s">
        <v>1367</v>
      </c>
      <c r="B1912" s="7" t="s">
        <v>1525</v>
      </c>
      <c r="C1912" s="7" t="s">
        <v>1528</v>
      </c>
      <c r="E1912" s="7" t="s">
        <v>398</v>
      </c>
      <c r="F1912" s="7" t="s">
        <v>1536</v>
      </c>
      <c r="G1912" s="7" t="s">
        <v>1136</v>
      </c>
      <c r="H1912" s="1" t="s">
        <v>1133</v>
      </c>
      <c r="I1912" s="2">
        <f>6.5*0.3048</f>
        <v>1.9812000000000001</v>
      </c>
      <c r="J1912" s="2" t="s">
        <v>4367</v>
      </c>
      <c r="K1912" s="2" t="s">
        <v>5713</v>
      </c>
      <c r="L1912" s="6">
        <v>381</v>
      </c>
      <c r="M1912" s="6" t="s">
        <v>1595</v>
      </c>
      <c r="R1912" s="7" t="s">
        <v>1597</v>
      </c>
      <c r="X1912" s="5">
        <v>38.601999999999997</v>
      </c>
      <c r="Y1912" s="5">
        <v>-104.42359999999999</v>
      </c>
      <c r="Z1912" s="6">
        <v>1636</v>
      </c>
      <c r="AA1912" s="7" t="s">
        <v>1537</v>
      </c>
    </row>
    <row r="1913" spans="1:28" ht="21.75" customHeight="1" x14ac:dyDescent="0.2">
      <c r="A1913" s="7" t="s">
        <v>1367</v>
      </c>
      <c r="B1913" s="7" t="s">
        <v>1525</v>
      </c>
      <c r="C1913" s="7" t="s">
        <v>1528</v>
      </c>
      <c r="E1913" s="7" t="s">
        <v>398</v>
      </c>
      <c r="F1913" s="7" t="s">
        <v>217</v>
      </c>
      <c r="G1913" s="7" t="s">
        <v>1469</v>
      </c>
      <c r="H1913" s="1" t="s">
        <v>1468</v>
      </c>
      <c r="I1913" s="2">
        <f>(12+2/12)*0.3048</f>
        <v>3.7084000000000001</v>
      </c>
      <c r="J1913" s="2" t="s">
        <v>4367</v>
      </c>
      <c r="K1913" s="2" t="s">
        <v>5713</v>
      </c>
      <c r="L1913" s="6">
        <v>381</v>
      </c>
      <c r="M1913" s="6" t="s">
        <v>1595</v>
      </c>
      <c r="R1913" s="7" t="s">
        <v>1597</v>
      </c>
      <c r="X1913" s="5">
        <v>38.607900000000001</v>
      </c>
      <c r="Y1913" s="5">
        <v>-104.4439</v>
      </c>
      <c r="Z1913" s="6">
        <v>1636</v>
      </c>
      <c r="AA1913" s="7" t="s">
        <v>1538</v>
      </c>
    </row>
    <row r="1914" spans="1:28" ht="21.75" customHeight="1" x14ac:dyDescent="0.2">
      <c r="A1914" s="7" t="s">
        <v>1367</v>
      </c>
      <c r="B1914" s="7" t="s">
        <v>1525</v>
      </c>
      <c r="C1914" s="7" t="s">
        <v>1528</v>
      </c>
      <c r="E1914" s="7" t="s">
        <v>398</v>
      </c>
      <c r="F1914" s="7" t="s">
        <v>174</v>
      </c>
      <c r="G1914" s="7" t="s">
        <v>1540</v>
      </c>
      <c r="H1914" s="1" t="s">
        <v>1539</v>
      </c>
      <c r="I1914" s="2">
        <f>7.75*0.3048</f>
        <v>2.3622000000000001</v>
      </c>
      <c r="J1914" s="2" t="s">
        <v>4367</v>
      </c>
      <c r="K1914" s="2" t="s">
        <v>5713</v>
      </c>
      <c r="L1914" s="6">
        <v>381</v>
      </c>
      <c r="M1914" s="6" t="s">
        <v>1595</v>
      </c>
      <c r="O1914" s="45" t="s">
        <v>1541</v>
      </c>
      <c r="R1914" s="7" t="s">
        <v>1597</v>
      </c>
      <c r="X1914" s="5">
        <v>38.667299999999997</v>
      </c>
      <c r="Y1914" s="5">
        <v>-104.50360000000001</v>
      </c>
      <c r="Z1914" s="6">
        <v>1710</v>
      </c>
      <c r="AA1914" s="7" t="s">
        <v>1542</v>
      </c>
    </row>
    <row r="1915" spans="1:28" ht="21.75" customHeight="1" x14ac:dyDescent="0.2">
      <c r="A1915" s="7" t="s">
        <v>1367</v>
      </c>
      <c r="B1915" s="7" t="s">
        <v>1525</v>
      </c>
      <c r="C1915" s="7" t="s">
        <v>1528</v>
      </c>
      <c r="E1915" s="7" t="s">
        <v>398</v>
      </c>
      <c r="F1915" s="7" t="s">
        <v>217</v>
      </c>
      <c r="G1915" s="7" t="s">
        <v>1547</v>
      </c>
      <c r="H1915" s="1" t="s">
        <v>1543</v>
      </c>
      <c r="I1915" s="2">
        <f>12*0.3048</f>
        <v>3.6576000000000004</v>
      </c>
      <c r="J1915" s="2" t="s">
        <v>4367</v>
      </c>
      <c r="K1915" s="2" t="s">
        <v>5713</v>
      </c>
      <c r="L1915" s="6">
        <v>381</v>
      </c>
      <c r="M1915" s="6" t="s">
        <v>1595</v>
      </c>
      <c r="R1915" s="7" t="s">
        <v>1597</v>
      </c>
      <c r="X1915" s="5">
        <v>38.653599999999997</v>
      </c>
      <c r="Y1915" s="5">
        <v>-104.41679999999999</v>
      </c>
      <c r="Z1915" s="6">
        <v>1678</v>
      </c>
      <c r="AA1915" s="7" t="s">
        <v>1544</v>
      </c>
      <c r="AB1915" s="7" t="s">
        <v>1545</v>
      </c>
    </row>
    <row r="1916" spans="1:28" ht="21.75" customHeight="1" x14ac:dyDescent="0.2">
      <c r="A1916" s="7" t="s">
        <v>1367</v>
      </c>
      <c r="B1916" s="7" t="s">
        <v>1525</v>
      </c>
      <c r="C1916" s="7" t="s">
        <v>1528</v>
      </c>
      <c r="E1916" s="7" t="s">
        <v>398</v>
      </c>
      <c r="F1916" s="7" t="s">
        <v>1630</v>
      </c>
      <c r="G1916" s="7" t="s">
        <v>1548</v>
      </c>
      <c r="H1916" s="1" t="s">
        <v>1546</v>
      </c>
      <c r="I1916" s="2">
        <f>7*0.3048</f>
        <v>2.1335999999999999</v>
      </c>
      <c r="J1916" s="2" t="s">
        <v>4367</v>
      </c>
      <c r="K1916" s="2" t="s">
        <v>5713</v>
      </c>
      <c r="L1916" s="6">
        <v>381</v>
      </c>
      <c r="M1916" s="6" t="s">
        <v>1595</v>
      </c>
      <c r="O1916" s="45" t="s">
        <v>1550</v>
      </c>
      <c r="R1916" s="7" t="s">
        <v>1597</v>
      </c>
      <c r="X1916" s="5">
        <v>38.677399999999999</v>
      </c>
      <c r="Y1916" s="5">
        <v>-104.5031</v>
      </c>
      <c r="Z1916" s="6">
        <v>1728</v>
      </c>
      <c r="AA1916" s="7" t="s">
        <v>1549</v>
      </c>
      <c r="AB1916" s="139" t="s">
        <v>1598</v>
      </c>
    </row>
    <row r="1917" spans="1:28" ht="21.75" customHeight="1" x14ac:dyDescent="0.2">
      <c r="A1917" s="7" t="s">
        <v>1367</v>
      </c>
      <c r="B1917" s="7" t="s">
        <v>1525</v>
      </c>
      <c r="C1917" s="7" t="s">
        <v>1528</v>
      </c>
      <c r="E1917" s="7" t="s">
        <v>398</v>
      </c>
      <c r="F1917" s="7" t="s">
        <v>62</v>
      </c>
      <c r="G1917" s="7" t="s">
        <v>1552</v>
      </c>
      <c r="H1917" s="1" t="s">
        <v>1551</v>
      </c>
      <c r="I1917" s="2">
        <f>7*0.3048</f>
        <v>2.1335999999999999</v>
      </c>
      <c r="J1917" s="2" t="s">
        <v>4367</v>
      </c>
      <c r="K1917" s="2" t="s">
        <v>5713</v>
      </c>
      <c r="L1917" s="6">
        <v>381</v>
      </c>
      <c r="M1917" s="6" t="s">
        <v>1595</v>
      </c>
      <c r="O1917" s="45" t="s">
        <v>1553</v>
      </c>
      <c r="R1917" s="7" t="s">
        <v>1597</v>
      </c>
      <c r="X1917" s="5">
        <v>38.672899999999998</v>
      </c>
      <c r="Y1917" s="5">
        <v>-104.4924</v>
      </c>
      <c r="Z1917" s="6">
        <v>1710</v>
      </c>
      <c r="AA1917" s="7" t="s">
        <v>1554</v>
      </c>
      <c r="AB1917" s="139"/>
    </row>
    <row r="1918" spans="1:28" ht="21.75" customHeight="1" x14ac:dyDescent="0.2">
      <c r="A1918" s="7" t="s">
        <v>1367</v>
      </c>
      <c r="B1918" s="7" t="s">
        <v>1525</v>
      </c>
      <c r="C1918" s="7" t="s">
        <v>1528</v>
      </c>
      <c r="E1918" s="7" t="s">
        <v>398</v>
      </c>
      <c r="F1918" s="7" t="s">
        <v>1557</v>
      </c>
      <c r="G1918" s="7" t="s">
        <v>1555</v>
      </c>
      <c r="H1918" s="1" t="s">
        <v>1556</v>
      </c>
      <c r="I1918" s="2">
        <f>3*0.3048</f>
        <v>0.9144000000000001</v>
      </c>
      <c r="J1918" s="2" t="s">
        <v>4367</v>
      </c>
      <c r="K1918" s="2" t="s">
        <v>5713</v>
      </c>
      <c r="L1918" s="6">
        <v>381</v>
      </c>
      <c r="M1918" s="6" t="s">
        <v>1595</v>
      </c>
      <c r="R1918" s="7" t="s">
        <v>1597</v>
      </c>
      <c r="X1918" s="5">
        <v>38.554200000000002</v>
      </c>
      <c r="Y1918" s="5">
        <v>-104.629</v>
      </c>
      <c r="Z1918" s="6">
        <v>1597</v>
      </c>
      <c r="AA1918" s="7" t="s">
        <v>1558</v>
      </c>
      <c r="AB1918" s="139"/>
    </row>
    <row r="1919" spans="1:28" ht="21.75" customHeight="1" x14ac:dyDescent="0.2">
      <c r="A1919" s="7" t="s">
        <v>1367</v>
      </c>
      <c r="B1919" s="7" t="s">
        <v>1525</v>
      </c>
      <c r="C1919" s="7" t="s">
        <v>1528</v>
      </c>
      <c r="E1919" s="7" t="s">
        <v>398</v>
      </c>
      <c r="F1919" s="7" t="s">
        <v>884</v>
      </c>
      <c r="G1919" s="7" t="s">
        <v>1560</v>
      </c>
      <c r="H1919" s="1" t="s">
        <v>1559</v>
      </c>
      <c r="I1919" s="2">
        <f>6*0.3028</f>
        <v>1.8168000000000002</v>
      </c>
      <c r="J1919" s="2" t="s">
        <v>4367</v>
      </c>
      <c r="K1919" s="2" t="s">
        <v>5713</v>
      </c>
      <c r="L1919" s="6">
        <v>381</v>
      </c>
      <c r="M1919" s="6" t="s">
        <v>1595</v>
      </c>
      <c r="O1919" s="45" t="s">
        <v>1561</v>
      </c>
      <c r="R1919" s="7" t="s">
        <v>1597</v>
      </c>
      <c r="X1919" s="5">
        <v>38.5319</v>
      </c>
      <c r="Y1919" s="5">
        <v>-104.608</v>
      </c>
      <c r="Z1919" s="6">
        <v>1606</v>
      </c>
      <c r="AA1919" s="7" t="s">
        <v>1562</v>
      </c>
      <c r="AB1919" s="139"/>
    </row>
    <row r="1920" spans="1:28" ht="21.75" customHeight="1" x14ac:dyDescent="0.2">
      <c r="A1920" s="7" t="s">
        <v>1367</v>
      </c>
      <c r="B1920" s="7" t="s">
        <v>1525</v>
      </c>
      <c r="C1920" s="7" t="s">
        <v>1528</v>
      </c>
      <c r="E1920" s="7" t="s">
        <v>398</v>
      </c>
      <c r="F1920" s="7" t="s">
        <v>62</v>
      </c>
      <c r="G1920" s="7" t="s">
        <v>1564</v>
      </c>
      <c r="H1920" s="1" t="s">
        <v>1563</v>
      </c>
      <c r="I1920" s="2">
        <f>5*0.3048</f>
        <v>1.524</v>
      </c>
      <c r="J1920" s="2" t="s">
        <v>4367</v>
      </c>
      <c r="K1920" s="2" t="s">
        <v>5713</v>
      </c>
      <c r="L1920" s="6">
        <v>381</v>
      </c>
      <c r="M1920" s="6" t="s">
        <v>1595</v>
      </c>
      <c r="R1920" s="7" t="s">
        <v>1597</v>
      </c>
      <c r="X1920" s="5">
        <v>38.819699999999997</v>
      </c>
      <c r="Y1920" s="5">
        <v>-104.5594</v>
      </c>
      <c r="Z1920" s="6">
        <v>1957</v>
      </c>
      <c r="AA1920" s="7" t="s">
        <v>1568</v>
      </c>
      <c r="AB1920" s="139"/>
    </row>
    <row r="1921" spans="1:28" ht="21.75" customHeight="1" x14ac:dyDescent="0.2">
      <c r="A1921" s="7" t="s">
        <v>1367</v>
      </c>
      <c r="B1921" s="7" t="s">
        <v>1525</v>
      </c>
      <c r="C1921" s="7" t="s">
        <v>1528</v>
      </c>
      <c r="E1921" s="7" t="s">
        <v>398</v>
      </c>
      <c r="F1921" s="7" t="s">
        <v>217</v>
      </c>
      <c r="G1921" s="7" t="s">
        <v>1566</v>
      </c>
      <c r="H1921" s="1" t="s">
        <v>1565</v>
      </c>
      <c r="I1921" s="7">
        <v>3.03</v>
      </c>
      <c r="J1921" s="2" t="s">
        <v>4367</v>
      </c>
      <c r="K1921" s="2" t="s">
        <v>5713</v>
      </c>
      <c r="L1921" s="6">
        <v>381</v>
      </c>
      <c r="M1921" s="6" t="s">
        <v>1595</v>
      </c>
      <c r="R1921" s="7" t="s">
        <v>1597</v>
      </c>
      <c r="X1921" s="5">
        <v>38.8157</v>
      </c>
      <c r="Y1921" s="5">
        <v>-104.5607</v>
      </c>
      <c r="Z1921" s="6">
        <v>1957</v>
      </c>
      <c r="AA1921" s="7" t="s">
        <v>1567</v>
      </c>
      <c r="AB1921" s="139"/>
    </row>
    <row r="1922" spans="1:28" ht="21.75" customHeight="1" x14ac:dyDescent="0.2">
      <c r="A1922" s="7" t="s">
        <v>1367</v>
      </c>
      <c r="B1922" s="7" t="s">
        <v>1525</v>
      </c>
      <c r="C1922" s="7" t="s">
        <v>1528</v>
      </c>
      <c r="E1922" s="7" t="s">
        <v>398</v>
      </c>
      <c r="F1922" s="7" t="s">
        <v>217</v>
      </c>
      <c r="G1922" s="7" t="s">
        <v>1489</v>
      </c>
      <c r="H1922" s="1" t="s">
        <v>1484</v>
      </c>
      <c r="I1922" s="2">
        <f>(5+8/12)*0.3048</f>
        <v>1.7272000000000001</v>
      </c>
      <c r="J1922" s="2" t="s">
        <v>4367</v>
      </c>
      <c r="K1922" s="2" t="s">
        <v>5713</v>
      </c>
      <c r="L1922" s="6">
        <v>381</v>
      </c>
      <c r="M1922" s="6" t="s">
        <v>1595</v>
      </c>
      <c r="R1922" s="7" t="s">
        <v>1597</v>
      </c>
      <c r="X1922" s="5">
        <v>38.823099999999997</v>
      </c>
      <c r="Y1922" s="5">
        <v>-104.565</v>
      </c>
      <c r="Z1922" s="6">
        <v>1954</v>
      </c>
      <c r="AA1922" s="7" t="s">
        <v>1569</v>
      </c>
      <c r="AB1922" s="139"/>
    </row>
    <row r="1923" spans="1:28" ht="21.75" customHeight="1" x14ac:dyDescent="0.2">
      <c r="A1923" s="7" t="s">
        <v>1367</v>
      </c>
      <c r="B1923" s="7" t="s">
        <v>1525</v>
      </c>
      <c r="C1923" s="7" t="s">
        <v>1528</v>
      </c>
      <c r="E1923" s="7" t="s">
        <v>398</v>
      </c>
      <c r="F1923" s="7" t="s">
        <v>217</v>
      </c>
      <c r="H1923" s="1" t="s">
        <v>1570</v>
      </c>
      <c r="I1923" s="2">
        <f>8*0.3048</f>
        <v>2.4384000000000001</v>
      </c>
      <c r="J1923" s="2" t="s">
        <v>4367</v>
      </c>
      <c r="K1923" s="2" t="s">
        <v>5713</v>
      </c>
      <c r="L1923" s="6">
        <v>381</v>
      </c>
      <c r="M1923" s="6" t="s">
        <v>1595</v>
      </c>
      <c r="R1923" s="7" t="s">
        <v>1597</v>
      </c>
      <c r="X1923" s="5">
        <v>38.818100000000001</v>
      </c>
      <c r="Y1923" s="5">
        <v>-104.56619999999999</v>
      </c>
      <c r="Z1923" s="6">
        <v>1943</v>
      </c>
      <c r="AA1923" s="7" t="s">
        <v>1571</v>
      </c>
      <c r="AB1923" s="139"/>
    </row>
    <row r="1924" spans="1:28" ht="21.75" customHeight="1" x14ac:dyDescent="0.2">
      <c r="A1924" s="7" t="s">
        <v>1367</v>
      </c>
      <c r="B1924" s="7" t="s">
        <v>1525</v>
      </c>
      <c r="C1924" s="7" t="s">
        <v>1528</v>
      </c>
      <c r="E1924" s="7" t="s">
        <v>398</v>
      </c>
      <c r="F1924" s="7" t="s">
        <v>217</v>
      </c>
      <c r="G1924" s="7" t="s">
        <v>1573</v>
      </c>
      <c r="H1924" s="1" t="s">
        <v>1572</v>
      </c>
      <c r="I1924" s="2">
        <f>6.5*0.3048</f>
        <v>1.9812000000000001</v>
      </c>
      <c r="J1924" s="2" t="s">
        <v>4367</v>
      </c>
      <c r="K1924" s="2" t="s">
        <v>5713</v>
      </c>
      <c r="L1924" s="6">
        <v>381</v>
      </c>
      <c r="M1924" s="6" t="s">
        <v>1595</v>
      </c>
      <c r="R1924" s="7" t="s">
        <v>1597</v>
      </c>
      <c r="X1924" s="5">
        <v>38.824800000000003</v>
      </c>
      <c r="Y1924" s="5">
        <v>-104.5655</v>
      </c>
      <c r="Z1924" s="6">
        <v>1961</v>
      </c>
      <c r="AA1924" s="7" t="s">
        <v>1574</v>
      </c>
      <c r="AB1924" s="139"/>
    </row>
    <row r="1925" spans="1:28" ht="21.75" customHeight="1" x14ac:dyDescent="0.2">
      <c r="A1925" s="7" t="s">
        <v>1367</v>
      </c>
      <c r="B1925" s="7" t="s">
        <v>1525</v>
      </c>
      <c r="C1925" s="7" t="s">
        <v>1528</v>
      </c>
      <c r="E1925" s="7" t="s">
        <v>398</v>
      </c>
      <c r="F1925" s="7" t="s">
        <v>217</v>
      </c>
      <c r="G1925" s="7" t="s">
        <v>1444</v>
      </c>
      <c r="H1925" s="1" t="s">
        <v>1443</v>
      </c>
      <c r="I1925" s="2">
        <f>5.5*0.3048</f>
        <v>1.6764000000000001</v>
      </c>
      <c r="J1925" s="2" t="s">
        <v>4367</v>
      </c>
      <c r="K1925" s="2" t="s">
        <v>5713</v>
      </c>
      <c r="L1925" s="6">
        <v>381</v>
      </c>
      <c r="M1925" s="6" t="s">
        <v>1595</v>
      </c>
      <c r="R1925" s="7" t="s">
        <v>1597</v>
      </c>
      <c r="X1925" s="5">
        <v>38.825400000000002</v>
      </c>
      <c r="Y1925" s="5">
        <v>-104.5646</v>
      </c>
      <c r="Z1925" s="6">
        <v>1964</v>
      </c>
      <c r="AA1925" s="7" t="s">
        <v>1575</v>
      </c>
      <c r="AB1925" s="139"/>
    </row>
    <row r="1926" spans="1:28" ht="21.75" customHeight="1" x14ac:dyDescent="0.2">
      <c r="A1926" s="7" t="s">
        <v>1367</v>
      </c>
      <c r="B1926" s="7" t="s">
        <v>1525</v>
      </c>
      <c r="C1926" s="7" t="s">
        <v>1528</v>
      </c>
      <c r="E1926" s="7" t="s">
        <v>398</v>
      </c>
      <c r="F1926" s="7" t="s">
        <v>217</v>
      </c>
      <c r="G1926" s="7" t="s">
        <v>1577</v>
      </c>
      <c r="H1926" s="1" t="s">
        <v>1576</v>
      </c>
      <c r="I1926" s="2">
        <f>12*0.3048</f>
        <v>3.6576000000000004</v>
      </c>
      <c r="J1926" s="2" t="s">
        <v>4367</v>
      </c>
      <c r="K1926" s="2" t="s">
        <v>5713</v>
      </c>
      <c r="L1926" s="6">
        <v>381</v>
      </c>
      <c r="M1926" s="6" t="s">
        <v>1595</v>
      </c>
      <c r="R1926" s="7" t="s">
        <v>1597</v>
      </c>
      <c r="X1926" s="5">
        <v>38.823399999999999</v>
      </c>
      <c r="Y1926" s="5">
        <v>-104.5621</v>
      </c>
      <c r="Z1926" s="6">
        <v>1958</v>
      </c>
      <c r="AA1926" s="7" t="s">
        <v>1578</v>
      </c>
      <c r="AB1926" s="139"/>
    </row>
    <row r="1927" spans="1:28" ht="21.75" customHeight="1" x14ac:dyDescent="0.2">
      <c r="A1927" s="7" t="s">
        <v>1367</v>
      </c>
      <c r="B1927" s="7" t="s">
        <v>1525</v>
      </c>
      <c r="C1927" s="7" t="s">
        <v>1528</v>
      </c>
      <c r="E1927" s="7" t="s">
        <v>398</v>
      </c>
      <c r="F1927" s="7" t="s">
        <v>217</v>
      </c>
      <c r="G1927" s="7" t="s">
        <v>1581</v>
      </c>
      <c r="H1927" s="1" t="s">
        <v>1579</v>
      </c>
      <c r="I1927" s="2">
        <f>2.1*0.3048</f>
        <v>0.64008000000000009</v>
      </c>
      <c r="J1927" s="2" t="s">
        <v>4367</v>
      </c>
      <c r="K1927" s="2" t="s">
        <v>5713</v>
      </c>
      <c r="L1927" s="6">
        <v>381</v>
      </c>
      <c r="M1927" s="6" t="s">
        <v>1595</v>
      </c>
      <c r="R1927" s="7" t="s">
        <v>1597</v>
      </c>
      <c r="X1927" s="5">
        <v>38.826700000000002</v>
      </c>
      <c r="Y1927" s="5">
        <v>-104.568</v>
      </c>
      <c r="Z1927" s="6">
        <v>1957</v>
      </c>
      <c r="AA1927" s="7" t="s">
        <v>1580</v>
      </c>
      <c r="AB1927" s="139"/>
    </row>
    <row r="1928" spans="1:28" ht="21.75" customHeight="1" x14ac:dyDescent="0.2">
      <c r="A1928" s="7" t="s">
        <v>1367</v>
      </c>
      <c r="B1928" s="7" t="s">
        <v>1525</v>
      </c>
      <c r="C1928" s="7" t="s">
        <v>1528</v>
      </c>
      <c r="E1928" s="7" t="s">
        <v>398</v>
      </c>
      <c r="F1928" s="7" t="s">
        <v>217</v>
      </c>
      <c r="G1928" s="7" t="s">
        <v>1583</v>
      </c>
      <c r="H1928" s="1" t="s">
        <v>1582</v>
      </c>
      <c r="I1928" s="2">
        <f>3.1*0.3048</f>
        <v>0.94488000000000005</v>
      </c>
      <c r="J1928" s="2" t="s">
        <v>4367</v>
      </c>
      <c r="K1928" s="2" t="s">
        <v>5713</v>
      </c>
      <c r="L1928" s="6">
        <v>381</v>
      </c>
      <c r="M1928" s="6" t="s">
        <v>1595</v>
      </c>
      <c r="R1928" s="7" t="s">
        <v>1597</v>
      </c>
      <c r="X1928" s="5">
        <v>38.827199999999998</v>
      </c>
      <c r="Y1928" s="5">
        <v>-104.5654</v>
      </c>
      <c r="Z1928" s="6">
        <v>1964</v>
      </c>
      <c r="AA1928" s="7" t="s">
        <v>1584</v>
      </c>
      <c r="AB1928" s="139"/>
    </row>
    <row r="1929" spans="1:28" ht="21.75" customHeight="1" x14ac:dyDescent="0.2">
      <c r="A1929" s="7" t="s">
        <v>1367</v>
      </c>
      <c r="B1929" s="7" t="s">
        <v>1525</v>
      </c>
      <c r="C1929" s="7" t="s">
        <v>1528</v>
      </c>
      <c r="E1929" s="7" t="s">
        <v>398</v>
      </c>
      <c r="F1929" s="7" t="s">
        <v>217</v>
      </c>
      <c r="G1929" s="7" t="s">
        <v>1586</v>
      </c>
      <c r="H1929" s="1" t="s">
        <v>1585</v>
      </c>
      <c r="I1929" s="2">
        <f>4*0.3028</f>
        <v>1.2112000000000001</v>
      </c>
      <c r="J1929" s="2" t="s">
        <v>4367</v>
      </c>
      <c r="K1929" s="2" t="s">
        <v>5713</v>
      </c>
      <c r="L1929" s="6">
        <v>381</v>
      </c>
      <c r="M1929" s="6" t="s">
        <v>1595</v>
      </c>
      <c r="R1929" s="7" t="s">
        <v>1597</v>
      </c>
      <c r="X1929" s="5">
        <v>38.828200000000002</v>
      </c>
      <c r="Y1929" s="5">
        <v>-104.571</v>
      </c>
      <c r="Z1929" s="6">
        <v>1964</v>
      </c>
      <c r="AA1929" s="7" t="s">
        <v>1587</v>
      </c>
      <c r="AB1929" s="139"/>
    </row>
    <row r="1930" spans="1:28" ht="21.75" customHeight="1" x14ac:dyDescent="0.2">
      <c r="A1930" s="7" t="s">
        <v>1367</v>
      </c>
      <c r="B1930" s="7" t="s">
        <v>1525</v>
      </c>
      <c r="C1930" s="7" t="s">
        <v>1528</v>
      </c>
      <c r="E1930" s="7" t="s">
        <v>398</v>
      </c>
      <c r="F1930" s="7" t="s">
        <v>1590</v>
      </c>
      <c r="G1930" s="7" t="s">
        <v>1589</v>
      </c>
      <c r="H1930" s="1" t="s">
        <v>1588</v>
      </c>
      <c r="I1930" s="2">
        <f>35*0.0254</f>
        <v>0.88900000000000001</v>
      </c>
      <c r="J1930" s="2" t="s">
        <v>4367</v>
      </c>
      <c r="K1930" s="2" t="s">
        <v>5713</v>
      </c>
      <c r="L1930" s="6">
        <v>381</v>
      </c>
      <c r="M1930" s="6" t="s">
        <v>1595</v>
      </c>
      <c r="R1930" s="7" t="s">
        <v>1597</v>
      </c>
      <c r="X1930" s="5">
        <v>38.801699999999997</v>
      </c>
      <c r="Y1930" s="5">
        <v>-104.57980000000001</v>
      </c>
      <c r="Z1930" s="6">
        <v>1887</v>
      </c>
      <c r="AA1930" s="7" t="s">
        <v>1591</v>
      </c>
      <c r="AB1930" s="139"/>
    </row>
    <row r="1931" spans="1:28" ht="21.75" customHeight="1" x14ac:dyDescent="0.2">
      <c r="A1931" s="7" t="s">
        <v>1367</v>
      </c>
      <c r="B1931" s="7" t="s">
        <v>1525</v>
      </c>
      <c r="C1931" s="7" t="s">
        <v>1528</v>
      </c>
      <c r="E1931" s="7" t="s">
        <v>398</v>
      </c>
      <c r="F1931" s="7" t="s">
        <v>1590</v>
      </c>
      <c r="G1931" s="7" t="s">
        <v>1593</v>
      </c>
      <c r="H1931" s="1" t="s">
        <v>1592</v>
      </c>
      <c r="I1931" s="2">
        <f>15*0.0254</f>
        <v>0.38100000000000001</v>
      </c>
      <c r="J1931" s="2" t="s">
        <v>4367</v>
      </c>
      <c r="K1931" s="2" t="s">
        <v>5713</v>
      </c>
      <c r="L1931" s="6">
        <v>381</v>
      </c>
      <c r="M1931" s="6" t="s">
        <v>1595</v>
      </c>
      <c r="R1931" s="7" t="s">
        <v>1597</v>
      </c>
      <c r="X1931" s="5">
        <v>38.802100000000003</v>
      </c>
      <c r="Y1931" s="5">
        <v>-104.57859999999999</v>
      </c>
      <c r="Z1931" s="6">
        <v>1898</v>
      </c>
      <c r="AA1931" s="7" t="s">
        <v>1594</v>
      </c>
      <c r="AB1931" s="139"/>
    </row>
    <row r="1932" spans="1:28" ht="21.75" customHeight="1" x14ac:dyDescent="0.2">
      <c r="A1932" s="7" t="s">
        <v>1367</v>
      </c>
      <c r="B1932" s="7" t="s">
        <v>1601</v>
      </c>
      <c r="C1932" s="7" t="s">
        <v>1599</v>
      </c>
      <c r="D1932" s="7" t="s">
        <v>1600</v>
      </c>
      <c r="E1932" s="7" t="s">
        <v>398</v>
      </c>
      <c r="F1932" s="7" t="s">
        <v>62</v>
      </c>
      <c r="G1932" s="7" t="s">
        <v>1603</v>
      </c>
      <c r="H1932" s="1" t="s">
        <v>1602</v>
      </c>
      <c r="I1932" s="2">
        <f>56*0.0254</f>
        <v>1.4223999999999999</v>
      </c>
      <c r="J1932" s="2" t="s">
        <v>4367</v>
      </c>
      <c r="K1932" s="2" t="s">
        <v>5713</v>
      </c>
      <c r="L1932" s="6">
        <v>381</v>
      </c>
      <c r="M1932" s="6" t="s">
        <v>1595</v>
      </c>
      <c r="R1932" s="7" t="s">
        <v>1605</v>
      </c>
      <c r="X1932" s="5">
        <v>38.508499999999998</v>
      </c>
      <c r="Y1932" s="5">
        <v>-104.4174</v>
      </c>
      <c r="Z1932" s="6">
        <v>1560</v>
      </c>
      <c r="AA1932" s="7" t="s">
        <v>1604</v>
      </c>
      <c r="AB1932" s="139" t="s">
        <v>1653</v>
      </c>
    </row>
    <row r="1933" spans="1:28" ht="21.75" customHeight="1" x14ac:dyDescent="0.2">
      <c r="A1933" s="7" t="s">
        <v>1367</v>
      </c>
      <c r="B1933" s="7" t="s">
        <v>1601</v>
      </c>
      <c r="C1933" s="7" t="s">
        <v>1599</v>
      </c>
      <c r="D1933" s="7" t="s">
        <v>1600</v>
      </c>
      <c r="E1933" s="7" t="s">
        <v>398</v>
      </c>
      <c r="F1933" s="7" t="s">
        <v>62</v>
      </c>
      <c r="G1933" s="7" t="s">
        <v>1607</v>
      </c>
      <c r="H1933" s="1" t="s">
        <v>1606</v>
      </c>
      <c r="I1933" s="2">
        <f>60*0.0254</f>
        <v>1.524</v>
      </c>
      <c r="J1933" s="2" t="s">
        <v>4367</v>
      </c>
      <c r="K1933" s="2" t="s">
        <v>5713</v>
      </c>
      <c r="L1933" s="6">
        <v>381</v>
      </c>
      <c r="M1933" s="6" t="s">
        <v>1595</v>
      </c>
      <c r="O1933" s="45" t="s">
        <v>1608</v>
      </c>
      <c r="R1933" s="7" t="s">
        <v>1605</v>
      </c>
      <c r="X1933" s="5">
        <v>38.503700000000002</v>
      </c>
      <c r="Y1933" s="5">
        <v>-104.4101</v>
      </c>
      <c r="Z1933" s="6">
        <v>1556</v>
      </c>
      <c r="AA1933" s="7" t="s">
        <v>1654</v>
      </c>
      <c r="AB1933" s="139"/>
    </row>
    <row r="1934" spans="1:28" ht="21.75" customHeight="1" x14ac:dyDescent="0.2">
      <c r="A1934" s="7" t="s">
        <v>1367</v>
      </c>
      <c r="B1934" s="7" t="s">
        <v>1601</v>
      </c>
      <c r="C1934" s="7" t="s">
        <v>1599</v>
      </c>
      <c r="D1934" s="7" t="s">
        <v>1600</v>
      </c>
      <c r="E1934" s="7" t="s">
        <v>398</v>
      </c>
      <c r="F1934" s="7" t="s">
        <v>884</v>
      </c>
      <c r="G1934" s="7" t="s">
        <v>1610</v>
      </c>
      <c r="H1934" s="1" t="s">
        <v>1609</v>
      </c>
      <c r="I1934" s="2">
        <f>27*0.0254</f>
        <v>0.68579999999999997</v>
      </c>
      <c r="J1934" s="2" t="s">
        <v>4367</v>
      </c>
      <c r="K1934" s="2" t="s">
        <v>5713</v>
      </c>
      <c r="L1934" s="6">
        <v>381</v>
      </c>
      <c r="M1934" s="6" t="s">
        <v>1595</v>
      </c>
      <c r="O1934" s="45" t="s">
        <v>1611</v>
      </c>
      <c r="R1934" s="7" t="s">
        <v>1605</v>
      </c>
      <c r="X1934" s="5">
        <v>38.502499999999998</v>
      </c>
      <c r="Y1934" s="5">
        <v>-104.4106</v>
      </c>
      <c r="Z1934" s="6">
        <v>1555</v>
      </c>
      <c r="AA1934" s="7" t="s">
        <v>1612</v>
      </c>
      <c r="AB1934" s="139"/>
    </row>
    <row r="1935" spans="1:28" ht="21.75" customHeight="1" x14ac:dyDescent="0.2">
      <c r="A1935" s="7" t="s">
        <v>1367</v>
      </c>
      <c r="B1935" s="7" t="s">
        <v>1601</v>
      </c>
      <c r="C1935" s="7" t="s">
        <v>1599</v>
      </c>
      <c r="D1935" s="7" t="s">
        <v>1600</v>
      </c>
      <c r="E1935" s="7" t="s">
        <v>398</v>
      </c>
      <c r="F1935" s="7" t="s">
        <v>884</v>
      </c>
      <c r="G1935" s="7" t="s">
        <v>1614</v>
      </c>
      <c r="H1935" s="1" t="s">
        <v>1613</v>
      </c>
      <c r="I1935" s="2">
        <f>33*0.0254</f>
        <v>0.83819999999999995</v>
      </c>
      <c r="J1935" s="2" t="s">
        <v>4367</v>
      </c>
      <c r="K1935" s="2" t="s">
        <v>5713</v>
      </c>
      <c r="L1935" s="6">
        <v>381</v>
      </c>
      <c r="M1935" s="6" t="s">
        <v>1595</v>
      </c>
      <c r="R1935" s="7" t="s">
        <v>1605</v>
      </c>
      <c r="X1935" s="5">
        <v>38.502899999999997</v>
      </c>
      <c r="Y1935" s="5">
        <v>-104.41119999999999</v>
      </c>
      <c r="Z1935" s="6">
        <v>1556</v>
      </c>
      <c r="AA1935" s="7" t="s">
        <v>1617</v>
      </c>
      <c r="AB1935" s="139"/>
    </row>
    <row r="1936" spans="1:28" ht="21.75" customHeight="1" x14ac:dyDescent="0.2">
      <c r="A1936" s="7" t="s">
        <v>1367</v>
      </c>
      <c r="B1936" s="7" t="s">
        <v>1601</v>
      </c>
      <c r="C1936" s="7" t="s">
        <v>1599</v>
      </c>
      <c r="D1936" s="7" t="s">
        <v>1600</v>
      </c>
      <c r="E1936" s="7" t="s">
        <v>398</v>
      </c>
      <c r="F1936" s="7" t="s">
        <v>884</v>
      </c>
      <c r="G1936" s="7" t="s">
        <v>1616</v>
      </c>
      <c r="H1936" s="1" t="s">
        <v>1615</v>
      </c>
      <c r="I1936" s="2">
        <f>22*0.0254</f>
        <v>0.55879999999999996</v>
      </c>
      <c r="J1936" s="2" t="s">
        <v>4367</v>
      </c>
      <c r="K1936" s="2" t="s">
        <v>5713</v>
      </c>
      <c r="L1936" s="6">
        <v>381</v>
      </c>
      <c r="M1936" s="6" t="s">
        <v>1595</v>
      </c>
      <c r="O1936" s="45" t="s">
        <v>1618</v>
      </c>
      <c r="R1936" s="7" t="s">
        <v>1605</v>
      </c>
      <c r="X1936" s="5">
        <v>38.502499999999998</v>
      </c>
      <c r="Y1936" s="5">
        <v>-104.4093</v>
      </c>
      <c r="Z1936" s="6">
        <v>1555</v>
      </c>
      <c r="AA1936" s="7" t="s">
        <v>1619</v>
      </c>
      <c r="AB1936" s="139" t="s">
        <v>1655</v>
      </c>
    </row>
    <row r="1937" spans="1:29" ht="21.75" customHeight="1" x14ac:dyDescent="0.2">
      <c r="A1937" s="7" t="s">
        <v>1367</v>
      </c>
      <c r="B1937" s="7" t="s">
        <v>1601</v>
      </c>
      <c r="C1937" s="7" t="s">
        <v>1599</v>
      </c>
      <c r="D1937" s="7" t="s">
        <v>1600</v>
      </c>
      <c r="E1937" s="7" t="s">
        <v>398</v>
      </c>
      <c r="F1937" s="7" t="s">
        <v>214</v>
      </c>
      <c r="G1937" s="7" t="s">
        <v>1621</v>
      </c>
      <c r="H1937" s="1" t="s">
        <v>1620</v>
      </c>
      <c r="I1937" s="2">
        <f>12*0.3048</f>
        <v>3.6576000000000004</v>
      </c>
      <c r="J1937" s="2" t="s">
        <v>4367</v>
      </c>
      <c r="K1937" s="2" t="s">
        <v>5713</v>
      </c>
      <c r="L1937" s="6">
        <v>381</v>
      </c>
      <c r="M1937" s="6" t="s">
        <v>1595</v>
      </c>
      <c r="R1937" s="7" t="s">
        <v>1605</v>
      </c>
      <c r="X1937" s="5">
        <v>38.504199999999997</v>
      </c>
      <c r="Y1937" s="5">
        <v>-104.4114</v>
      </c>
      <c r="Z1937" s="6">
        <v>1557</v>
      </c>
      <c r="AA1937" s="7" t="s">
        <v>1622</v>
      </c>
      <c r="AB1937" s="139"/>
    </row>
    <row r="1938" spans="1:29" ht="21.75" customHeight="1" x14ac:dyDescent="0.2">
      <c r="A1938" s="7" t="s">
        <v>1367</v>
      </c>
      <c r="B1938" s="7" t="s">
        <v>1601</v>
      </c>
      <c r="C1938" s="7" t="s">
        <v>1599</v>
      </c>
      <c r="D1938" s="7" t="s">
        <v>1600</v>
      </c>
      <c r="E1938" s="7" t="s">
        <v>398</v>
      </c>
      <c r="F1938" s="7" t="s">
        <v>214</v>
      </c>
      <c r="G1938" s="7" t="s">
        <v>1624</v>
      </c>
      <c r="H1938" s="1" t="s">
        <v>1623</v>
      </c>
      <c r="I1938" s="2">
        <f>11*0.3048</f>
        <v>3.3528000000000002</v>
      </c>
      <c r="J1938" s="2" t="s">
        <v>4367</v>
      </c>
      <c r="K1938" s="2" t="s">
        <v>5713</v>
      </c>
      <c r="L1938" s="6">
        <v>381</v>
      </c>
      <c r="M1938" s="6" t="s">
        <v>1595</v>
      </c>
      <c r="O1938" s="45" t="s">
        <v>1625</v>
      </c>
      <c r="R1938" s="7" t="s">
        <v>1605</v>
      </c>
      <c r="X1938" s="5">
        <v>38.504100000000001</v>
      </c>
      <c r="Y1938" s="5">
        <v>-104.4121</v>
      </c>
      <c r="Z1938" s="6">
        <v>1557</v>
      </c>
      <c r="AA1938" s="7" t="s">
        <v>1626</v>
      </c>
      <c r="AB1938" s="139"/>
    </row>
    <row r="1939" spans="1:29" ht="21.75" customHeight="1" x14ac:dyDescent="0.2">
      <c r="A1939" s="7" t="s">
        <v>1367</v>
      </c>
      <c r="B1939" s="7" t="s">
        <v>1601</v>
      </c>
      <c r="C1939" s="7" t="s">
        <v>1599</v>
      </c>
      <c r="D1939" s="7" t="s">
        <v>1600</v>
      </c>
      <c r="E1939" s="7" t="s">
        <v>398</v>
      </c>
      <c r="F1939" s="7" t="s">
        <v>217</v>
      </c>
      <c r="G1939" s="7" t="s">
        <v>1628</v>
      </c>
      <c r="H1939" s="1" t="s">
        <v>1627</v>
      </c>
      <c r="I1939" s="2">
        <f>19*0.0254</f>
        <v>0.48259999999999997</v>
      </c>
      <c r="J1939" s="2" t="s">
        <v>4367</v>
      </c>
      <c r="K1939" s="2" t="s">
        <v>5713</v>
      </c>
      <c r="L1939" s="6">
        <v>381</v>
      </c>
      <c r="M1939" s="6" t="s">
        <v>1595</v>
      </c>
      <c r="O1939" s="45" t="s">
        <v>1631</v>
      </c>
      <c r="R1939" s="7" t="s">
        <v>1605</v>
      </c>
      <c r="X1939" s="5">
        <v>38.506799999999998</v>
      </c>
      <c r="Y1939" s="5">
        <v>-104.4079</v>
      </c>
      <c r="Z1939" s="6">
        <v>1558</v>
      </c>
      <c r="AA1939" s="7" t="s">
        <v>1632</v>
      </c>
    </row>
    <row r="1940" spans="1:29" ht="21.75" customHeight="1" x14ac:dyDescent="0.2">
      <c r="A1940" s="7" t="s">
        <v>1367</v>
      </c>
      <c r="B1940" s="7" t="s">
        <v>1601</v>
      </c>
      <c r="C1940" s="7" t="s">
        <v>1599</v>
      </c>
      <c r="D1940" s="7" t="s">
        <v>1600</v>
      </c>
      <c r="E1940" s="7" t="s">
        <v>275</v>
      </c>
      <c r="F1940" s="7" t="s">
        <v>217</v>
      </c>
      <c r="G1940" s="7" t="s">
        <v>1634</v>
      </c>
      <c r="H1940" s="1" t="s">
        <v>1633</v>
      </c>
      <c r="I1940" s="2">
        <f>25*0.0254</f>
        <v>0.63500000000000001</v>
      </c>
      <c r="J1940" s="2" t="s">
        <v>4367</v>
      </c>
      <c r="K1940" s="2" t="s">
        <v>5713</v>
      </c>
      <c r="L1940" s="6">
        <v>381</v>
      </c>
      <c r="M1940" s="6" t="s">
        <v>1595</v>
      </c>
      <c r="O1940" s="45" t="s">
        <v>1635</v>
      </c>
      <c r="R1940" s="7" t="s">
        <v>1605</v>
      </c>
      <c r="X1940" s="5">
        <v>38.505200000000002</v>
      </c>
      <c r="Y1940" s="5">
        <v>-104.4059</v>
      </c>
      <c r="Z1940" s="6">
        <v>1556</v>
      </c>
      <c r="AA1940" s="7" t="s">
        <v>1636</v>
      </c>
    </row>
    <row r="1941" spans="1:29" ht="21.75" customHeight="1" x14ac:dyDescent="0.2">
      <c r="A1941" s="7" t="s">
        <v>1367</v>
      </c>
      <c r="B1941" s="7" t="s">
        <v>1601</v>
      </c>
      <c r="C1941" s="7" t="s">
        <v>1599</v>
      </c>
      <c r="D1941" s="7" t="s">
        <v>1600</v>
      </c>
      <c r="E1941" s="7" t="s">
        <v>398</v>
      </c>
      <c r="F1941" s="7" t="s">
        <v>217</v>
      </c>
      <c r="H1941" s="1" t="s">
        <v>1637</v>
      </c>
      <c r="I1941" s="2">
        <f>5*0.3048</f>
        <v>1.524</v>
      </c>
      <c r="J1941" s="2" t="s">
        <v>4367</v>
      </c>
      <c r="K1941" s="2" t="s">
        <v>5713</v>
      </c>
      <c r="L1941" s="6">
        <v>381</v>
      </c>
      <c r="M1941" s="6" t="s">
        <v>1595</v>
      </c>
      <c r="O1941" s="45" t="s">
        <v>1638</v>
      </c>
      <c r="R1941" s="7" t="s">
        <v>1605</v>
      </c>
      <c r="X1941" s="5">
        <v>38.5017</v>
      </c>
      <c r="Y1941" s="5">
        <v>-104.40819999999999</v>
      </c>
      <c r="Z1941" s="6">
        <v>1554</v>
      </c>
      <c r="AA1941" s="7" t="s">
        <v>1639</v>
      </c>
    </row>
    <row r="1942" spans="1:29" ht="21.75" customHeight="1" x14ac:dyDescent="0.2">
      <c r="A1942" s="7" t="s">
        <v>1367</v>
      </c>
      <c r="B1942" s="7" t="s">
        <v>1601</v>
      </c>
      <c r="C1942" s="7" t="s">
        <v>1599</v>
      </c>
      <c r="D1942" s="7" t="s">
        <v>1600</v>
      </c>
      <c r="E1942" s="7" t="s">
        <v>275</v>
      </c>
      <c r="F1942" s="7" t="s">
        <v>217</v>
      </c>
      <c r="G1942" s="7" t="s">
        <v>1641</v>
      </c>
      <c r="H1942" s="1" t="s">
        <v>1640</v>
      </c>
      <c r="I1942" s="7">
        <f>50*0.0254</f>
        <v>1.27</v>
      </c>
      <c r="J1942" s="2" t="s">
        <v>4367</v>
      </c>
      <c r="K1942" s="2" t="s">
        <v>5713</v>
      </c>
      <c r="L1942" s="6">
        <v>381</v>
      </c>
      <c r="M1942" s="6" t="s">
        <v>1595</v>
      </c>
      <c r="O1942" s="45" t="s">
        <v>1642</v>
      </c>
      <c r="R1942" s="7" t="s">
        <v>1605</v>
      </c>
      <c r="X1942" s="5">
        <v>38.503900000000002</v>
      </c>
      <c r="Y1942" s="5">
        <v>-104.4144</v>
      </c>
      <c r="Z1942" s="6">
        <v>1557</v>
      </c>
      <c r="AA1942" s="7" t="s">
        <v>1643</v>
      </c>
    </row>
    <row r="1943" spans="1:29" ht="21.75" customHeight="1" x14ac:dyDescent="0.2">
      <c r="A1943" s="7" t="s">
        <v>1367</v>
      </c>
      <c r="B1943" s="7" t="s">
        <v>1601</v>
      </c>
      <c r="C1943" s="7" t="s">
        <v>1599</v>
      </c>
      <c r="D1943" s="7" t="s">
        <v>1600</v>
      </c>
      <c r="E1943" s="7" t="s">
        <v>275</v>
      </c>
      <c r="F1943" s="7" t="s">
        <v>217</v>
      </c>
      <c r="H1943" s="1" t="s">
        <v>1644</v>
      </c>
      <c r="I1943" s="70">
        <f>27*0.0254</f>
        <v>0.68579999999999997</v>
      </c>
      <c r="J1943" s="2" t="s">
        <v>4367</v>
      </c>
      <c r="K1943" s="2" t="s">
        <v>5713</v>
      </c>
      <c r="L1943" s="6">
        <v>381</v>
      </c>
      <c r="M1943" s="6" t="s">
        <v>1595</v>
      </c>
      <c r="R1943" s="7" t="s">
        <v>1605</v>
      </c>
      <c r="X1943" s="5">
        <v>38.503</v>
      </c>
      <c r="Y1943" s="5">
        <v>-104.4134</v>
      </c>
      <c r="Z1943" s="6">
        <v>1556</v>
      </c>
      <c r="AA1943" s="7" t="s">
        <v>1645</v>
      </c>
    </row>
    <row r="1944" spans="1:29" ht="21.75" customHeight="1" x14ac:dyDescent="0.2">
      <c r="A1944" s="7" t="s">
        <v>1367</v>
      </c>
      <c r="B1944" s="7" t="s">
        <v>1601</v>
      </c>
      <c r="C1944" s="7" t="s">
        <v>1599</v>
      </c>
      <c r="D1944" s="7" t="s">
        <v>1600</v>
      </c>
      <c r="E1944" s="7" t="s">
        <v>398</v>
      </c>
      <c r="F1944" s="7" t="s">
        <v>217</v>
      </c>
      <c r="G1944" s="7" t="s">
        <v>1647</v>
      </c>
      <c r="H1944" s="1" t="s">
        <v>1646</v>
      </c>
      <c r="I1944" s="7">
        <v>3.05</v>
      </c>
      <c r="J1944" s="2" t="s">
        <v>4367</v>
      </c>
      <c r="K1944" s="2" t="s">
        <v>5713</v>
      </c>
      <c r="L1944" s="6">
        <v>381</v>
      </c>
      <c r="M1944" s="6" t="s">
        <v>1595</v>
      </c>
      <c r="R1944" s="7" t="s">
        <v>1605</v>
      </c>
      <c r="X1944" s="5">
        <v>38.503900000000002</v>
      </c>
      <c r="Y1944" s="5">
        <v>-104.41160000000001</v>
      </c>
      <c r="Z1944" s="6">
        <v>1556</v>
      </c>
      <c r="AA1944" s="7" t="s">
        <v>1648</v>
      </c>
    </row>
    <row r="1945" spans="1:29" ht="21.75" customHeight="1" x14ac:dyDescent="0.2">
      <c r="A1945" s="7" t="s">
        <v>1367</v>
      </c>
      <c r="B1945" s="7" t="s">
        <v>1601</v>
      </c>
      <c r="C1945" s="7" t="s">
        <v>1599</v>
      </c>
      <c r="D1945" s="7" t="s">
        <v>1600</v>
      </c>
      <c r="E1945" s="7" t="s">
        <v>275</v>
      </c>
      <c r="F1945" s="7" t="s">
        <v>217</v>
      </c>
      <c r="G1945" s="7" t="s">
        <v>1650</v>
      </c>
      <c r="H1945" s="1" t="s">
        <v>1649</v>
      </c>
      <c r="I1945" s="7">
        <v>3.05</v>
      </c>
      <c r="J1945" s="2" t="s">
        <v>4367</v>
      </c>
      <c r="K1945" s="2" t="s">
        <v>5713</v>
      </c>
      <c r="L1945" s="6">
        <v>381</v>
      </c>
      <c r="M1945" s="6" t="s">
        <v>1595</v>
      </c>
      <c r="R1945" s="7" t="s">
        <v>1605</v>
      </c>
      <c r="X1945" s="5">
        <v>38.503900000000002</v>
      </c>
      <c r="Y1945" s="5">
        <v>-104.4101</v>
      </c>
      <c r="Z1945" s="6">
        <v>1556</v>
      </c>
      <c r="AA1945" s="7" t="s">
        <v>1651</v>
      </c>
      <c r="AB1945" s="7" t="s">
        <v>1652</v>
      </c>
    </row>
    <row r="1946" spans="1:29" ht="21.75" customHeight="1" x14ac:dyDescent="0.2">
      <c r="A1946" s="7" t="s">
        <v>1367</v>
      </c>
      <c r="B1946" s="7" t="s">
        <v>1657</v>
      </c>
      <c r="C1946" s="7" t="s">
        <v>1658</v>
      </c>
      <c r="D1946" s="7" t="s">
        <v>1696</v>
      </c>
      <c r="E1946" s="7" t="s">
        <v>398</v>
      </c>
      <c r="F1946" s="7" t="s">
        <v>217</v>
      </c>
      <c r="G1946" s="7" t="s">
        <v>1659</v>
      </c>
      <c r="H1946" s="1" t="s">
        <v>1656</v>
      </c>
      <c r="I1946" s="2">
        <f>30*0.0254</f>
        <v>0.76200000000000001</v>
      </c>
      <c r="J1946" s="2" t="s">
        <v>4367</v>
      </c>
      <c r="K1946" s="2" t="s">
        <v>5713</v>
      </c>
      <c r="L1946" s="6" t="s">
        <v>1691</v>
      </c>
      <c r="M1946" s="6" t="s">
        <v>1690</v>
      </c>
      <c r="O1946" s="45" t="s">
        <v>1685</v>
      </c>
      <c r="R1946" s="7" t="s">
        <v>1661</v>
      </c>
      <c r="U1946" s="7" t="s">
        <v>1689</v>
      </c>
      <c r="X1946" s="5">
        <v>38.843699999999998</v>
      </c>
      <c r="Y1946" s="5">
        <v>-104.95099999999999</v>
      </c>
      <c r="Z1946" s="6">
        <v>2610.3072000000002</v>
      </c>
      <c r="AA1946" s="7" t="s">
        <v>1662</v>
      </c>
      <c r="AB1946" s="139" t="s">
        <v>1692</v>
      </c>
      <c r="AC1946" s="6"/>
    </row>
    <row r="1947" spans="1:29" ht="21.75" customHeight="1" x14ac:dyDescent="0.2">
      <c r="A1947" s="7" t="s">
        <v>1367</v>
      </c>
      <c r="B1947" s="7" t="s">
        <v>1657</v>
      </c>
      <c r="C1947" s="7" t="s">
        <v>1658</v>
      </c>
      <c r="D1947" s="7" t="s">
        <v>1696</v>
      </c>
      <c r="E1947" s="7" t="s">
        <v>398</v>
      </c>
      <c r="F1947" s="7" t="s">
        <v>217</v>
      </c>
      <c r="G1947" s="7" t="s">
        <v>1664</v>
      </c>
      <c r="H1947" s="1" t="s">
        <v>1663</v>
      </c>
      <c r="I1947" s="2">
        <f>30*0.0254</f>
        <v>0.76200000000000001</v>
      </c>
      <c r="J1947" s="2" t="s">
        <v>4367</v>
      </c>
      <c r="K1947" s="2" t="s">
        <v>5713</v>
      </c>
      <c r="L1947" s="6" t="s">
        <v>1691</v>
      </c>
      <c r="M1947" s="6" t="s">
        <v>1690</v>
      </c>
      <c r="O1947" s="45" t="s">
        <v>1685</v>
      </c>
      <c r="R1947" s="7" t="s">
        <v>1661</v>
      </c>
      <c r="U1947" s="7" t="s">
        <v>1689</v>
      </c>
      <c r="X1947" s="5">
        <v>38.843400000000003</v>
      </c>
      <c r="Y1947" s="5">
        <v>-104.9511</v>
      </c>
      <c r="Z1947" s="6">
        <v>2606.9544000000001</v>
      </c>
      <c r="AA1947" s="7" t="s">
        <v>1665</v>
      </c>
      <c r="AB1947" s="139"/>
      <c r="AC1947" s="6"/>
    </row>
    <row r="1948" spans="1:29" ht="21.75" customHeight="1" x14ac:dyDescent="0.2">
      <c r="A1948" s="7" t="s">
        <v>1367</v>
      </c>
      <c r="B1948" s="7" t="s">
        <v>1657</v>
      </c>
      <c r="C1948" s="7" t="s">
        <v>1658</v>
      </c>
      <c r="D1948" s="7" t="s">
        <v>1696</v>
      </c>
      <c r="E1948" s="7" t="s">
        <v>398</v>
      </c>
      <c r="F1948" s="7" t="s">
        <v>217</v>
      </c>
      <c r="G1948" s="7" t="s">
        <v>1667</v>
      </c>
      <c r="H1948" s="1" t="s">
        <v>1666</v>
      </c>
      <c r="I1948" s="2">
        <f>30*0.0254</f>
        <v>0.76200000000000001</v>
      </c>
      <c r="J1948" s="2" t="s">
        <v>4367</v>
      </c>
      <c r="K1948" s="2" t="s">
        <v>5713</v>
      </c>
      <c r="L1948" s="6" t="s">
        <v>1691</v>
      </c>
      <c r="M1948" s="6" t="s">
        <v>1690</v>
      </c>
      <c r="O1948" s="45" t="s">
        <v>1660</v>
      </c>
      <c r="R1948" s="7" t="s">
        <v>1661</v>
      </c>
      <c r="U1948" s="7" t="s">
        <v>1689</v>
      </c>
      <c r="X1948" s="5">
        <v>38.843899999999998</v>
      </c>
      <c r="Y1948" s="5">
        <v>-104.9511</v>
      </c>
      <c r="Z1948" s="6">
        <v>2599.0296000000003</v>
      </c>
      <c r="AA1948" s="7" t="s">
        <v>1668</v>
      </c>
      <c r="AB1948" s="139"/>
      <c r="AC1948" s="6"/>
    </row>
    <row r="1949" spans="1:29" ht="21.75" customHeight="1" x14ac:dyDescent="0.2">
      <c r="A1949" s="7" t="s">
        <v>1367</v>
      </c>
      <c r="B1949" s="7" t="s">
        <v>1657</v>
      </c>
      <c r="C1949" s="7" t="s">
        <v>1658</v>
      </c>
      <c r="D1949" s="7" t="s">
        <v>1696</v>
      </c>
      <c r="E1949" s="7" t="s">
        <v>398</v>
      </c>
      <c r="F1949" s="7" t="s">
        <v>217</v>
      </c>
      <c r="G1949" s="7" t="s">
        <v>1670</v>
      </c>
      <c r="H1949" s="1" t="s">
        <v>1669</v>
      </c>
      <c r="I1949" s="2">
        <f>4*0.3048</f>
        <v>1.2192000000000001</v>
      </c>
      <c r="J1949" s="2" t="s">
        <v>4367</v>
      </c>
      <c r="K1949" s="2" t="s">
        <v>5713</v>
      </c>
      <c r="L1949" s="6" t="s">
        <v>1691</v>
      </c>
      <c r="M1949" s="6" t="s">
        <v>1690</v>
      </c>
      <c r="O1949" s="45" t="s">
        <v>1684</v>
      </c>
      <c r="P1949" s="7"/>
      <c r="R1949" s="7" t="s">
        <v>1661</v>
      </c>
      <c r="U1949" s="7" t="s">
        <v>1689</v>
      </c>
      <c r="X1949" s="5">
        <v>38.844200000000001</v>
      </c>
      <c r="Y1949" s="5">
        <v>-104.9524</v>
      </c>
      <c r="Z1949" s="6">
        <v>2539.5936000000002</v>
      </c>
      <c r="AA1949" s="7" t="s">
        <v>1671</v>
      </c>
      <c r="AB1949" s="139"/>
      <c r="AC1949" s="6"/>
    </row>
    <row r="1950" spans="1:29" ht="21.75" customHeight="1" x14ac:dyDescent="0.2">
      <c r="A1950" s="7" t="s">
        <v>1367</v>
      </c>
      <c r="B1950" s="7" t="s">
        <v>1657</v>
      </c>
      <c r="C1950" s="7" t="s">
        <v>1658</v>
      </c>
      <c r="D1950" s="7" t="s">
        <v>1696</v>
      </c>
      <c r="E1950" s="7" t="s">
        <v>398</v>
      </c>
      <c r="F1950" s="7" t="s">
        <v>217</v>
      </c>
      <c r="G1950" s="7" t="s">
        <v>1673</v>
      </c>
      <c r="H1950" s="1" t="s">
        <v>1672</v>
      </c>
      <c r="I1950" s="2">
        <f>44*0.0254</f>
        <v>1.1175999999999999</v>
      </c>
      <c r="J1950" s="2" t="s">
        <v>4367</v>
      </c>
      <c r="K1950" s="2" t="s">
        <v>5713</v>
      </c>
      <c r="L1950" s="6" t="s">
        <v>1691</v>
      </c>
      <c r="M1950" s="6" t="s">
        <v>1690</v>
      </c>
      <c r="O1950" s="45" t="s">
        <v>1674</v>
      </c>
      <c r="R1950" s="7" t="s">
        <v>1661</v>
      </c>
      <c r="U1950" s="7" t="s">
        <v>1689</v>
      </c>
      <c r="X1950" s="5">
        <v>38.843699999999998</v>
      </c>
      <c r="Y1950" s="5">
        <v>-104.9525</v>
      </c>
      <c r="Z1950" s="6">
        <v>2542.9464000000003</v>
      </c>
      <c r="AA1950" s="7" t="s">
        <v>1675</v>
      </c>
      <c r="AB1950" s="139"/>
      <c r="AC1950" s="6"/>
    </row>
    <row r="1951" spans="1:29" ht="21.75" customHeight="1" x14ac:dyDescent="0.2">
      <c r="A1951" s="7" t="s">
        <v>1367</v>
      </c>
      <c r="B1951" s="7" t="s">
        <v>1657</v>
      </c>
      <c r="C1951" s="7" t="s">
        <v>1658</v>
      </c>
      <c r="D1951" s="7" t="s">
        <v>1696</v>
      </c>
      <c r="E1951" s="7" t="s">
        <v>398</v>
      </c>
      <c r="F1951" s="7" t="s">
        <v>217</v>
      </c>
      <c r="H1951" s="1" t="s">
        <v>1676</v>
      </c>
      <c r="I1951" s="2">
        <f>45*0.0254</f>
        <v>1.143</v>
      </c>
      <c r="J1951" s="2" t="s">
        <v>4367</v>
      </c>
      <c r="K1951" s="2" t="s">
        <v>5713</v>
      </c>
      <c r="L1951" s="6" t="s">
        <v>1691</v>
      </c>
      <c r="M1951" s="6" t="s">
        <v>1690</v>
      </c>
      <c r="O1951" s="45" t="s">
        <v>1684</v>
      </c>
      <c r="R1951" s="7" t="s">
        <v>1661</v>
      </c>
      <c r="U1951" s="7" t="s">
        <v>1689</v>
      </c>
      <c r="X1951" s="5">
        <v>38.843400000000003</v>
      </c>
      <c r="Y1951" s="5">
        <v>-104.9526</v>
      </c>
      <c r="Z1951" s="6">
        <v>2545.08</v>
      </c>
      <c r="AA1951" s="7" t="s">
        <v>1677</v>
      </c>
      <c r="AB1951" s="139"/>
      <c r="AC1951" s="6"/>
    </row>
    <row r="1952" spans="1:29" ht="21.75" customHeight="1" x14ac:dyDescent="0.2">
      <c r="A1952" s="7" t="s">
        <v>1367</v>
      </c>
      <c r="B1952" s="7" t="s">
        <v>1657</v>
      </c>
      <c r="C1952" s="7" t="s">
        <v>1658</v>
      </c>
      <c r="D1952" s="7" t="s">
        <v>1696</v>
      </c>
      <c r="E1952" s="7" t="s">
        <v>398</v>
      </c>
      <c r="F1952" s="7" t="s">
        <v>217</v>
      </c>
      <c r="G1952" s="7" t="s">
        <v>1679</v>
      </c>
      <c r="H1952" s="1" t="s">
        <v>1678</v>
      </c>
      <c r="I1952" s="2">
        <f>15*0.0254</f>
        <v>0.38100000000000001</v>
      </c>
      <c r="J1952" s="2" t="s">
        <v>4367</v>
      </c>
      <c r="K1952" s="2" t="s">
        <v>5713</v>
      </c>
      <c r="L1952" s="6" t="s">
        <v>1691</v>
      </c>
      <c r="M1952" s="6" t="s">
        <v>1690</v>
      </c>
      <c r="O1952" s="45" t="s">
        <v>1684</v>
      </c>
      <c r="R1952" s="7" t="s">
        <v>1661</v>
      </c>
      <c r="U1952" s="7" t="s">
        <v>1689</v>
      </c>
      <c r="X1952" s="5">
        <v>38.843299999999999</v>
      </c>
      <c r="Y1952" s="5">
        <v>-104.95099999999999</v>
      </c>
      <c r="Z1952" s="6">
        <v>2618.232</v>
      </c>
      <c r="AA1952" s="7" t="s">
        <v>1680</v>
      </c>
      <c r="AB1952" s="139"/>
      <c r="AC1952" s="6"/>
    </row>
    <row r="1953" spans="1:29" ht="21.75" customHeight="1" x14ac:dyDescent="0.2">
      <c r="A1953" s="7" t="s">
        <v>1367</v>
      </c>
      <c r="B1953" s="7" t="s">
        <v>1657</v>
      </c>
      <c r="C1953" s="7" t="s">
        <v>1658</v>
      </c>
      <c r="D1953" s="7" t="s">
        <v>1696</v>
      </c>
      <c r="E1953" s="7" t="s">
        <v>398</v>
      </c>
      <c r="F1953" s="7" t="s">
        <v>217</v>
      </c>
      <c r="G1953" s="7" t="s">
        <v>1682</v>
      </c>
      <c r="H1953" s="1" t="s">
        <v>1681</v>
      </c>
      <c r="I1953" s="2">
        <f>22*0.0254</f>
        <v>0.55879999999999996</v>
      </c>
      <c r="J1953" s="2" t="s">
        <v>4367</v>
      </c>
      <c r="K1953" s="2" t="s">
        <v>5713</v>
      </c>
      <c r="L1953" s="6" t="s">
        <v>1691</v>
      </c>
      <c r="M1953" s="6" t="s">
        <v>1690</v>
      </c>
      <c r="O1953" s="45" t="s">
        <v>1660</v>
      </c>
      <c r="R1953" s="7" t="s">
        <v>1661</v>
      </c>
      <c r="U1953" s="7" t="s">
        <v>1689</v>
      </c>
      <c r="X1953" s="5">
        <v>38.843800000000002</v>
      </c>
      <c r="Y1953" s="5">
        <v>-104.9515</v>
      </c>
      <c r="Z1953" s="6">
        <v>2583.7896000000001</v>
      </c>
      <c r="AA1953" s="7" t="s">
        <v>1683</v>
      </c>
      <c r="AB1953" s="139"/>
      <c r="AC1953" s="6"/>
    </row>
    <row r="1954" spans="1:29" ht="21.75" customHeight="1" x14ac:dyDescent="0.2">
      <c r="A1954" s="7" t="s">
        <v>1367</v>
      </c>
      <c r="B1954" s="7" t="s">
        <v>1657</v>
      </c>
      <c r="C1954" s="7" t="s">
        <v>1658</v>
      </c>
      <c r="D1954" s="7" t="s">
        <v>1696</v>
      </c>
      <c r="E1954" s="7" t="s">
        <v>398</v>
      </c>
      <c r="F1954" s="7" t="s">
        <v>217</v>
      </c>
      <c r="G1954" s="7" t="s">
        <v>1687</v>
      </c>
      <c r="H1954" s="1" t="s">
        <v>1686</v>
      </c>
      <c r="I1954" s="2">
        <f>39*0.0254</f>
        <v>0.99059999999999993</v>
      </c>
      <c r="J1954" s="2" t="s">
        <v>4367</v>
      </c>
      <c r="K1954" s="2" t="s">
        <v>5713</v>
      </c>
      <c r="L1954" s="6" t="s">
        <v>1691</v>
      </c>
      <c r="M1954" s="6" t="s">
        <v>1690</v>
      </c>
      <c r="O1954" s="45" t="s">
        <v>1685</v>
      </c>
      <c r="R1954" s="7" t="s">
        <v>1661</v>
      </c>
      <c r="U1954" s="7" t="s">
        <v>1689</v>
      </c>
      <c r="X1954" s="5">
        <v>38.843600000000002</v>
      </c>
      <c r="Y1954" s="5">
        <v>-104.9522</v>
      </c>
      <c r="Z1954" s="6">
        <v>2556.0527999999999</v>
      </c>
      <c r="AA1954" s="7" t="s">
        <v>1688</v>
      </c>
      <c r="AB1954" s="139"/>
      <c r="AC1954" s="6"/>
    </row>
    <row r="1955" spans="1:29" ht="21.75" customHeight="1" x14ac:dyDescent="0.2">
      <c r="A1955" s="7" t="s">
        <v>1367</v>
      </c>
      <c r="B1955" s="7" t="s">
        <v>1657</v>
      </c>
      <c r="C1955" s="7" t="s">
        <v>1693</v>
      </c>
      <c r="D1955" s="7" t="s">
        <v>1697</v>
      </c>
      <c r="E1955" s="7" t="s">
        <v>398</v>
      </c>
      <c r="F1955" s="7" t="s">
        <v>62</v>
      </c>
      <c r="G1955" s="7" t="s">
        <v>1695</v>
      </c>
      <c r="H1955" s="1" t="s">
        <v>1694</v>
      </c>
      <c r="I1955" s="2">
        <f>46*0.0254</f>
        <v>1.1683999999999999</v>
      </c>
      <c r="J1955" s="2" t="s">
        <v>4367</v>
      </c>
      <c r="K1955" s="2" t="s">
        <v>5713</v>
      </c>
      <c r="L1955" s="6" t="s">
        <v>1691</v>
      </c>
      <c r="M1955" s="6" t="s">
        <v>1690</v>
      </c>
      <c r="R1955" s="7" t="s">
        <v>2503</v>
      </c>
      <c r="U1955" s="7" t="s">
        <v>1689</v>
      </c>
      <c r="X1955" s="5">
        <v>38.853700000000003</v>
      </c>
      <c r="Y1955" s="5">
        <v>-104.9363</v>
      </c>
      <c r="Z1955" s="6">
        <v>2100.3768</v>
      </c>
      <c r="AA1955" s="7" t="s">
        <v>1698</v>
      </c>
      <c r="AB1955" s="139" t="s">
        <v>2505</v>
      </c>
      <c r="AC1955" s="6"/>
    </row>
    <row r="1956" spans="1:29" ht="21.75" customHeight="1" x14ac:dyDescent="0.2">
      <c r="A1956" s="7" t="s">
        <v>1367</v>
      </c>
      <c r="B1956" s="7" t="s">
        <v>1657</v>
      </c>
      <c r="C1956" s="7" t="s">
        <v>1693</v>
      </c>
      <c r="D1956" s="7" t="s">
        <v>1697</v>
      </c>
      <c r="E1956" s="7" t="s">
        <v>398</v>
      </c>
      <c r="F1956" s="7" t="s">
        <v>217</v>
      </c>
      <c r="G1956" s="7" t="s">
        <v>1700</v>
      </c>
      <c r="H1956" s="1" t="s">
        <v>1699</v>
      </c>
      <c r="I1956" s="2">
        <f>38*0.0254</f>
        <v>0.96519999999999995</v>
      </c>
      <c r="J1956" s="2" t="s">
        <v>4367</v>
      </c>
      <c r="K1956" s="2" t="s">
        <v>5713</v>
      </c>
      <c r="L1956" s="6" t="s">
        <v>1691</v>
      </c>
      <c r="M1956" s="6" t="s">
        <v>1690</v>
      </c>
      <c r="R1956" s="7" t="s">
        <v>2504</v>
      </c>
      <c r="U1956" s="7" t="s">
        <v>1689</v>
      </c>
      <c r="X1956" s="5">
        <v>38.853299999999997</v>
      </c>
      <c r="Y1956" s="5">
        <v>-104.93689999999999</v>
      </c>
      <c r="Z1956" s="6">
        <v>2101.596</v>
      </c>
      <c r="AA1956" s="7" t="s">
        <v>1701</v>
      </c>
      <c r="AB1956" s="139"/>
      <c r="AC1956" s="6"/>
    </row>
    <row r="1957" spans="1:29" ht="21.75" customHeight="1" x14ac:dyDescent="0.2">
      <c r="A1957" s="7" t="s">
        <v>1367</v>
      </c>
      <c r="B1957" s="7" t="s">
        <v>1657</v>
      </c>
      <c r="C1957" s="7" t="s">
        <v>1693</v>
      </c>
      <c r="D1957" s="7" t="s">
        <v>1697</v>
      </c>
      <c r="E1957" s="7" t="s">
        <v>739</v>
      </c>
      <c r="F1957" s="7" t="s">
        <v>214</v>
      </c>
      <c r="G1957" s="7" t="s">
        <v>1703</v>
      </c>
      <c r="H1957" s="1" t="s">
        <v>1702</v>
      </c>
      <c r="I1957" s="2">
        <f>36*0.0254</f>
        <v>0.91439999999999999</v>
      </c>
      <c r="J1957" s="2" t="s">
        <v>4367</v>
      </c>
      <c r="K1957" s="2" t="s">
        <v>5713</v>
      </c>
      <c r="L1957" s="6" t="s">
        <v>1691</v>
      </c>
      <c r="M1957" s="6" t="s">
        <v>1690</v>
      </c>
      <c r="R1957" s="7" t="s">
        <v>2504</v>
      </c>
      <c r="U1957" s="7" t="s">
        <v>1689</v>
      </c>
      <c r="X1957" s="5">
        <v>38.853999999999999</v>
      </c>
      <c r="Y1957" s="5">
        <v>-104.93819999999999</v>
      </c>
      <c r="Z1957" s="6">
        <v>2168.3472000000002</v>
      </c>
      <c r="AA1957" s="7" t="s">
        <v>1704</v>
      </c>
      <c r="AB1957" s="139"/>
      <c r="AC1957" s="6"/>
    </row>
    <row r="1958" spans="1:29" ht="21.75" customHeight="1" x14ac:dyDescent="0.2">
      <c r="A1958" s="7" t="s">
        <v>1367</v>
      </c>
      <c r="B1958" s="7" t="s">
        <v>1657</v>
      </c>
      <c r="C1958" s="7" t="s">
        <v>1693</v>
      </c>
      <c r="D1958" s="7" t="s">
        <v>1697</v>
      </c>
      <c r="E1958" s="7" t="s">
        <v>398</v>
      </c>
      <c r="F1958" s="7" t="s">
        <v>217</v>
      </c>
      <c r="G1958" s="7" t="s">
        <v>1706</v>
      </c>
      <c r="H1958" s="1" t="s">
        <v>1705</v>
      </c>
      <c r="I1958" s="2">
        <f>30*0.0254</f>
        <v>0.76200000000000001</v>
      </c>
      <c r="J1958" s="2" t="s">
        <v>4367</v>
      </c>
      <c r="K1958" s="2" t="s">
        <v>5713</v>
      </c>
      <c r="L1958" s="6" t="s">
        <v>1691</v>
      </c>
      <c r="M1958" s="6" t="s">
        <v>1690</v>
      </c>
      <c r="R1958" s="7" t="s">
        <v>2504</v>
      </c>
      <c r="U1958" s="7" t="s">
        <v>1689</v>
      </c>
      <c r="X1958" s="5">
        <v>38.853999999999999</v>
      </c>
      <c r="Y1958" s="5">
        <v>-104.93680000000001</v>
      </c>
      <c r="Z1958" s="6">
        <v>2134.2096000000001</v>
      </c>
      <c r="AA1958" s="7" t="s">
        <v>1707</v>
      </c>
      <c r="AB1958" s="139"/>
      <c r="AC1958" s="6"/>
    </row>
    <row r="1959" spans="1:29" ht="21.75" customHeight="1" x14ac:dyDescent="0.2">
      <c r="A1959" s="7" t="s">
        <v>1367</v>
      </c>
      <c r="B1959" s="7" t="s">
        <v>1657</v>
      </c>
      <c r="C1959" s="7" t="s">
        <v>1693</v>
      </c>
      <c r="D1959" s="7" t="s">
        <v>1697</v>
      </c>
      <c r="E1959" s="7" t="s">
        <v>398</v>
      </c>
      <c r="F1959" s="7" t="s">
        <v>217</v>
      </c>
      <c r="G1959" s="7" t="s">
        <v>1709</v>
      </c>
      <c r="H1959" s="1" t="s">
        <v>1708</v>
      </c>
      <c r="I1959" s="2">
        <f>37*0.0254</f>
        <v>0.93979999999999997</v>
      </c>
      <c r="J1959" s="2" t="s">
        <v>4367</v>
      </c>
      <c r="K1959" s="2" t="s">
        <v>5713</v>
      </c>
      <c r="L1959" s="6" t="s">
        <v>1691</v>
      </c>
      <c r="M1959" s="6" t="s">
        <v>1690</v>
      </c>
      <c r="R1959" s="7" t="s">
        <v>2504</v>
      </c>
      <c r="U1959" s="7" t="s">
        <v>1689</v>
      </c>
      <c r="X1959" s="5">
        <v>38.8553</v>
      </c>
      <c r="Y1959" s="5">
        <v>-104.9366</v>
      </c>
      <c r="Z1959" s="6">
        <v>2168.9567999999999</v>
      </c>
      <c r="AA1959" s="7" t="s">
        <v>1710</v>
      </c>
      <c r="AB1959" s="139"/>
      <c r="AC1959" s="6"/>
    </row>
    <row r="1960" spans="1:29" ht="21.75" customHeight="1" x14ac:dyDescent="0.2">
      <c r="A1960" s="7" t="s">
        <v>1367</v>
      </c>
      <c r="B1960" s="7" t="s">
        <v>1657</v>
      </c>
      <c r="C1960" s="7" t="s">
        <v>1693</v>
      </c>
      <c r="D1960" s="7" t="s">
        <v>1697</v>
      </c>
      <c r="E1960" s="7" t="s">
        <v>398</v>
      </c>
      <c r="F1960" s="7" t="s">
        <v>62</v>
      </c>
      <c r="G1960" s="7" t="s">
        <v>1712</v>
      </c>
      <c r="H1960" s="1" t="s">
        <v>1711</v>
      </c>
      <c r="I1960" s="2">
        <f>32*0.0254</f>
        <v>0.81279999999999997</v>
      </c>
      <c r="J1960" s="2" t="s">
        <v>4367</v>
      </c>
      <c r="K1960" s="2" t="s">
        <v>5713</v>
      </c>
      <c r="L1960" s="6" t="s">
        <v>1691</v>
      </c>
      <c r="M1960" s="6" t="s">
        <v>1690</v>
      </c>
      <c r="R1960" s="7" t="s">
        <v>2504</v>
      </c>
      <c r="U1960" s="7" t="s">
        <v>1689</v>
      </c>
      <c r="X1960" s="5">
        <v>38.8538</v>
      </c>
      <c r="Y1960" s="5">
        <v>-104.93770000000001</v>
      </c>
      <c r="Z1960" s="6">
        <v>2145.1824000000001</v>
      </c>
      <c r="AA1960" s="7" t="s">
        <v>1713</v>
      </c>
      <c r="AB1960" s="139"/>
      <c r="AC1960" s="6"/>
    </row>
    <row r="1961" spans="1:29" ht="21.75" customHeight="1" x14ac:dyDescent="0.2">
      <c r="A1961" s="7" t="s">
        <v>1367</v>
      </c>
      <c r="B1961" s="7" t="s">
        <v>1657</v>
      </c>
      <c r="C1961" s="7" t="s">
        <v>1693</v>
      </c>
      <c r="D1961" s="7" t="s">
        <v>1697</v>
      </c>
      <c r="E1961" s="7" t="s">
        <v>398</v>
      </c>
      <c r="F1961" s="7" t="s">
        <v>62</v>
      </c>
      <c r="G1961" s="7" t="s">
        <v>1715</v>
      </c>
      <c r="H1961" s="1" t="s">
        <v>1714</v>
      </c>
      <c r="I1961" s="2">
        <f>16*0.0254</f>
        <v>0.40639999999999998</v>
      </c>
      <c r="J1961" s="2" t="s">
        <v>4367</v>
      </c>
      <c r="K1961" s="2" t="s">
        <v>5713</v>
      </c>
      <c r="L1961" s="6" t="s">
        <v>1691</v>
      </c>
      <c r="M1961" s="6" t="s">
        <v>1690</v>
      </c>
      <c r="R1961" s="7" t="s">
        <v>2504</v>
      </c>
      <c r="U1961" s="7" t="s">
        <v>1689</v>
      </c>
      <c r="X1961" s="5">
        <v>38.8553</v>
      </c>
      <c r="Y1961" s="5">
        <v>-104.9374</v>
      </c>
      <c r="Z1961" s="6">
        <v>2174.4432000000002</v>
      </c>
      <c r="AA1961" s="7" t="s">
        <v>1716</v>
      </c>
      <c r="AB1961" s="139"/>
      <c r="AC1961" s="6"/>
    </row>
    <row r="1962" spans="1:29" ht="21.75" customHeight="1" x14ac:dyDescent="0.2">
      <c r="A1962" s="7" t="s">
        <v>1367</v>
      </c>
      <c r="B1962" s="7" t="s">
        <v>1657</v>
      </c>
      <c r="C1962" s="7" t="s">
        <v>1693</v>
      </c>
      <c r="D1962" s="7" t="s">
        <v>1697</v>
      </c>
      <c r="E1962" s="7" t="s">
        <v>398</v>
      </c>
      <c r="F1962" s="7" t="s">
        <v>217</v>
      </c>
      <c r="G1962" s="7" t="s">
        <v>1718</v>
      </c>
      <c r="H1962" s="1" t="s">
        <v>1717</v>
      </c>
      <c r="I1962" s="2">
        <f>28*0.0254</f>
        <v>0.71119999999999994</v>
      </c>
      <c r="J1962" s="2" t="s">
        <v>4367</v>
      </c>
      <c r="K1962" s="2" t="s">
        <v>5713</v>
      </c>
      <c r="L1962" s="6" t="s">
        <v>1691</v>
      </c>
      <c r="M1962" s="6" t="s">
        <v>1690</v>
      </c>
      <c r="R1962" s="7" t="s">
        <v>2504</v>
      </c>
      <c r="U1962" s="7" t="s">
        <v>1689</v>
      </c>
      <c r="X1962" s="5">
        <v>38.856900000000003</v>
      </c>
      <c r="Y1962" s="5">
        <v>-104.9366</v>
      </c>
      <c r="Z1962" s="6">
        <v>2138.7816000000003</v>
      </c>
      <c r="AA1962" s="7" t="s">
        <v>1719</v>
      </c>
      <c r="AB1962" s="7" t="s">
        <v>2507</v>
      </c>
      <c r="AC1962" s="6"/>
    </row>
    <row r="1963" spans="1:29" ht="21.75" customHeight="1" x14ac:dyDescent="0.2">
      <c r="A1963" s="7" t="s">
        <v>1367</v>
      </c>
      <c r="B1963" s="7" t="s">
        <v>1657</v>
      </c>
      <c r="C1963" s="7" t="s">
        <v>1693</v>
      </c>
      <c r="D1963" s="7" t="s">
        <v>1697</v>
      </c>
      <c r="E1963" s="7" t="s">
        <v>398</v>
      </c>
      <c r="F1963" s="7" t="s">
        <v>217</v>
      </c>
      <c r="H1963" s="1" t="s">
        <v>2495</v>
      </c>
      <c r="I1963" s="2">
        <f>4.5*0.3048</f>
        <v>1.3716000000000002</v>
      </c>
      <c r="J1963" s="2" t="s">
        <v>4367</v>
      </c>
      <c r="K1963" s="2" t="s">
        <v>5713</v>
      </c>
      <c r="L1963" s="6" t="s">
        <v>1691</v>
      </c>
      <c r="M1963" s="6" t="s">
        <v>1690</v>
      </c>
      <c r="R1963" s="7" t="s">
        <v>2504</v>
      </c>
      <c r="U1963" s="7" t="s">
        <v>1689</v>
      </c>
      <c r="X1963" s="5">
        <v>38.856999999999999</v>
      </c>
      <c r="Y1963" s="5">
        <v>-104.9378</v>
      </c>
      <c r="Z1963" s="6">
        <v>2175.0527999999999</v>
      </c>
      <c r="AA1963" s="7" t="s">
        <v>2496</v>
      </c>
      <c r="AB1963" s="139" t="s">
        <v>2506</v>
      </c>
      <c r="AC1963" s="6"/>
    </row>
    <row r="1964" spans="1:29" ht="21.75" customHeight="1" x14ac:dyDescent="0.2">
      <c r="A1964" s="7" t="s">
        <v>1367</v>
      </c>
      <c r="B1964" s="7" t="s">
        <v>1657</v>
      </c>
      <c r="C1964" s="7" t="s">
        <v>1693</v>
      </c>
      <c r="D1964" s="7" t="s">
        <v>1697</v>
      </c>
      <c r="E1964" s="7" t="s">
        <v>398</v>
      </c>
      <c r="F1964" s="7" t="s">
        <v>217</v>
      </c>
      <c r="G1964" s="7" t="s">
        <v>2498</v>
      </c>
      <c r="H1964" s="1" t="s">
        <v>2497</v>
      </c>
      <c r="I1964" s="2">
        <f>30*0.0254</f>
        <v>0.76200000000000001</v>
      </c>
      <c r="J1964" s="2" t="s">
        <v>4367</v>
      </c>
      <c r="K1964" s="2" t="s">
        <v>5713</v>
      </c>
      <c r="L1964" s="6" t="s">
        <v>1691</v>
      </c>
      <c r="M1964" s="6" t="s">
        <v>1690</v>
      </c>
      <c r="R1964" s="7" t="s">
        <v>2504</v>
      </c>
      <c r="U1964" s="7" t="s">
        <v>1689</v>
      </c>
      <c r="X1964" s="5">
        <v>38.852699999999999</v>
      </c>
      <c r="Y1964" s="5">
        <v>-104.93819999999999</v>
      </c>
      <c r="Z1964" s="6">
        <v>2115.0072</v>
      </c>
      <c r="AA1964" s="7" t="s">
        <v>2499</v>
      </c>
      <c r="AB1964" s="139"/>
      <c r="AC1964" s="6"/>
    </row>
    <row r="1965" spans="1:29" ht="21.75" customHeight="1" x14ac:dyDescent="0.2">
      <c r="A1965" s="7" t="s">
        <v>1367</v>
      </c>
      <c r="B1965" s="7" t="s">
        <v>1657</v>
      </c>
      <c r="C1965" s="7" t="s">
        <v>1693</v>
      </c>
      <c r="D1965" s="7" t="s">
        <v>1697</v>
      </c>
      <c r="E1965" s="7" t="s">
        <v>398</v>
      </c>
      <c r="F1965" s="7" t="s">
        <v>217</v>
      </c>
      <c r="G1965" s="7" t="s">
        <v>2501</v>
      </c>
      <c r="H1965" s="1" t="s">
        <v>2500</v>
      </c>
      <c r="I1965" s="2">
        <f>30*0.0254</f>
        <v>0.76200000000000001</v>
      </c>
      <c r="J1965" s="2" t="s">
        <v>4367</v>
      </c>
      <c r="K1965" s="2" t="s">
        <v>5713</v>
      </c>
      <c r="L1965" s="6" t="s">
        <v>1691</v>
      </c>
      <c r="M1965" s="6" t="s">
        <v>1690</v>
      </c>
      <c r="R1965" s="7" t="s">
        <v>2504</v>
      </c>
      <c r="U1965" s="7" t="s">
        <v>1689</v>
      </c>
      <c r="X1965" s="5">
        <v>38.8553</v>
      </c>
      <c r="Y1965" s="5">
        <v>-104.9361</v>
      </c>
      <c r="Z1965" s="6">
        <v>2154.3263999999999</v>
      </c>
      <c r="AA1965" s="7" t="s">
        <v>2502</v>
      </c>
      <c r="AB1965" s="139"/>
      <c r="AC1965" s="6"/>
    </row>
    <row r="1966" spans="1:29" ht="21.75" customHeight="1" x14ac:dyDescent="0.2">
      <c r="A1966" s="7" t="s">
        <v>1367</v>
      </c>
      <c r="B1966" s="7" t="s">
        <v>1657</v>
      </c>
      <c r="C1966" s="7" t="s">
        <v>2510</v>
      </c>
      <c r="D1966" s="7" t="s">
        <v>1697</v>
      </c>
      <c r="E1966" s="7" t="s">
        <v>398</v>
      </c>
      <c r="F1966" s="7" t="s">
        <v>217</v>
      </c>
      <c r="G1966" s="7" t="s">
        <v>1673</v>
      </c>
      <c r="H1966" s="1" t="s">
        <v>1672</v>
      </c>
      <c r="I1966" s="2">
        <f>22*0.0254</f>
        <v>0.55879999999999996</v>
      </c>
      <c r="J1966" s="2" t="s">
        <v>4367</v>
      </c>
      <c r="K1966" s="2" t="s">
        <v>5713</v>
      </c>
      <c r="L1966" s="6" t="s">
        <v>1691</v>
      </c>
      <c r="M1966" s="6" t="s">
        <v>1690</v>
      </c>
      <c r="O1966" s="45" t="s">
        <v>2509</v>
      </c>
      <c r="Q1966" s="2">
        <f>3.5*0.3048</f>
        <v>1.0668</v>
      </c>
      <c r="R1966" s="7" t="s">
        <v>2511</v>
      </c>
      <c r="U1966" s="7" t="s">
        <v>1689</v>
      </c>
      <c r="X1966" s="5">
        <v>38.857300000000002</v>
      </c>
      <c r="Y1966" s="5">
        <v>-104.9269</v>
      </c>
      <c r="Z1966" s="6">
        <v>1968.7032000000002</v>
      </c>
      <c r="AA1966" s="7" t="s">
        <v>2512</v>
      </c>
      <c r="AB1966" s="139" t="s">
        <v>2508</v>
      </c>
      <c r="AC1966" s="6"/>
    </row>
    <row r="1967" spans="1:29" ht="21.75" customHeight="1" x14ac:dyDescent="0.2">
      <c r="A1967" s="7" t="s">
        <v>1367</v>
      </c>
      <c r="B1967" s="7" t="s">
        <v>1657</v>
      </c>
      <c r="C1967" s="7" t="s">
        <v>2510</v>
      </c>
      <c r="D1967" s="7" t="s">
        <v>1697</v>
      </c>
      <c r="E1967" s="7" t="s">
        <v>398</v>
      </c>
      <c r="F1967" s="7" t="s">
        <v>217</v>
      </c>
      <c r="G1967" s="7" t="s">
        <v>2517</v>
      </c>
      <c r="H1967" s="1" t="s">
        <v>2513</v>
      </c>
      <c r="I1967" s="2">
        <f>1.5*0.3048</f>
        <v>0.45720000000000005</v>
      </c>
      <c r="J1967" s="2" t="s">
        <v>4367</v>
      </c>
      <c r="K1967" s="2" t="s">
        <v>5713</v>
      </c>
      <c r="L1967" s="6" t="s">
        <v>1691</v>
      </c>
      <c r="M1967" s="6" t="s">
        <v>1690</v>
      </c>
      <c r="O1967" s="45" t="s">
        <v>2514</v>
      </c>
      <c r="Q1967" s="2">
        <f>4.5*0.3048</f>
        <v>1.3716000000000002</v>
      </c>
      <c r="R1967" s="7" t="s">
        <v>2515</v>
      </c>
      <c r="U1967" s="7" t="s">
        <v>1689</v>
      </c>
      <c r="X1967" s="5">
        <v>38.857500000000002</v>
      </c>
      <c r="Y1967" s="5">
        <v>-104.9216</v>
      </c>
      <c r="Z1967" s="6">
        <v>1965.6552000000001</v>
      </c>
      <c r="AA1967" s="7" t="s">
        <v>2516</v>
      </c>
      <c r="AB1967" s="139"/>
      <c r="AC1967" s="6"/>
    </row>
    <row r="1968" spans="1:29" ht="21.75" customHeight="1" x14ac:dyDescent="0.2">
      <c r="A1968" s="7" t="s">
        <v>1367</v>
      </c>
      <c r="B1968" s="7" t="s">
        <v>1657</v>
      </c>
      <c r="C1968" s="7" t="s">
        <v>1658</v>
      </c>
      <c r="D1968" s="7" t="s">
        <v>1697</v>
      </c>
      <c r="E1968" s="7" t="s">
        <v>398</v>
      </c>
      <c r="F1968" s="7" t="s">
        <v>217</v>
      </c>
      <c r="G1968" s="7" t="s">
        <v>2517</v>
      </c>
      <c r="H1968" s="1" t="s">
        <v>2513</v>
      </c>
      <c r="I1968" s="2">
        <f>4*0.3048</f>
        <v>1.2192000000000001</v>
      </c>
      <c r="J1968" s="2" t="s">
        <v>4367</v>
      </c>
      <c r="K1968" s="2" t="s">
        <v>5713</v>
      </c>
      <c r="L1968" s="6" t="s">
        <v>1691</v>
      </c>
      <c r="M1968" s="6" t="s">
        <v>1690</v>
      </c>
      <c r="O1968" s="45" t="s">
        <v>2518</v>
      </c>
      <c r="R1968" s="7" t="s">
        <v>1661</v>
      </c>
      <c r="U1968" s="7" t="s">
        <v>1689</v>
      </c>
      <c r="X1968" s="5">
        <v>38.840000000000003</v>
      </c>
      <c r="Y1968" s="5">
        <v>-104.9495</v>
      </c>
      <c r="Z1968" s="6">
        <v>2706.3191999999999</v>
      </c>
      <c r="AA1968" s="7" t="s">
        <v>2520</v>
      </c>
      <c r="AB1968" s="7" t="s">
        <v>2519</v>
      </c>
      <c r="AC1968" s="6"/>
    </row>
    <row r="1969" spans="1:28" s="8" customFormat="1" ht="21.75" customHeight="1" x14ac:dyDescent="0.2">
      <c r="A1969" s="8" t="s">
        <v>6009</v>
      </c>
      <c r="B1969" s="8" t="s">
        <v>2038</v>
      </c>
      <c r="C1969" s="8" t="s">
        <v>2436</v>
      </c>
      <c r="D1969" s="8" t="s">
        <v>2437</v>
      </c>
      <c r="E1969" s="8" t="s">
        <v>280</v>
      </c>
      <c r="F1969" s="8" t="s">
        <v>212</v>
      </c>
      <c r="G1969" s="8" t="s">
        <v>2046</v>
      </c>
      <c r="H1969" s="3" t="s">
        <v>2047</v>
      </c>
      <c r="I1969" s="4">
        <v>4.57</v>
      </c>
      <c r="J1969" s="4" t="s">
        <v>4367</v>
      </c>
      <c r="K1969" s="4" t="s">
        <v>5748</v>
      </c>
      <c r="L1969" s="14">
        <f>33*25.4</f>
        <v>838.19999999999993</v>
      </c>
      <c r="M1969" s="14" t="s">
        <v>2440</v>
      </c>
      <c r="N1969" s="14"/>
      <c r="O1969" s="110" t="s">
        <v>2438</v>
      </c>
      <c r="P1969" s="4"/>
      <c r="R1969" s="8" t="s">
        <v>2118</v>
      </c>
      <c r="X1969" s="13">
        <v>40.886600000000001</v>
      </c>
      <c r="Y1969" s="13">
        <v>-96.205799999999996</v>
      </c>
      <c r="Z1969" s="14">
        <v>343</v>
      </c>
      <c r="AA1969" s="8" t="s">
        <v>2439</v>
      </c>
    </row>
    <row r="1970" spans="1:28" ht="21.75" customHeight="1" x14ac:dyDescent="0.2">
      <c r="A1970" s="7" t="s">
        <v>2722</v>
      </c>
      <c r="B1970" s="7" t="s">
        <v>2730</v>
      </c>
      <c r="C1970" s="7" t="s">
        <v>188</v>
      </c>
      <c r="D1970" s="7" t="s">
        <v>2729</v>
      </c>
      <c r="E1970" s="7" t="s">
        <v>33</v>
      </c>
      <c r="F1970" s="7" t="s">
        <v>212</v>
      </c>
      <c r="G1970" s="7" t="s">
        <v>2727</v>
      </c>
      <c r="H1970" s="1" t="s">
        <v>2726</v>
      </c>
      <c r="I1970" s="2">
        <v>4.7</v>
      </c>
      <c r="J1970" s="2" t="s">
        <v>5819</v>
      </c>
      <c r="K1970" s="2" t="s">
        <v>4480</v>
      </c>
      <c r="L1970" s="6">
        <v>366</v>
      </c>
      <c r="M1970" s="6" t="s">
        <v>2725</v>
      </c>
      <c r="N1970" s="6">
        <v>1935</v>
      </c>
      <c r="O1970" s="45" t="s">
        <v>2641</v>
      </c>
      <c r="P1970" s="2" t="s">
        <v>2734</v>
      </c>
      <c r="Q1970" s="7">
        <v>5.2</v>
      </c>
      <c r="R1970" s="7" t="s">
        <v>753</v>
      </c>
      <c r="X1970" s="5">
        <v>42.922600000000003</v>
      </c>
      <c r="Y1970" s="5">
        <v>120.71980000000001</v>
      </c>
      <c r="Z1970" s="6">
        <v>361</v>
      </c>
      <c r="AA1970" s="7" t="s">
        <v>2732</v>
      </c>
      <c r="AB1970" s="7" t="s">
        <v>2724</v>
      </c>
    </row>
    <row r="1971" spans="1:28" ht="21.75" customHeight="1" x14ac:dyDescent="0.2">
      <c r="A1971" s="7" t="s">
        <v>2722</v>
      </c>
      <c r="B1971" s="7" t="s">
        <v>2730</v>
      </c>
      <c r="C1971" s="7" t="s">
        <v>188</v>
      </c>
      <c r="D1971" s="7" t="s">
        <v>2729</v>
      </c>
      <c r="E1971" s="7" t="s">
        <v>33</v>
      </c>
      <c r="F1971" s="7" t="s">
        <v>212</v>
      </c>
      <c r="G1971" s="7" t="s">
        <v>2727</v>
      </c>
      <c r="H1971" s="1" t="s">
        <v>2726</v>
      </c>
      <c r="I1971" s="2">
        <v>2.7</v>
      </c>
      <c r="J1971" s="2" t="s">
        <v>5819</v>
      </c>
      <c r="K1971" s="2" t="s">
        <v>4480</v>
      </c>
      <c r="L1971" s="6">
        <v>366</v>
      </c>
      <c r="M1971" s="6" t="s">
        <v>2725</v>
      </c>
      <c r="N1971" s="6">
        <v>1935</v>
      </c>
      <c r="O1971" s="45" t="s">
        <v>2649</v>
      </c>
      <c r="P1971" s="2" t="s">
        <v>2723</v>
      </c>
      <c r="Q1971" s="7">
        <v>3.2</v>
      </c>
      <c r="R1971" s="7" t="s">
        <v>2728</v>
      </c>
      <c r="X1971" s="5">
        <v>42.927100000000003</v>
      </c>
      <c r="Y1971" s="5">
        <v>120.70959999999999</v>
      </c>
      <c r="Z1971" s="6">
        <v>358</v>
      </c>
      <c r="AA1971" s="7" t="s">
        <v>2731</v>
      </c>
      <c r="AB1971" s="7" t="s">
        <v>2733</v>
      </c>
    </row>
    <row r="1972" spans="1:28" s="8" customFormat="1" ht="21.75" customHeight="1" x14ac:dyDescent="0.2">
      <c r="A1972" s="8" t="s">
        <v>6790</v>
      </c>
      <c r="B1972" s="8" t="s">
        <v>6791</v>
      </c>
      <c r="C1972" s="8" t="s">
        <v>6792</v>
      </c>
      <c r="E1972" s="8" t="s">
        <v>263</v>
      </c>
      <c r="F1972" s="8" t="s">
        <v>212</v>
      </c>
      <c r="G1972" s="8" t="s">
        <v>6794</v>
      </c>
      <c r="H1972" s="3" t="s">
        <v>6793</v>
      </c>
      <c r="I1972" s="4">
        <v>0.7</v>
      </c>
      <c r="J1972" s="4" t="s">
        <v>4367</v>
      </c>
      <c r="K1972" s="4" t="s">
        <v>4480</v>
      </c>
      <c r="L1972" s="14">
        <v>1400</v>
      </c>
      <c r="M1972" s="14" t="s">
        <v>6795</v>
      </c>
      <c r="N1972" s="14"/>
      <c r="O1972" s="110"/>
      <c r="P1972" s="4"/>
      <c r="R1972" s="8" t="s">
        <v>6796</v>
      </c>
      <c r="S1972" s="8" t="s">
        <v>6797</v>
      </c>
      <c r="T1972" s="8">
        <v>0.6</v>
      </c>
      <c r="X1972" s="13">
        <v>-12.6784</v>
      </c>
      <c r="Y1972" s="13">
        <v>132.4786</v>
      </c>
      <c r="Z1972" s="14">
        <v>15</v>
      </c>
      <c r="AA1972" s="8" t="s">
        <v>6799</v>
      </c>
      <c r="AB1972" s="8" t="s">
        <v>6798</v>
      </c>
    </row>
    <row r="1973" spans="1:28" ht="21.75" customHeight="1" x14ac:dyDescent="0.2">
      <c r="A1973" s="7" t="s">
        <v>6007</v>
      </c>
      <c r="B1973" s="7" t="s">
        <v>2441</v>
      </c>
      <c r="C1973" s="7" t="s">
        <v>2442</v>
      </c>
      <c r="E1973" s="7" t="s">
        <v>263</v>
      </c>
      <c r="F1973" s="7" t="s">
        <v>212</v>
      </c>
      <c r="G1973" s="7" t="s">
        <v>2443</v>
      </c>
      <c r="H1973" s="1" t="s">
        <v>2444</v>
      </c>
      <c r="I1973" s="2">
        <v>10</v>
      </c>
      <c r="J1973" s="2" t="s">
        <v>5820</v>
      </c>
      <c r="K1973" s="2" t="s">
        <v>4480</v>
      </c>
      <c r="L1973" s="7">
        <v>1650</v>
      </c>
      <c r="N1973" s="6">
        <v>1522</v>
      </c>
      <c r="O1973" s="45" t="s">
        <v>2445</v>
      </c>
      <c r="R1973" s="7" t="s">
        <v>2446</v>
      </c>
      <c r="S1973" s="7" t="s">
        <v>2447</v>
      </c>
      <c r="X1973" s="5">
        <v>-27.498799999999999</v>
      </c>
      <c r="Y1973" s="5">
        <v>153.49760000000001</v>
      </c>
      <c r="Z1973" s="6">
        <v>100</v>
      </c>
      <c r="AA1973" s="7" t="s">
        <v>2448</v>
      </c>
      <c r="AB1973" s="7" t="s">
        <v>2449</v>
      </c>
    </row>
    <row r="1974" spans="1:28" s="8" customFormat="1" ht="21.75" customHeight="1" x14ac:dyDescent="0.2">
      <c r="A1974" s="8" t="s">
        <v>5075</v>
      </c>
      <c r="B1974" s="8" t="s">
        <v>5076</v>
      </c>
      <c r="C1974" s="8" t="s">
        <v>143</v>
      </c>
      <c r="E1974" s="8" t="s">
        <v>5077</v>
      </c>
      <c r="F1974" s="8" t="s">
        <v>212</v>
      </c>
      <c r="G1974" s="8" t="s">
        <v>919</v>
      </c>
      <c r="H1974" s="3" t="s">
        <v>920</v>
      </c>
      <c r="I1974" s="4">
        <f>9*0.3048</f>
        <v>2.7432000000000003</v>
      </c>
      <c r="J1974" s="4" t="s">
        <v>5078</v>
      </c>
      <c r="K1974" s="4" t="s">
        <v>4480</v>
      </c>
      <c r="M1974" s="14"/>
      <c r="N1974" s="14"/>
      <c r="O1974" s="110" t="s">
        <v>5080</v>
      </c>
      <c r="P1974" s="4"/>
      <c r="R1974" s="8" t="s">
        <v>5079</v>
      </c>
      <c r="U1974" s="8" t="s">
        <v>4606</v>
      </c>
      <c r="W1974" s="8" t="s">
        <v>94</v>
      </c>
      <c r="X1974" s="13">
        <v>43.528500000000001</v>
      </c>
      <c r="Y1974" s="13">
        <v>-73.813299999999998</v>
      </c>
      <c r="Z1974" s="14">
        <v>355</v>
      </c>
      <c r="AA1974" s="8" t="s">
        <v>5082</v>
      </c>
      <c r="AB1974" s="8" t="s">
        <v>5081</v>
      </c>
    </row>
    <row r="1975" spans="1:28" ht="21.75" customHeight="1" x14ac:dyDescent="0.2">
      <c r="A1975" s="7" t="s">
        <v>7069</v>
      </c>
      <c r="B1975" s="7" t="s">
        <v>7121</v>
      </c>
      <c r="C1975" s="7" t="s">
        <v>90</v>
      </c>
      <c r="D1975" s="7" t="s">
        <v>7122</v>
      </c>
      <c r="E1975" s="7" t="s">
        <v>263</v>
      </c>
      <c r="F1975" s="7" t="s">
        <v>7072</v>
      </c>
      <c r="G1975" s="7" t="s">
        <v>7071</v>
      </c>
      <c r="H1975" s="1" t="s">
        <v>7070</v>
      </c>
      <c r="I1975" s="2" t="s">
        <v>7112</v>
      </c>
      <c r="J1975" s="2" t="s">
        <v>4367</v>
      </c>
      <c r="K1975" s="2" t="s">
        <v>4480</v>
      </c>
      <c r="L1975" s="7"/>
      <c r="O1975" s="45" t="s">
        <v>7127</v>
      </c>
      <c r="R1975" s="7" t="s">
        <v>7123</v>
      </c>
      <c r="X1975" s="5">
        <v>46</v>
      </c>
      <c r="Y1975" s="5">
        <v>-77.55</v>
      </c>
      <c r="Z1975" s="6">
        <v>220</v>
      </c>
      <c r="AA1975" s="23" t="s">
        <v>7106</v>
      </c>
      <c r="AB1975" s="134" t="s">
        <v>7124</v>
      </c>
    </row>
    <row r="1976" spans="1:28" ht="21.75" customHeight="1" x14ac:dyDescent="0.2">
      <c r="A1976" s="7" t="s">
        <v>7069</v>
      </c>
      <c r="B1976" s="7" t="s">
        <v>7121</v>
      </c>
      <c r="C1976" s="7" t="s">
        <v>90</v>
      </c>
      <c r="D1976" s="7" t="s">
        <v>7122</v>
      </c>
      <c r="E1976" s="7" t="s">
        <v>398</v>
      </c>
      <c r="F1976" s="7" t="s">
        <v>7024</v>
      </c>
      <c r="G1976" s="7" t="s">
        <v>7074</v>
      </c>
      <c r="H1976" s="1" t="s">
        <v>7073</v>
      </c>
      <c r="I1976" s="2" t="s">
        <v>7113</v>
      </c>
      <c r="J1976" s="2" t="s">
        <v>4367</v>
      </c>
      <c r="K1976" s="2" t="s">
        <v>4480</v>
      </c>
      <c r="L1976" s="7"/>
      <c r="O1976" s="45" t="s">
        <v>7127</v>
      </c>
      <c r="R1976" s="7" t="s">
        <v>7123</v>
      </c>
      <c r="X1976" s="5">
        <v>46</v>
      </c>
      <c r="Y1976" s="5">
        <v>-77.55</v>
      </c>
      <c r="Z1976" s="6">
        <v>220</v>
      </c>
      <c r="AA1976" s="136" t="s">
        <v>7125</v>
      </c>
      <c r="AB1976" s="136"/>
    </row>
    <row r="1977" spans="1:28" ht="21.75" customHeight="1" x14ac:dyDescent="0.2">
      <c r="A1977" s="7" t="s">
        <v>7069</v>
      </c>
      <c r="B1977" s="7" t="s">
        <v>7121</v>
      </c>
      <c r="C1977" s="7" t="s">
        <v>90</v>
      </c>
      <c r="D1977" s="7" t="s">
        <v>7122</v>
      </c>
      <c r="E1977" s="7" t="s">
        <v>263</v>
      </c>
      <c r="F1977" s="7" t="s">
        <v>7077</v>
      </c>
      <c r="G1977" s="7" t="s">
        <v>7076</v>
      </c>
      <c r="H1977" s="1" t="s">
        <v>7075</v>
      </c>
      <c r="I1977" s="2" t="s">
        <v>7114</v>
      </c>
      <c r="J1977" s="2" t="s">
        <v>4367</v>
      </c>
      <c r="K1977" s="2" t="s">
        <v>4480</v>
      </c>
      <c r="L1977" s="7"/>
      <c r="O1977" s="45" t="s">
        <v>7127</v>
      </c>
      <c r="R1977" s="7" t="s">
        <v>7123</v>
      </c>
      <c r="X1977" s="5">
        <v>46</v>
      </c>
      <c r="Y1977" s="5">
        <v>-77.55</v>
      </c>
      <c r="Z1977" s="6">
        <v>220</v>
      </c>
      <c r="AA1977" s="136"/>
      <c r="AB1977" s="135"/>
    </row>
    <row r="1978" spans="1:28" ht="21.75" customHeight="1" x14ac:dyDescent="0.2">
      <c r="A1978" s="7" t="s">
        <v>7069</v>
      </c>
      <c r="B1978" s="7" t="s">
        <v>7121</v>
      </c>
      <c r="C1978" s="7" t="s">
        <v>90</v>
      </c>
      <c r="D1978" s="7" t="s">
        <v>7122</v>
      </c>
      <c r="E1978" s="7" t="s">
        <v>398</v>
      </c>
      <c r="F1978" s="7" t="s">
        <v>7080</v>
      </c>
      <c r="G1978" s="7" t="s">
        <v>7079</v>
      </c>
      <c r="H1978" s="1" t="s">
        <v>7078</v>
      </c>
      <c r="I1978" s="2" t="s">
        <v>7115</v>
      </c>
      <c r="J1978" s="2" t="s">
        <v>4367</v>
      </c>
      <c r="K1978" s="2" t="s">
        <v>4480</v>
      </c>
      <c r="L1978" s="7"/>
      <c r="O1978" s="45" t="s">
        <v>7127</v>
      </c>
      <c r="R1978" s="7" t="s">
        <v>7123</v>
      </c>
      <c r="X1978" s="5">
        <v>46</v>
      </c>
      <c r="Y1978" s="5">
        <v>-77.55</v>
      </c>
      <c r="Z1978" s="6">
        <v>220</v>
      </c>
      <c r="AA1978" s="135"/>
      <c r="AB1978" s="7" t="s">
        <v>7108</v>
      </c>
    </row>
    <row r="1979" spans="1:28" ht="21.75" customHeight="1" x14ac:dyDescent="0.2">
      <c r="A1979" s="7" t="s">
        <v>7069</v>
      </c>
      <c r="B1979" s="7" t="s">
        <v>7121</v>
      </c>
      <c r="C1979" s="7" t="s">
        <v>90</v>
      </c>
      <c r="D1979" s="7" t="s">
        <v>7122</v>
      </c>
      <c r="E1979" s="7" t="s">
        <v>280</v>
      </c>
      <c r="F1979" s="7" t="s">
        <v>7084</v>
      </c>
      <c r="G1979" s="7" t="s">
        <v>7082</v>
      </c>
      <c r="H1979" s="1" t="s">
        <v>7081</v>
      </c>
      <c r="I1979" s="2" t="s">
        <v>7116</v>
      </c>
      <c r="J1979" s="2" t="s">
        <v>4367</v>
      </c>
      <c r="K1979" s="2" t="s">
        <v>4480</v>
      </c>
      <c r="L1979" s="7"/>
      <c r="O1979" s="45" t="s">
        <v>7127</v>
      </c>
      <c r="R1979" s="7" t="s">
        <v>7123</v>
      </c>
      <c r="X1979" s="5">
        <v>46</v>
      </c>
      <c r="Y1979" s="5">
        <v>-77.55</v>
      </c>
      <c r="Z1979" s="6">
        <v>220</v>
      </c>
      <c r="AA1979" s="134" t="s">
        <v>7111</v>
      </c>
      <c r="AB1979" s="134" t="s">
        <v>7109</v>
      </c>
    </row>
    <row r="1980" spans="1:28" ht="21.75" customHeight="1" x14ac:dyDescent="0.2">
      <c r="A1980" s="7" t="s">
        <v>7069</v>
      </c>
      <c r="B1980" s="7" t="s">
        <v>7121</v>
      </c>
      <c r="C1980" s="7" t="s">
        <v>90</v>
      </c>
      <c r="D1980" s="7" t="s">
        <v>7122</v>
      </c>
      <c r="E1980" s="7" t="s">
        <v>398</v>
      </c>
      <c r="F1980" s="7" t="s">
        <v>7086</v>
      </c>
      <c r="G1980" s="7" t="s">
        <v>7085</v>
      </c>
      <c r="H1980" s="1" t="s">
        <v>7083</v>
      </c>
      <c r="I1980" s="2" t="s">
        <v>7116</v>
      </c>
      <c r="J1980" s="2" t="s">
        <v>4367</v>
      </c>
      <c r="K1980" s="2" t="s">
        <v>4480</v>
      </c>
      <c r="L1980" s="7"/>
      <c r="O1980" s="45" t="s">
        <v>7127</v>
      </c>
      <c r="R1980" s="7" t="s">
        <v>7123</v>
      </c>
      <c r="X1980" s="5">
        <v>46</v>
      </c>
      <c r="Y1980" s="5">
        <v>-77.55</v>
      </c>
      <c r="Z1980" s="6">
        <v>220</v>
      </c>
      <c r="AA1980" s="136"/>
      <c r="AB1980" s="136"/>
    </row>
    <row r="1981" spans="1:28" ht="21.75" customHeight="1" x14ac:dyDescent="0.2">
      <c r="A1981" s="7" t="s">
        <v>7069</v>
      </c>
      <c r="B1981" s="7" t="s">
        <v>7121</v>
      </c>
      <c r="C1981" s="7" t="s">
        <v>90</v>
      </c>
      <c r="D1981" s="7" t="s">
        <v>7122</v>
      </c>
      <c r="E1981" s="7" t="s">
        <v>280</v>
      </c>
      <c r="F1981" s="7" t="s">
        <v>7110</v>
      </c>
      <c r="G1981" s="7" t="s">
        <v>7088</v>
      </c>
      <c r="H1981" s="1" t="s">
        <v>7087</v>
      </c>
      <c r="I1981" s="2" t="s">
        <v>7116</v>
      </c>
      <c r="J1981" s="2" t="s">
        <v>4367</v>
      </c>
      <c r="K1981" s="2" t="s">
        <v>4480</v>
      </c>
      <c r="L1981" s="7"/>
      <c r="O1981" s="45" t="s">
        <v>7127</v>
      </c>
      <c r="R1981" s="7" t="s">
        <v>7123</v>
      </c>
      <c r="X1981" s="5">
        <v>46</v>
      </c>
      <c r="Y1981" s="5">
        <v>-77.55</v>
      </c>
      <c r="Z1981" s="6">
        <v>220</v>
      </c>
      <c r="AA1981" s="136"/>
      <c r="AB1981" s="135"/>
    </row>
    <row r="1982" spans="1:28" ht="21.75" customHeight="1" x14ac:dyDescent="0.2">
      <c r="A1982" s="7" t="s">
        <v>7069</v>
      </c>
      <c r="B1982" s="7" t="s">
        <v>7121</v>
      </c>
      <c r="C1982" s="7" t="s">
        <v>90</v>
      </c>
      <c r="D1982" s="7" t="s">
        <v>7122</v>
      </c>
      <c r="E1982" s="7" t="s">
        <v>263</v>
      </c>
      <c r="F1982" s="7" t="s">
        <v>7091</v>
      </c>
      <c r="G1982" s="7" t="s">
        <v>7090</v>
      </c>
      <c r="H1982" s="1" t="s">
        <v>7089</v>
      </c>
      <c r="I1982" s="2" t="s">
        <v>7116</v>
      </c>
      <c r="J1982" s="2" t="s">
        <v>4367</v>
      </c>
      <c r="K1982" s="2" t="s">
        <v>4480</v>
      </c>
      <c r="L1982" s="7"/>
      <c r="O1982" s="45" t="s">
        <v>7127</v>
      </c>
      <c r="R1982" s="7" t="s">
        <v>7123</v>
      </c>
      <c r="X1982" s="5">
        <v>46</v>
      </c>
      <c r="Y1982" s="5">
        <v>-77.55</v>
      </c>
      <c r="Z1982" s="6">
        <v>220</v>
      </c>
      <c r="AA1982" s="135"/>
      <c r="AB1982" s="60"/>
    </row>
    <row r="1983" spans="1:28" s="63" customFormat="1" ht="21.75" customHeight="1" x14ac:dyDescent="0.2">
      <c r="A1983" s="63" t="s">
        <v>7069</v>
      </c>
      <c r="B1983" s="63" t="s">
        <v>7121</v>
      </c>
      <c r="C1983" s="63" t="s">
        <v>90</v>
      </c>
      <c r="D1983" s="63" t="s">
        <v>7122</v>
      </c>
      <c r="E1983" s="63" t="s">
        <v>7094</v>
      </c>
      <c r="F1983" s="63" t="s">
        <v>7095</v>
      </c>
      <c r="G1983" s="63" t="s">
        <v>7093</v>
      </c>
      <c r="H1983" s="64" t="s">
        <v>7092</v>
      </c>
      <c r="I1983" s="65" t="s">
        <v>7117</v>
      </c>
      <c r="J1983" s="65" t="s">
        <v>4367</v>
      </c>
      <c r="K1983" s="65" t="s">
        <v>4480</v>
      </c>
      <c r="M1983" s="67"/>
      <c r="N1983" s="67"/>
      <c r="O1983" s="119" t="s">
        <v>7127</v>
      </c>
      <c r="P1983" s="65"/>
      <c r="R1983" s="63" t="s">
        <v>7123</v>
      </c>
      <c r="X1983" s="69">
        <v>46</v>
      </c>
      <c r="Y1983" s="69">
        <v>-77.55</v>
      </c>
      <c r="Z1983" s="67">
        <v>220</v>
      </c>
      <c r="AA1983" s="160" t="s">
        <v>7126</v>
      </c>
    </row>
    <row r="1984" spans="1:28" s="63" customFormat="1" ht="21.75" customHeight="1" x14ac:dyDescent="0.2">
      <c r="A1984" s="63" t="s">
        <v>7069</v>
      </c>
      <c r="B1984" s="63" t="s">
        <v>7121</v>
      </c>
      <c r="C1984" s="63" t="s">
        <v>90</v>
      </c>
      <c r="D1984" s="63" t="s">
        <v>7122</v>
      </c>
      <c r="E1984" s="63" t="s">
        <v>7094</v>
      </c>
      <c r="F1984" s="63" t="s">
        <v>8024</v>
      </c>
      <c r="G1984" s="63" t="s">
        <v>7097</v>
      </c>
      <c r="H1984" s="64" t="s">
        <v>7096</v>
      </c>
      <c r="I1984" s="65" t="s">
        <v>7118</v>
      </c>
      <c r="J1984" s="65" t="s">
        <v>4367</v>
      </c>
      <c r="K1984" s="65" t="s">
        <v>4480</v>
      </c>
      <c r="M1984" s="67"/>
      <c r="N1984" s="67"/>
      <c r="O1984" s="119" t="s">
        <v>7127</v>
      </c>
      <c r="P1984" s="65"/>
      <c r="R1984" s="63" t="s">
        <v>7123</v>
      </c>
      <c r="X1984" s="69">
        <v>46</v>
      </c>
      <c r="Y1984" s="69">
        <v>-77.55</v>
      </c>
      <c r="Z1984" s="67">
        <v>220</v>
      </c>
      <c r="AA1984" s="161"/>
    </row>
    <row r="1985" spans="1:29" ht="21.75" customHeight="1" x14ac:dyDescent="0.2">
      <c r="A1985" s="7" t="s">
        <v>7069</v>
      </c>
      <c r="B1985" s="7" t="s">
        <v>7121</v>
      </c>
      <c r="C1985" s="7" t="s">
        <v>90</v>
      </c>
      <c r="D1985" s="7" t="s">
        <v>7122</v>
      </c>
      <c r="E1985" s="7" t="s">
        <v>280</v>
      </c>
      <c r="F1985" s="7" t="s">
        <v>7084</v>
      </c>
      <c r="G1985" s="7" t="s">
        <v>7099</v>
      </c>
      <c r="H1985" s="1" t="s">
        <v>7098</v>
      </c>
      <c r="I1985" s="2" t="s">
        <v>7116</v>
      </c>
      <c r="J1985" s="2" t="s">
        <v>4367</v>
      </c>
      <c r="K1985" s="2" t="s">
        <v>4480</v>
      </c>
      <c r="L1985" s="7"/>
      <c r="O1985" s="45" t="s">
        <v>7127</v>
      </c>
      <c r="R1985" s="7" t="s">
        <v>7123</v>
      </c>
      <c r="X1985" s="5">
        <v>46</v>
      </c>
      <c r="Y1985" s="5">
        <v>-77.55</v>
      </c>
      <c r="Z1985" s="6">
        <v>220</v>
      </c>
      <c r="AA1985" s="7" t="s">
        <v>7107</v>
      </c>
    </row>
    <row r="1986" spans="1:29" s="63" customFormat="1" ht="21.75" customHeight="1" x14ac:dyDescent="0.2">
      <c r="A1986" s="63" t="s">
        <v>7069</v>
      </c>
      <c r="B1986" s="63" t="s">
        <v>7121</v>
      </c>
      <c r="C1986" s="63" t="s">
        <v>90</v>
      </c>
      <c r="D1986" s="63" t="s">
        <v>7122</v>
      </c>
      <c r="E1986" s="63" t="s">
        <v>398</v>
      </c>
      <c r="F1986" s="63" t="s">
        <v>7043</v>
      </c>
      <c r="G1986" s="63" t="s">
        <v>216</v>
      </c>
      <c r="H1986" s="64" t="s">
        <v>7100</v>
      </c>
      <c r="I1986" s="65" t="s">
        <v>7119</v>
      </c>
      <c r="J1986" s="65" t="s">
        <v>4367</v>
      </c>
      <c r="K1986" s="65" t="s">
        <v>4480</v>
      </c>
      <c r="M1986" s="67"/>
      <c r="N1986" s="67"/>
      <c r="O1986" s="119" t="s">
        <v>7127</v>
      </c>
      <c r="P1986" s="65"/>
      <c r="R1986" s="63" t="s">
        <v>7123</v>
      </c>
      <c r="X1986" s="69">
        <v>46</v>
      </c>
      <c r="Y1986" s="69">
        <v>-77.55</v>
      </c>
      <c r="Z1986" s="67">
        <v>220</v>
      </c>
      <c r="AA1986" s="63" t="s">
        <v>7126</v>
      </c>
    </row>
    <row r="1987" spans="1:29" ht="21.75" customHeight="1" x14ac:dyDescent="0.2">
      <c r="A1987" s="7" t="s">
        <v>7069</v>
      </c>
      <c r="B1987" s="7" t="s">
        <v>7121</v>
      </c>
      <c r="C1987" s="7" t="s">
        <v>90</v>
      </c>
      <c r="D1987" s="7" t="s">
        <v>7122</v>
      </c>
      <c r="E1987" s="7" t="s">
        <v>280</v>
      </c>
      <c r="F1987" s="7" t="s">
        <v>7084</v>
      </c>
      <c r="G1987" s="7" t="s">
        <v>7102</v>
      </c>
      <c r="H1987" s="1" t="s">
        <v>7101</v>
      </c>
      <c r="I1987" s="2" t="s">
        <v>7116</v>
      </c>
      <c r="J1987" s="2" t="s">
        <v>4367</v>
      </c>
      <c r="K1987" s="2" t="s">
        <v>4480</v>
      </c>
      <c r="L1987" s="7"/>
      <c r="O1987" s="45" t="s">
        <v>7127</v>
      </c>
      <c r="R1987" s="7" t="s">
        <v>7123</v>
      </c>
      <c r="X1987" s="5">
        <v>46</v>
      </c>
      <c r="Y1987" s="5">
        <v>-77.55</v>
      </c>
      <c r="Z1987" s="6">
        <v>220</v>
      </c>
      <c r="AA1987" s="7" t="s">
        <v>7107</v>
      </c>
    </row>
    <row r="1988" spans="1:29" ht="21.75" customHeight="1" x14ac:dyDescent="0.2">
      <c r="A1988" s="7" t="s">
        <v>7069</v>
      </c>
      <c r="B1988" s="7" t="s">
        <v>7121</v>
      </c>
      <c r="C1988" s="7" t="s">
        <v>90</v>
      </c>
      <c r="D1988" s="7" t="s">
        <v>7122</v>
      </c>
      <c r="E1988" s="7" t="s">
        <v>280</v>
      </c>
      <c r="F1988" s="7" t="s">
        <v>7084</v>
      </c>
      <c r="G1988" s="7" t="s">
        <v>7104</v>
      </c>
      <c r="H1988" s="1" t="s">
        <v>7103</v>
      </c>
      <c r="I1988" s="2" t="s">
        <v>7116</v>
      </c>
      <c r="J1988" s="2" t="s">
        <v>4367</v>
      </c>
      <c r="K1988" s="2" t="s">
        <v>4480</v>
      </c>
      <c r="L1988" s="7"/>
      <c r="O1988" s="45" t="s">
        <v>7127</v>
      </c>
      <c r="R1988" s="7" t="s">
        <v>7123</v>
      </c>
      <c r="X1988" s="5">
        <v>46</v>
      </c>
      <c r="Y1988" s="5">
        <v>-77.55</v>
      </c>
      <c r="Z1988" s="6">
        <v>220</v>
      </c>
      <c r="AA1988" s="7" t="s">
        <v>7107</v>
      </c>
    </row>
    <row r="1989" spans="1:29" ht="21.75" customHeight="1" x14ac:dyDescent="0.2">
      <c r="A1989" s="7" t="s">
        <v>7069</v>
      </c>
      <c r="B1989" s="7" t="s">
        <v>7121</v>
      </c>
      <c r="C1989" s="7" t="s">
        <v>90</v>
      </c>
      <c r="D1989" s="7" t="s">
        <v>7122</v>
      </c>
      <c r="E1989" s="7" t="s">
        <v>280</v>
      </c>
      <c r="F1989" s="7" t="s">
        <v>7084</v>
      </c>
      <c r="G1989" s="7" t="s">
        <v>5690</v>
      </c>
      <c r="H1989" s="1" t="s">
        <v>5673</v>
      </c>
      <c r="I1989" s="2" t="s">
        <v>7120</v>
      </c>
      <c r="J1989" s="2" t="s">
        <v>4367</v>
      </c>
      <c r="K1989" s="2" t="s">
        <v>4480</v>
      </c>
      <c r="L1989" s="7"/>
      <c r="O1989" s="45" t="s">
        <v>7127</v>
      </c>
      <c r="R1989" s="7" t="s">
        <v>7123</v>
      </c>
      <c r="X1989" s="5">
        <v>46</v>
      </c>
      <c r="Y1989" s="5">
        <v>-77.55</v>
      </c>
      <c r="Z1989" s="6">
        <v>220</v>
      </c>
      <c r="AA1989" s="7" t="s">
        <v>7105</v>
      </c>
    </row>
    <row r="1990" spans="1:29" s="8" customFormat="1" ht="21.75" customHeight="1" x14ac:dyDescent="0.2">
      <c r="A1990" s="8" t="s">
        <v>6008</v>
      </c>
      <c r="B1990" s="8" t="s">
        <v>5997</v>
      </c>
      <c r="C1990" s="8" t="s">
        <v>5998</v>
      </c>
      <c r="D1990" s="8" t="s">
        <v>6003</v>
      </c>
      <c r="E1990" s="8" t="s">
        <v>263</v>
      </c>
      <c r="F1990" s="8" t="s">
        <v>212</v>
      </c>
      <c r="H1990" s="3" t="s">
        <v>5999</v>
      </c>
      <c r="I1990" s="4">
        <v>1</v>
      </c>
      <c r="J1990" s="4" t="s">
        <v>6000</v>
      </c>
      <c r="K1990" s="4" t="s">
        <v>4480</v>
      </c>
      <c r="L1990" s="8">
        <v>3000</v>
      </c>
      <c r="M1990" s="14" t="s">
        <v>6002</v>
      </c>
      <c r="N1990" s="14"/>
      <c r="O1990" s="110" t="s">
        <v>6006</v>
      </c>
      <c r="P1990" s="4"/>
      <c r="R1990" s="8" t="s">
        <v>6005</v>
      </c>
      <c r="X1990" s="13">
        <v>-2.8574000000000002</v>
      </c>
      <c r="Y1990" s="13">
        <v>-64.910600000000002</v>
      </c>
      <c r="Z1990" s="14">
        <v>39</v>
      </c>
      <c r="AA1990" s="8" t="s">
        <v>6001</v>
      </c>
      <c r="AB1990" s="8" t="s">
        <v>6004</v>
      </c>
    </row>
    <row r="1991" spans="1:29" ht="21.75" customHeight="1" x14ac:dyDescent="0.2">
      <c r="A1991" s="7" t="s">
        <v>2688</v>
      </c>
      <c r="B1991" s="7" t="s">
        <v>2689</v>
      </c>
      <c r="C1991" s="7" t="s">
        <v>2690</v>
      </c>
      <c r="D1991" s="7" t="s">
        <v>2697</v>
      </c>
      <c r="E1991" s="7" t="s">
        <v>263</v>
      </c>
      <c r="F1991" s="7" t="s">
        <v>214</v>
      </c>
      <c r="H1991" s="1" t="s">
        <v>2692</v>
      </c>
      <c r="I1991" s="2">
        <v>0.51</v>
      </c>
      <c r="J1991" s="2" t="s">
        <v>4367</v>
      </c>
      <c r="K1991" s="2" t="s">
        <v>4480</v>
      </c>
      <c r="L1991" s="7">
        <v>2600</v>
      </c>
      <c r="M1991" s="6" t="s">
        <v>2691</v>
      </c>
      <c r="P1991" s="7"/>
      <c r="X1991" s="5">
        <v>9.1905000000000001</v>
      </c>
      <c r="Y1991" s="5">
        <v>-79.850200000000001</v>
      </c>
      <c r="Z1991" s="6">
        <v>52</v>
      </c>
      <c r="AA1991" s="7" t="s">
        <v>2699</v>
      </c>
      <c r="AB1991" s="7" t="s">
        <v>2698</v>
      </c>
    </row>
    <row r="1992" spans="1:29" ht="21.75" customHeight="1" x14ac:dyDescent="0.2">
      <c r="A1992" s="7" t="s">
        <v>2688</v>
      </c>
      <c r="B1992" s="7" t="s">
        <v>2689</v>
      </c>
      <c r="C1992" s="7" t="s">
        <v>2690</v>
      </c>
      <c r="D1992" s="7" t="s">
        <v>2697</v>
      </c>
      <c r="E1992" s="7" t="s">
        <v>263</v>
      </c>
      <c r="F1992" s="7" t="s">
        <v>214</v>
      </c>
      <c r="H1992" s="1" t="s">
        <v>2693</v>
      </c>
      <c r="I1992" s="2">
        <v>0.33</v>
      </c>
      <c r="J1992" s="2" t="s">
        <v>4367</v>
      </c>
      <c r="K1992" s="2" t="s">
        <v>4480</v>
      </c>
      <c r="L1992" s="7">
        <v>2600</v>
      </c>
      <c r="M1992" s="6" t="s">
        <v>2691</v>
      </c>
      <c r="X1992" s="5">
        <v>9.1905000000000001</v>
      </c>
      <c r="Y1992" s="5">
        <v>-79.850200000000001</v>
      </c>
      <c r="Z1992" s="6">
        <v>52</v>
      </c>
      <c r="AB1992" s="7" t="s">
        <v>2700</v>
      </c>
    </row>
    <row r="1993" spans="1:29" ht="21.75" customHeight="1" x14ac:dyDescent="0.2">
      <c r="A1993" s="7" t="s">
        <v>2688</v>
      </c>
      <c r="B1993" s="7" t="s">
        <v>2689</v>
      </c>
      <c r="C1993" s="7" t="s">
        <v>2690</v>
      </c>
      <c r="D1993" s="7" t="s">
        <v>2697</v>
      </c>
      <c r="E1993" s="7" t="s">
        <v>263</v>
      </c>
      <c r="F1993" s="7" t="s">
        <v>214</v>
      </c>
      <c r="H1993" s="1" t="s">
        <v>2694</v>
      </c>
      <c r="I1993" s="2">
        <v>0.92</v>
      </c>
      <c r="J1993" s="2" t="s">
        <v>4367</v>
      </c>
      <c r="K1993" s="2" t="s">
        <v>4480</v>
      </c>
      <c r="L1993" s="7">
        <v>2600</v>
      </c>
      <c r="M1993" s="6" t="s">
        <v>2691</v>
      </c>
      <c r="X1993" s="5">
        <v>9.1905000000000001</v>
      </c>
      <c r="Y1993" s="5">
        <v>-79.850200000000001</v>
      </c>
      <c r="Z1993" s="6">
        <v>52</v>
      </c>
      <c r="AA1993" s="7" t="s">
        <v>2701</v>
      </c>
    </row>
    <row r="1994" spans="1:29" ht="21.75" customHeight="1" x14ac:dyDescent="0.2">
      <c r="A1994" s="7" t="s">
        <v>2688</v>
      </c>
      <c r="B1994" s="7" t="s">
        <v>2689</v>
      </c>
      <c r="C1994" s="7" t="s">
        <v>2690</v>
      </c>
      <c r="D1994" s="7" t="s">
        <v>2697</v>
      </c>
      <c r="E1994" s="7" t="s">
        <v>263</v>
      </c>
      <c r="F1994" s="7" t="s">
        <v>214</v>
      </c>
      <c r="H1994" s="1" t="s">
        <v>2695</v>
      </c>
      <c r="I1994" s="2">
        <v>0.38</v>
      </c>
      <c r="J1994" s="2" t="s">
        <v>4367</v>
      </c>
      <c r="K1994" s="2" t="s">
        <v>4480</v>
      </c>
      <c r="L1994" s="7">
        <v>2600</v>
      </c>
      <c r="M1994" s="6" t="s">
        <v>2691</v>
      </c>
      <c r="X1994" s="5">
        <v>9.1905000000000001</v>
      </c>
      <c r="Y1994" s="5">
        <v>-79.850200000000001</v>
      </c>
      <c r="Z1994" s="6">
        <v>52</v>
      </c>
    </row>
    <row r="1995" spans="1:29" ht="21.75" customHeight="1" x14ac:dyDescent="0.2">
      <c r="A1995" s="7" t="s">
        <v>2688</v>
      </c>
      <c r="B1995" s="7" t="s">
        <v>2689</v>
      </c>
      <c r="C1995" s="7" t="s">
        <v>2690</v>
      </c>
      <c r="D1995" s="7" t="s">
        <v>2697</v>
      </c>
      <c r="E1995" s="7" t="s">
        <v>263</v>
      </c>
      <c r="F1995" s="7" t="s">
        <v>214</v>
      </c>
      <c r="H1995" s="1" t="s">
        <v>2696</v>
      </c>
      <c r="I1995" s="2">
        <v>0.28999999999999998</v>
      </c>
      <c r="J1995" s="2" t="s">
        <v>4367</v>
      </c>
      <c r="K1995" s="2" t="s">
        <v>4480</v>
      </c>
      <c r="L1995" s="7">
        <v>2600</v>
      </c>
      <c r="M1995" s="6" t="s">
        <v>2691</v>
      </c>
      <c r="X1995" s="5">
        <v>9.1905000000000001</v>
      </c>
      <c r="Y1995" s="5">
        <v>-79.850200000000001</v>
      </c>
      <c r="Z1995" s="6">
        <v>52</v>
      </c>
    </row>
    <row r="1996" spans="1:29" s="8" customFormat="1" ht="21.75" customHeight="1" x14ac:dyDescent="0.2">
      <c r="A1996" s="8" t="s">
        <v>2450</v>
      </c>
      <c r="B1996" s="8" t="s">
        <v>2451</v>
      </c>
      <c r="C1996" s="8" t="s">
        <v>116</v>
      </c>
      <c r="D1996" s="8" t="s">
        <v>2452</v>
      </c>
      <c r="E1996" s="8" t="s">
        <v>263</v>
      </c>
      <c r="F1996" s="8" t="s">
        <v>212</v>
      </c>
      <c r="G1996" s="8" t="s">
        <v>2454</v>
      </c>
      <c r="H1996" s="3" t="s">
        <v>2455</v>
      </c>
      <c r="I1996" s="4">
        <v>24.38</v>
      </c>
      <c r="J1996" s="4" t="s">
        <v>5774</v>
      </c>
      <c r="K1996" s="4" t="s">
        <v>4480</v>
      </c>
      <c r="L1996" s="8">
        <v>600</v>
      </c>
      <c r="M1996" s="14"/>
      <c r="N1996" s="14"/>
      <c r="O1996" s="110"/>
      <c r="P1996" s="4"/>
      <c r="R1996" s="8" t="s">
        <v>2458</v>
      </c>
      <c r="X1996" s="13">
        <v>-27.803699999999999</v>
      </c>
      <c r="Y1996" s="13">
        <v>32.049199999999999</v>
      </c>
      <c r="Z1996" s="14">
        <v>200</v>
      </c>
      <c r="AA1996" s="8" t="s">
        <v>2461</v>
      </c>
      <c r="AB1996" s="29" t="s">
        <v>2463</v>
      </c>
      <c r="AC1996" s="29"/>
    </row>
    <row r="1997" spans="1:29" s="8" customFormat="1" ht="21.75" customHeight="1" x14ac:dyDescent="0.2">
      <c r="A1997" s="8" t="s">
        <v>2450</v>
      </c>
      <c r="B1997" s="8" t="s">
        <v>2451</v>
      </c>
      <c r="C1997" s="8" t="s">
        <v>116</v>
      </c>
      <c r="D1997" s="8" t="s">
        <v>2453</v>
      </c>
      <c r="E1997" s="8" t="s">
        <v>263</v>
      </c>
      <c r="F1997" s="8" t="s">
        <v>212</v>
      </c>
      <c r="G1997" s="8" t="s">
        <v>2456</v>
      </c>
      <c r="H1997" s="3" t="s">
        <v>2457</v>
      </c>
      <c r="I1997" s="4">
        <v>27.43</v>
      </c>
      <c r="J1997" s="4" t="s">
        <v>5774</v>
      </c>
      <c r="K1997" s="4" t="s">
        <v>4480</v>
      </c>
      <c r="L1997" s="8">
        <v>900</v>
      </c>
      <c r="M1997" s="14"/>
      <c r="N1997" s="14"/>
      <c r="O1997" s="110" t="s">
        <v>2459</v>
      </c>
      <c r="P1997" s="4"/>
      <c r="R1997" s="8" t="s">
        <v>2460</v>
      </c>
      <c r="X1997" s="13">
        <v>-27.3033</v>
      </c>
      <c r="Y1997" s="13">
        <v>31.319299999999998</v>
      </c>
      <c r="Z1997" s="14">
        <v>864</v>
      </c>
      <c r="AA1997" s="8" t="s">
        <v>2462</v>
      </c>
      <c r="AB1997" s="29" t="s">
        <v>2464</v>
      </c>
      <c r="AC1997" s="29"/>
    </row>
    <row r="1998" spans="1:29" ht="21.75" customHeight="1" x14ac:dyDescent="0.2">
      <c r="A1998" s="7" t="s">
        <v>3090</v>
      </c>
      <c r="B1998" s="7" t="s">
        <v>3096</v>
      </c>
      <c r="C1998" s="7" t="s">
        <v>466</v>
      </c>
      <c r="D1998" s="7" t="s">
        <v>3098</v>
      </c>
      <c r="E1998" s="7" t="s">
        <v>280</v>
      </c>
      <c r="F1998" s="7" t="s">
        <v>1302</v>
      </c>
      <c r="G1998" s="7" t="s">
        <v>3095</v>
      </c>
      <c r="H1998" s="1" t="s">
        <v>3094</v>
      </c>
      <c r="I1998" s="2">
        <v>10</v>
      </c>
      <c r="J1998" s="2" t="s">
        <v>4367</v>
      </c>
      <c r="K1998" s="2" t="s">
        <v>4410</v>
      </c>
      <c r="L1998" s="7">
        <v>160</v>
      </c>
      <c r="M1998" s="6" t="s">
        <v>2865</v>
      </c>
      <c r="O1998" s="45" t="s">
        <v>3093</v>
      </c>
      <c r="R1998" s="7" t="s">
        <v>3099</v>
      </c>
      <c r="X1998" s="5">
        <v>44.374699999999997</v>
      </c>
      <c r="Y1998" s="5">
        <v>88.014099999999999</v>
      </c>
      <c r="Z1998" s="6">
        <v>470</v>
      </c>
      <c r="AA1998" s="134" t="s">
        <v>3101</v>
      </c>
      <c r="AB1998" s="23" t="s">
        <v>3092</v>
      </c>
      <c r="AC1998" s="23"/>
    </row>
    <row r="1999" spans="1:29" ht="21.75" customHeight="1" x14ac:dyDescent="0.2">
      <c r="A1999" s="7" t="s">
        <v>3090</v>
      </c>
      <c r="B1999" s="7" t="s">
        <v>3096</v>
      </c>
      <c r="C1999" s="7" t="s">
        <v>466</v>
      </c>
      <c r="D1999" s="7" t="s">
        <v>3097</v>
      </c>
      <c r="E1999" s="7" t="s">
        <v>280</v>
      </c>
      <c r="F1999" s="7" t="s">
        <v>1302</v>
      </c>
      <c r="G1999" s="7" t="s">
        <v>3095</v>
      </c>
      <c r="H1999" s="1" t="s">
        <v>3094</v>
      </c>
      <c r="I1999" s="2">
        <v>3</v>
      </c>
      <c r="J1999" s="2" t="s">
        <v>4367</v>
      </c>
      <c r="K1999" s="2" t="s">
        <v>4410</v>
      </c>
      <c r="L1999" s="7">
        <v>160</v>
      </c>
      <c r="M1999" s="6" t="s">
        <v>2865</v>
      </c>
      <c r="O1999" s="45" t="s">
        <v>3091</v>
      </c>
      <c r="R1999" s="7" t="s">
        <v>3100</v>
      </c>
      <c r="X1999" s="5">
        <v>44.318800000000003</v>
      </c>
      <c r="Y1999" s="5">
        <v>88.025099999999995</v>
      </c>
      <c r="Z1999" s="6">
        <v>480</v>
      </c>
      <c r="AA1999" s="135"/>
      <c r="AB1999" s="23"/>
      <c r="AC1999" s="23"/>
    </row>
    <row r="2000" spans="1:29" s="8" customFormat="1" ht="21.75" customHeight="1" x14ac:dyDescent="0.2">
      <c r="A2000" s="8" t="s">
        <v>4453</v>
      </c>
      <c r="B2000" s="8" t="s">
        <v>4469</v>
      </c>
      <c r="C2000" s="8" t="s">
        <v>4467</v>
      </c>
      <c r="E2000" s="8" t="s">
        <v>33</v>
      </c>
      <c r="F2000" s="8" t="s">
        <v>4456</v>
      </c>
      <c r="G2000" s="8" t="s">
        <v>4462</v>
      </c>
      <c r="H2000" s="3" t="s">
        <v>4454</v>
      </c>
      <c r="I2000" s="4">
        <v>1.4</v>
      </c>
      <c r="J2000" s="4" t="s">
        <v>4464</v>
      </c>
      <c r="K2000" s="4" t="s">
        <v>4410</v>
      </c>
      <c r="L2000" s="8">
        <v>884</v>
      </c>
      <c r="M2000" s="14" t="s">
        <v>4463</v>
      </c>
      <c r="N2000" s="14">
        <v>772</v>
      </c>
      <c r="O2000" s="110" t="s">
        <v>4468</v>
      </c>
      <c r="P2000" s="4"/>
      <c r="Q2000" s="8">
        <v>1.5</v>
      </c>
      <c r="X2000" s="13">
        <v>30.9451</v>
      </c>
      <c r="Y2000" s="13">
        <v>103.07769999999999</v>
      </c>
      <c r="Z2000" s="14">
        <v>2849</v>
      </c>
      <c r="AA2000" s="19" t="s">
        <v>4465</v>
      </c>
      <c r="AB2000" s="132" t="s">
        <v>4470</v>
      </c>
      <c r="AC2000" s="29"/>
    </row>
    <row r="2001" spans="1:29" s="8" customFormat="1" ht="21.75" customHeight="1" x14ac:dyDescent="0.2">
      <c r="A2001" s="8" t="s">
        <v>4453</v>
      </c>
      <c r="B2001" s="8" t="s">
        <v>4469</v>
      </c>
      <c r="C2001" s="8" t="s">
        <v>4467</v>
      </c>
      <c r="E2001" s="8" t="s">
        <v>280</v>
      </c>
      <c r="F2001" s="8" t="s">
        <v>4457</v>
      </c>
      <c r="G2001" s="8" t="s">
        <v>4461</v>
      </c>
      <c r="H2001" s="3" t="s">
        <v>4455</v>
      </c>
      <c r="I2001" s="4">
        <v>1</v>
      </c>
      <c r="J2001" s="4" t="s">
        <v>4464</v>
      </c>
      <c r="K2001" s="4" t="s">
        <v>4410</v>
      </c>
      <c r="L2001" s="8">
        <v>884</v>
      </c>
      <c r="M2001" s="14" t="s">
        <v>4463</v>
      </c>
      <c r="N2001" s="14">
        <v>772</v>
      </c>
      <c r="O2001" s="110" t="s">
        <v>4468</v>
      </c>
      <c r="P2001" s="4"/>
      <c r="Q2001" s="8">
        <v>1.5</v>
      </c>
      <c r="X2001" s="13">
        <v>30.9451</v>
      </c>
      <c r="Y2001" s="13">
        <v>103.07769999999999</v>
      </c>
      <c r="Z2001" s="14">
        <v>2849</v>
      </c>
      <c r="AA2001" s="132" t="s">
        <v>4466</v>
      </c>
      <c r="AB2001" s="137"/>
      <c r="AC2001" s="29"/>
    </row>
    <row r="2002" spans="1:29" s="8" customFormat="1" ht="21.75" customHeight="1" x14ac:dyDescent="0.2">
      <c r="A2002" s="8" t="s">
        <v>4453</v>
      </c>
      <c r="B2002" s="8" t="s">
        <v>4469</v>
      </c>
      <c r="C2002" s="8" t="s">
        <v>4467</v>
      </c>
      <c r="E2002" s="8" t="s">
        <v>398</v>
      </c>
      <c r="F2002" s="8" t="s">
        <v>4460</v>
      </c>
      <c r="G2002" s="8" t="s">
        <v>4459</v>
      </c>
      <c r="H2002" s="3" t="s">
        <v>4458</v>
      </c>
      <c r="I2002" s="4">
        <v>1</v>
      </c>
      <c r="J2002" s="4" t="s">
        <v>4464</v>
      </c>
      <c r="K2002" s="4" t="s">
        <v>4410</v>
      </c>
      <c r="L2002" s="8">
        <v>884</v>
      </c>
      <c r="M2002" s="14" t="s">
        <v>4463</v>
      </c>
      <c r="N2002" s="14">
        <v>772</v>
      </c>
      <c r="O2002" s="110" t="s">
        <v>4468</v>
      </c>
      <c r="P2002" s="4"/>
      <c r="Q2002" s="8">
        <v>1.5</v>
      </c>
      <c r="X2002" s="13">
        <v>30.9451</v>
      </c>
      <c r="Y2002" s="13">
        <v>103.07769999999999</v>
      </c>
      <c r="Z2002" s="14">
        <v>2849</v>
      </c>
      <c r="AA2002" s="133"/>
      <c r="AB2002" s="133"/>
      <c r="AC2002" s="29"/>
    </row>
    <row r="2003" spans="1:29" ht="21.75" customHeight="1" x14ac:dyDescent="0.2">
      <c r="A2003" s="7" t="s">
        <v>2465</v>
      </c>
      <c r="B2003" s="7" t="s">
        <v>2466</v>
      </c>
      <c r="C2003" s="7" t="s">
        <v>2467</v>
      </c>
      <c r="D2003" s="7" t="s">
        <v>2470</v>
      </c>
      <c r="E2003" s="7" t="s">
        <v>280</v>
      </c>
      <c r="F2003" s="7" t="s">
        <v>212</v>
      </c>
      <c r="G2003" s="7" t="s">
        <v>2468</v>
      </c>
      <c r="H2003" s="1" t="s">
        <v>2469</v>
      </c>
      <c r="I2003" s="2">
        <f>10.25*0.3048</f>
        <v>3.1242000000000001</v>
      </c>
      <c r="J2003" s="2" t="s">
        <v>4404</v>
      </c>
      <c r="K2003" s="2" t="s">
        <v>5783</v>
      </c>
      <c r="L2003" s="6">
        <f>22.34*25.4</f>
        <v>567.43599999999992</v>
      </c>
      <c r="Q2003" s="7" t="s">
        <v>2471</v>
      </c>
      <c r="R2003" s="7" t="s">
        <v>2473</v>
      </c>
      <c r="X2003" s="5">
        <v>46.872900000000001</v>
      </c>
      <c r="Y2003" s="5">
        <v>-96.787899999999993</v>
      </c>
      <c r="Z2003" s="6">
        <v>270</v>
      </c>
      <c r="AA2003" s="7" t="s">
        <v>2472</v>
      </c>
      <c r="AB2003" s="7" t="s">
        <v>2474</v>
      </c>
    </row>
    <row r="2004" spans="1:29" s="8" customFormat="1" ht="21.75" customHeight="1" x14ac:dyDescent="0.2">
      <c r="A2004" s="8" t="s">
        <v>2475</v>
      </c>
      <c r="B2004" s="8" t="s">
        <v>2480</v>
      </c>
      <c r="C2004" s="8" t="s">
        <v>2481</v>
      </c>
      <c r="D2004" s="8" t="s">
        <v>2482</v>
      </c>
      <c r="E2004" s="8" t="s">
        <v>736</v>
      </c>
      <c r="F2004" s="8" t="s">
        <v>212</v>
      </c>
      <c r="G2004" s="8" t="s">
        <v>2476</v>
      </c>
      <c r="H2004" s="3" t="s">
        <v>2477</v>
      </c>
      <c r="I2004" s="4">
        <f>5*0.3048</f>
        <v>1.524</v>
      </c>
      <c r="J2004" s="4" t="s">
        <v>4367</v>
      </c>
      <c r="K2004" s="4" t="s">
        <v>4480</v>
      </c>
      <c r="L2004" s="14">
        <f>27.5*25.4</f>
        <v>698.5</v>
      </c>
      <c r="M2004" s="14"/>
      <c r="N2004" s="14"/>
      <c r="O2004" s="110"/>
      <c r="P2004" s="4"/>
      <c r="R2004" s="43" t="s">
        <v>2486</v>
      </c>
      <c r="W2004" s="8" t="s">
        <v>94</v>
      </c>
      <c r="X2004" s="13">
        <v>54.285899999999998</v>
      </c>
      <c r="Y2004" s="13">
        <v>-0.56559999999999999</v>
      </c>
      <c r="Z2004" s="14">
        <v>218</v>
      </c>
      <c r="AA2004" s="8" t="s">
        <v>2489</v>
      </c>
      <c r="AB2004" s="138" t="s">
        <v>2492</v>
      </c>
    </row>
    <row r="2005" spans="1:29" s="8" customFormat="1" ht="21.75" customHeight="1" x14ac:dyDescent="0.2">
      <c r="A2005" s="8" t="s">
        <v>2475</v>
      </c>
      <c r="B2005" s="8" t="s">
        <v>2480</v>
      </c>
      <c r="C2005" s="8" t="s">
        <v>2481</v>
      </c>
      <c r="D2005" s="8" t="s">
        <v>2483</v>
      </c>
      <c r="E2005" s="8" t="s">
        <v>33</v>
      </c>
      <c r="F2005" s="8" t="s">
        <v>212</v>
      </c>
      <c r="G2005" s="8" t="s">
        <v>2241</v>
      </c>
      <c r="H2005" s="3" t="s">
        <v>2242</v>
      </c>
      <c r="I2005" s="4">
        <f>38.5*0.0254</f>
        <v>0.97789999999999999</v>
      </c>
      <c r="J2005" s="4" t="s">
        <v>4367</v>
      </c>
      <c r="K2005" s="4" t="s">
        <v>4480</v>
      </c>
      <c r="L2005" s="14">
        <f>27.5*25.4</f>
        <v>698.5</v>
      </c>
      <c r="M2005" s="14"/>
      <c r="N2005" s="14"/>
      <c r="O2005" s="110"/>
      <c r="P2005" s="4"/>
      <c r="R2005" s="43" t="s">
        <v>2486</v>
      </c>
      <c r="W2005" s="8" t="s">
        <v>94</v>
      </c>
      <c r="X2005" s="13">
        <v>54.2864</v>
      </c>
      <c r="Y2005" s="13">
        <v>-0.53939999999999999</v>
      </c>
      <c r="Z2005" s="14">
        <v>207</v>
      </c>
      <c r="AA2005" s="138" t="s">
        <v>2490</v>
      </c>
      <c r="AB2005" s="138"/>
    </row>
    <row r="2006" spans="1:29" s="8" customFormat="1" ht="21.75" customHeight="1" x14ac:dyDescent="0.2">
      <c r="A2006" s="8" t="s">
        <v>2475</v>
      </c>
      <c r="B2006" s="8" t="s">
        <v>2480</v>
      </c>
      <c r="C2006" s="8" t="s">
        <v>2481</v>
      </c>
      <c r="D2006" s="8" t="s">
        <v>2483</v>
      </c>
      <c r="E2006" s="8" t="s">
        <v>33</v>
      </c>
      <c r="F2006" s="8" t="s">
        <v>212</v>
      </c>
      <c r="G2006" s="8" t="s">
        <v>122</v>
      </c>
      <c r="H2006" s="3" t="s">
        <v>142</v>
      </c>
      <c r="I2006" s="4">
        <f>35*0.0254</f>
        <v>0.88900000000000001</v>
      </c>
      <c r="J2006" s="4" t="s">
        <v>4367</v>
      </c>
      <c r="K2006" s="4" t="s">
        <v>4480</v>
      </c>
      <c r="L2006" s="14">
        <f>27.5*25.4</f>
        <v>698.5</v>
      </c>
      <c r="M2006" s="14"/>
      <c r="N2006" s="14"/>
      <c r="O2006" s="110"/>
      <c r="P2006" s="4"/>
      <c r="R2006" s="43" t="s">
        <v>2486</v>
      </c>
      <c r="W2006" s="8" t="s">
        <v>94</v>
      </c>
      <c r="X2006" s="13">
        <v>54.2881</v>
      </c>
      <c r="Y2006" s="13">
        <v>-0.52859999999999996</v>
      </c>
      <c r="Z2006" s="14">
        <v>195</v>
      </c>
      <c r="AA2006" s="138"/>
      <c r="AB2006" s="138"/>
    </row>
    <row r="2007" spans="1:29" s="8" customFormat="1" ht="21.75" customHeight="1" x14ac:dyDescent="0.2">
      <c r="A2007" s="8" t="s">
        <v>2475</v>
      </c>
      <c r="B2007" s="8" t="s">
        <v>2480</v>
      </c>
      <c r="C2007" s="8" t="s">
        <v>2481</v>
      </c>
      <c r="D2007" s="8" t="s">
        <v>2483</v>
      </c>
      <c r="E2007" s="8" t="s">
        <v>33</v>
      </c>
      <c r="F2007" s="8" t="s">
        <v>212</v>
      </c>
      <c r="G2007" s="8" t="s">
        <v>2478</v>
      </c>
      <c r="H2007" s="3" t="s">
        <v>2479</v>
      </c>
      <c r="I2007" s="4">
        <f>32*0.0254</f>
        <v>0.81279999999999997</v>
      </c>
      <c r="J2007" s="4" t="s">
        <v>4367</v>
      </c>
      <c r="K2007" s="4" t="s">
        <v>4480</v>
      </c>
      <c r="L2007" s="14">
        <f>27.5*25.4</f>
        <v>698.5</v>
      </c>
      <c r="M2007" s="14"/>
      <c r="N2007" s="14"/>
      <c r="O2007" s="110"/>
      <c r="P2007" s="4"/>
      <c r="R2007" s="29" t="s">
        <v>2486</v>
      </c>
      <c r="W2007" s="8" t="s">
        <v>94</v>
      </c>
      <c r="X2007" s="13">
        <v>54.281799999999997</v>
      </c>
      <c r="Y2007" s="13">
        <v>-0.52390000000000003</v>
      </c>
      <c r="Z2007" s="14">
        <v>178</v>
      </c>
      <c r="AA2007" s="138"/>
      <c r="AB2007" s="138"/>
    </row>
    <row r="2008" spans="1:29" s="8" customFormat="1" ht="21.75" customHeight="1" x14ac:dyDescent="0.2">
      <c r="A2008" s="8" t="s">
        <v>2475</v>
      </c>
      <c r="B2008" s="8" t="s">
        <v>2480</v>
      </c>
      <c r="C2008" s="8" t="s">
        <v>2481</v>
      </c>
      <c r="D2008" s="8" t="s">
        <v>2484</v>
      </c>
      <c r="E2008" s="8" t="s">
        <v>33</v>
      </c>
      <c r="F2008" s="8" t="s">
        <v>212</v>
      </c>
      <c r="G2008" s="8" t="s">
        <v>2241</v>
      </c>
      <c r="H2008" s="3" t="s">
        <v>2242</v>
      </c>
      <c r="I2008" s="4">
        <f>3*0.0254</f>
        <v>7.619999999999999E-2</v>
      </c>
      <c r="J2008" s="4" t="s">
        <v>4367</v>
      </c>
      <c r="K2008" s="4" t="s">
        <v>4480</v>
      </c>
      <c r="L2008" s="14">
        <f>32.5*25.4</f>
        <v>825.5</v>
      </c>
      <c r="M2008" s="14"/>
      <c r="N2008" s="14"/>
      <c r="O2008" s="110"/>
      <c r="P2008" s="4"/>
      <c r="R2008" s="8" t="s">
        <v>2487</v>
      </c>
      <c r="W2008" s="8" t="s">
        <v>94</v>
      </c>
      <c r="X2008" s="13">
        <v>57.585500000000003</v>
      </c>
      <c r="Y2008" s="13">
        <v>-3.1798000000000002</v>
      </c>
      <c r="Z2008" s="14">
        <v>151</v>
      </c>
      <c r="AA2008" s="138"/>
      <c r="AB2008" s="8" t="s">
        <v>2493</v>
      </c>
    </row>
    <row r="2009" spans="1:29" s="8" customFormat="1" ht="21.75" customHeight="1" x14ac:dyDescent="0.2">
      <c r="A2009" s="8" t="s">
        <v>2475</v>
      </c>
      <c r="B2009" s="8" t="s">
        <v>2480</v>
      </c>
      <c r="C2009" s="8" t="s">
        <v>2481</v>
      </c>
      <c r="D2009" s="8" t="s">
        <v>2485</v>
      </c>
      <c r="E2009" s="8" t="s">
        <v>736</v>
      </c>
      <c r="F2009" s="8" t="s">
        <v>212</v>
      </c>
      <c r="G2009" s="8" t="s">
        <v>2476</v>
      </c>
      <c r="H2009" s="3" t="s">
        <v>2477</v>
      </c>
      <c r="I2009" s="4">
        <f>22.2*0.0254</f>
        <v>0.56387999999999994</v>
      </c>
      <c r="J2009" s="4" t="s">
        <v>4367</v>
      </c>
      <c r="K2009" s="4" t="s">
        <v>4480</v>
      </c>
      <c r="L2009" s="8">
        <f>35*25.4</f>
        <v>889</v>
      </c>
      <c r="M2009" s="14"/>
      <c r="N2009" s="14"/>
      <c r="O2009" s="110"/>
      <c r="P2009" s="4"/>
      <c r="R2009" s="43" t="s">
        <v>2488</v>
      </c>
      <c r="W2009" s="8" t="s">
        <v>94</v>
      </c>
      <c r="X2009" s="13">
        <v>57.3733</v>
      </c>
      <c r="Y2009" s="13">
        <v>-2.8595999999999999</v>
      </c>
      <c r="Z2009" s="14">
        <v>283</v>
      </c>
      <c r="AB2009" s="138" t="s">
        <v>2494</v>
      </c>
    </row>
    <row r="2010" spans="1:29" s="8" customFormat="1" ht="21.75" customHeight="1" x14ac:dyDescent="0.2">
      <c r="A2010" s="8" t="s">
        <v>2475</v>
      </c>
      <c r="B2010" s="8" t="s">
        <v>2480</v>
      </c>
      <c r="C2010" s="8" t="s">
        <v>2481</v>
      </c>
      <c r="D2010" s="8" t="s">
        <v>2485</v>
      </c>
      <c r="E2010" s="8" t="s">
        <v>33</v>
      </c>
      <c r="F2010" s="8" t="s">
        <v>212</v>
      </c>
      <c r="G2010" s="8" t="s">
        <v>1305</v>
      </c>
      <c r="H2010" s="3" t="s">
        <v>1306</v>
      </c>
      <c r="I2010" s="4">
        <f>3*0.0254</f>
        <v>7.619999999999999E-2</v>
      </c>
      <c r="J2010" s="4" t="s">
        <v>4367</v>
      </c>
      <c r="K2010" s="4" t="s">
        <v>4480</v>
      </c>
      <c r="L2010" s="8">
        <f>35*25.4</f>
        <v>889</v>
      </c>
      <c r="M2010" s="14"/>
      <c r="N2010" s="14"/>
      <c r="O2010" s="110"/>
      <c r="P2010" s="4"/>
      <c r="R2010" s="29" t="s">
        <v>2488</v>
      </c>
      <c r="W2010" s="8" t="s">
        <v>94</v>
      </c>
      <c r="X2010" s="13">
        <v>57.3767</v>
      </c>
      <c r="Y2010" s="13">
        <v>-2.8332999999999999</v>
      </c>
      <c r="Z2010" s="14">
        <v>230</v>
      </c>
      <c r="AA2010" s="8" t="s">
        <v>2491</v>
      </c>
      <c r="AB2010" s="138"/>
    </row>
    <row r="2011" spans="1:29" ht="21.75" customHeight="1" x14ac:dyDescent="0.2">
      <c r="A2011" s="7" t="s">
        <v>7255</v>
      </c>
      <c r="B2011" s="7" t="s">
        <v>7257</v>
      </c>
      <c r="C2011" s="7" t="s">
        <v>7259</v>
      </c>
      <c r="E2011" s="7" t="s">
        <v>263</v>
      </c>
      <c r="F2011" s="7" t="s">
        <v>212</v>
      </c>
      <c r="H2011" s="1" t="s">
        <v>7260</v>
      </c>
      <c r="I2011" s="2">
        <v>2</v>
      </c>
      <c r="J2011" s="2" t="s">
        <v>7256</v>
      </c>
      <c r="K2011" s="2" t="s">
        <v>4410</v>
      </c>
      <c r="L2011" s="7"/>
      <c r="R2011" s="23"/>
      <c r="W2011" s="7" t="s">
        <v>7258</v>
      </c>
      <c r="X2011" s="5">
        <v>18.899999999999999</v>
      </c>
      <c r="Y2011" s="5">
        <v>98.8</v>
      </c>
      <c r="Z2011" s="6">
        <v>1032</v>
      </c>
      <c r="AA2011" s="44" t="s">
        <v>7261</v>
      </c>
      <c r="AB2011" s="7" t="s">
        <v>7262</v>
      </c>
    </row>
    <row r="2012" spans="1:29" s="34" customFormat="1" ht="21.75" customHeight="1" x14ac:dyDescent="0.2">
      <c r="A2012" s="34" t="s">
        <v>5066</v>
      </c>
      <c r="B2012" s="34" t="s">
        <v>5070</v>
      </c>
      <c r="C2012" s="34" t="s">
        <v>5071</v>
      </c>
      <c r="D2012" s="34" t="s">
        <v>5069</v>
      </c>
      <c r="E2012" s="34" t="s">
        <v>33</v>
      </c>
      <c r="F2012" s="34" t="s">
        <v>212</v>
      </c>
      <c r="G2012" s="34" t="s">
        <v>4074</v>
      </c>
      <c r="H2012" s="35" t="s">
        <v>4071</v>
      </c>
      <c r="I2012" s="36">
        <v>1.25</v>
      </c>
      <c r="J2012" s="36" t="s">
        <v>5067</v>
      </c>
      <c r="K2012" s="36" t="s">
        <v>4410</v>
      </c>
      <c r="L2012" s="34">
        <v>860</v>
      </c>
      <c r="M2012" s="37" t="s">
        <v>5068</v>
      </c>
      <c r="N2012" s="37"/>
      <c r="O2012" s="120" t="s">
        <v>2648</v>
      </c>
      <c r="P2012" s="36"/>
      <c r="R2012" s="34" t="s">
        <v>5072</v>
      </c>
      <c r="W2012" s="34" t="s">
        <v>94</v>
      </c>
      <c r="X2012" s="38">
        <v>-33.367800000000003</v>
      </c>
      <c r="Y2012" s="38">
        <v>150.24260000000001</v>
      </c>
      <c r="Z2012" s="37">
        <v>1063</v>
      </c>
      <c r="AA2012" s="39" t="s">
        <v>5073</v>
      </c>
      <c r="AB2012" s="34" t="s">
        <v>5074</v>
      </c>
    </row>
    <row r="2013" spans="1:29" ht="21.75" customHeight="1" x14ac:dyDescent="0.2">
      <c r="A2013" s="7" t="s">
        <v>4610</v>
      </c>
      <c r="B2013" s="7" t="s">
        <v>4612</v>
      </c>
      <c r="D2013" s="7" t="s">
        <v>4613</v>
      </c>
      <c r="E2013" s="7" t="s">
        <v>263</v>
      </c>
      <c r="F2013" s="7" t="s">
        <v>212</v>
      </c>
      <c r="G2013" s="7" t="s">
        <v>4611</v>
      </c>
      <c r="H2013" s="1" t="s">
        <v>4617</v>
      </c>
      <c r="I2013" s="2">
        <v>5</v>
      </c>
      <c r="J2013" s="2" t="s">
        <v>4367</v>
      </c>
      <c r="K2013" s="2" t="s">
        <v>4410</v>
      </c>
      <c r="L2013" s="7">
        <v>367</v>
      </c>
      <c r="N2013" s="6">
        <v>2146</v>
      </c>
      <c r="R2013" s="7" t="s">
        <v>4619</v>
      </c>
      <c r="S2013" s="7" t="s">
        <v>4626</v>
      </c>
      <c r="T2013" s="7" t="s">
        <v>4623</v>
      </c>
      <c r="X2013" s="5">
        <v>-30.92</v>
      </c>
      <c r="Y2013" s="5">
        <v>146.5</v>
      </c>
      <c r="Z2013" s="6">
        <v>171</v>
      </c>
      <c r="AA2013" s="134" t="s">
        <v>4624</v>
      </c>
      <c r="AB2013" s="7" t="s">
        <v>4627</v>
      </c>
    </row>
    <row r="2014" spans="1:29" ht="21.75" customHeight="1" x14ac:dyDescent="0.2">
      <c r="A2014" s="7" t="s">
        <v>4610</v>
      </c>
      <c r="B2014" s="7" t="s">
        <v>4612</v>
      </c>
      <c r="D2014" s="7" t="s">
        <v>4614</v>
      </c>
      <c r="E2014" s="7" t="s">
        <v>263</v>
      </c>
      <c r="F2014" s="7" t="s">
        <v>212</v>
      </c>
      <c r="G2014" s="7" t="s">
        <v>4611</v>
      </c>
      <c r="H2014" s="1" t="s">
        <v>4616</v>
      </c>
      <c r="I2014" s="2">
        <v>1.2</v>
      </c>
      <c r="J2014" s="2" t="s">
        <v>4367</v>
      </c>
      <c r="K2014" s="2" t="s">
        <v>4410</v>
      </c>
      <c r="L2014" s="7">
        <v>602</v>
      </c>
      <c r="N2014" s="6">
        <v>1955</v>
      </c>
      <c r="R2014" s="7" t="s">
        <v>4620</v>
      </c>
      <c r="X2014" s="5">
        <v>-25.747800000000002</v>
      </c>
      <c r="Y2014" s="5">
        <v>148.40870000000001</v>
      </c>
      <c r="Z2014" s="6">
        <v>440</v>
      </c>
      <c r="AA2014" s="136"/>
      <c r="AB2014" s="7" t="s">
        <v>4625</v>
      </c>
    </row>
    <row r="2015" spans="1:29" ht="21.75" customHeight="1" x14ac:dyDescent="0.2">
      <c r="A2015" s="7" t="s">
        <v>4610</v>
      </c>
      <c r="B2015" s="7" t="s">
        <v>4612</v>
      </c>
      <c r="D2015" s="7" t="s">
        <v>4615</v>
      </c>
      <c r="E2015" s="7" t="s">
        <v>263</v>
      </c>
      <c r="F2015" s="7" t="s">
        <v>212</v>
      </c>
      <c r="G2015" s="7" t="s">
        <v>4611</v>
      </c>
      <c r="H2015" s="1" t="s">
        <v>4618</v>
      </c>
      <c r="I2015" s="2">
        <v>1.6</v>
      </c>
      <c r="J2015" s="2" t="s">
        <v>4367</v>
      </c>
      <c r="K2015" s="2" t="s">
        <v>4410</v>
      </c>
      <c r="L2015" s="7">
        <v>1103</v>
      </c>
      <c r="N2015" s="6">
        <v>1925</v>
      </c>
      <c r="R2015" s="7" t="s">
        <v>4621</v>
      </c>
      <c r="X2015" s="5">
        <v>-23.172599999999999</v>
      </c>
      <c r="Y2015" s="5">
        <v>150.56479999999999</v>
      </c>
      <c r="Z2015" s="6">
        <v>29</v>
      </c>
      <c r="AA2015" s="135"/>
      <c r="AB2015" s="7" t="s">
        <v>4622</v>
      </c>
    </row>
    <row r="2016" spans="1:29" s="8" customFormat="1" ht="21.75" customHeight="1" x14ac:dyDescent="0.2">
      <c r="A2016" s="8" t="s">
        <v>7339</v>
      </c>
      <c r="B2016" s="8" t="s">
        <v>7340</v>
      </c>
      <c r="C2016" s="8" t="s">
        <v>7350</v>
      </c>
      <c r="D2016" s="8" t="s">
        <v>7342</v>
      </c>
      <c r="E2016" s="8" t="s">
        <v>280</v>
      </c>
      <c r="F2016" s="8" t="s">
        <v>212</v>
      </c>
      <c r="G2016" s="8" t="s">
        <v>7309</v>
      </c>
      <c r="H2016" s="3" t="s">
        <v>7345</v>
      </c>
      <c r="I2016" s="4">
        <v>1.25</v>
      </c>
      <c r="J2016" s="4" t="s">
        <v>7346</v>
      </c>
      <c r="K2016" s="4" t="s">
        <v>4480</v>
      </c>
      <c r="M2016" s="14"/>
      <c r="N2016" s="14"/>
      <c r="O2016" s="110" t="s">
        <v>7343</v>
      </c>
      <c r="P2016" s="4" t="s">
        <v>7344</v>
      </c>
      <c r="Q2016" s="8">
        <v>1.25</v>
      </c>
      <c r="R2016" s="8" t="s">
        <v>2953</v>
      </c>
      <c r="W2016" s="8" t="s">
        <v>7349</v>
      </c>
      <c r="X2016" s="13">
        <v>51.462800000000001</v>
      </c>
      <c r="Y2016" s="13">
        <v>-0.93279999999999996</v>
      </c>
      <c r="Z2016" s="14">
        <v>35</v>
      </c>
      <c r="AA2016" s="107" t="s">
        <v>7348</v>
      </c>
      <c r="AB2016" s="8" t="s">
        <v>7347</v>
      </c>
    </row>
    <row r="2017" spans="1:28" ht="21.75" customHeight="1" x14ac:dyDescent="0.2">
      <c r="A2017" s="7" t="s">
        <v>5058</v>
      </c>
      <c r="B2017" s="7" t="s">
        <v>5059</v>
      </c>
      <c r="C2017" s="7" t="s">
        <v>188</v>
      </c>
      <c r="D2017" s="7" t="s">
        <v>7341</v>
      </c>
      <c r="E2017" s="7" t="s">
        <v>280</v>
      </c>
      <c r="F2017" s="7" t="s">
        <v>212</v>
      </c>
      <c r="G2017" s="7" t="s">
        <v>2054</v>
      </c>
      <c r="H2017" s="1" t="s">
        <v>201</v>
      </c>
      <c r="I2017" s="2">
        <v>1</v>
      </c>
      <c r="J2017" s="2" t="s">
        <v>4367</v>
      </c>
      <c r="K2017" s="2" t="s">
        <v>4410</v>
      </c>
      <c r="L2017" s="7">
        <v>534</v>
      </c>
      <c r="M2017" s="6" t="s">
        <v>5062</v>
      </c>
      <c r="O2017" s="45" t="s">
        <v>5065</v>
      </c>
      <c r="R2017" s="7" t="s">
        <v>5063</v>
      </c>
      <c r="W2017" s="7" t="s">
        <v>94</v>
      </c>
      <c r="X2017" s="5">
        <v>34.628300000000003</v>
      </c>
      <c r="Y2017" s="5">
        <v>105.67449999999999</v>
      </c>
      <c r="Z2017" s="6">
        <v>1444</v>
      </c>
      <c r="AA2017" s="134" t="s">
        <v>5064</v>
      </c>
    </row>
    <row r="2018" spans="1:28" ht="21.75" customHeight="1" x14ac:dyDescent="0.2">
      <c r="A2018" s="7" t="s">
        <v>5058</v>
      </c>
      <c r="B2018" s="7" t="s">
        <v>5059</v>
      </c>
      <c r="C2018" s="7" t="s">
        <v>188</v>
      </c>
      <c r="D2018" s="7" t="s">
        <v>7341</v>
      </c>
      <c r="E2018" s="7" t="s">
        <v>33</v>
      </c>
      <c r="F2018" s="7" t="s">
        <v>212</v>
      </c>
      <c r="G2018" s="7" t="s">
        <v>5060</v>
      </c>
      <c r="H2018" s="1" t="s">
        <v>5061</v>
      </c>
      <c r="I2018" s="2">
        <v>1</v>
      </c>
      <c r="J2018" s="2" t="s">
        <v>4367</v>
      </c>
      <c r="K2018" s="2" t="s">
        <v>4410</v>
      </c>
      <c r="L2018" s="7">
        <v>534</v>
      </c>
      <c r="M2018" s="6" t="s">
        <v>5062</v>
      </c>
      <c r="O2018" s="45" t="s">
        <v>5065</v>
      </c>
      <c r="R2018" s="7" t="s">
        <v>5063</v>
      </c>
      <c r="W2018" s="7" t="s">
        <v>94</v>
      </c>
      <c r="X2018" s="5">
        <v>34.6295</v>
      </c>
      <c r="Y2018" s="5">
        <v>105.6755</v>
      </c>
      <c r="Z2018" s="6">
        <v>1480</v>
      </c>
      <c r="AA2018" s="135"/>
    </row>
    <row r="2019" spans="1:28" s="8" customFormat="1" ht="21.75" customHeight="1" x14ac:dyDescent="0.2">
      <c r="A2019" s="8" t="s">
        <v>6633</v>
      </c>
      <c r="B2019" s="8" t="s">
        <v>6634</v>
      </c>
      <c r="C2019" s="8" t="s">
        <v>188</v>
      </c>
      <c r="D2019" s="8" t="s">
        <v>6635</v>
      </c>
      <c r="E2019" s="8" t="s">
        <v>398</v>
      </c>
      <c r="F2019" s="8" t="s">
        <v>6637</v>
      </c>
      <c r="H2019" s="3" t="s">
        <v>6638</v>
      </c>
      <c r="I2019" s="4">
        <v>1.05</v>
      </c>
      <c r="J2019" s="4" t="s">
        <v>4367</v>
      </c>
      <c r="K2019" s="4" t="s">
        <v>5713</v>
      </c>
      <c r="M2019" s="14"/>
      <c r="N2019" s="14"/>
      <c r="O2019" s="110" t="s">
        <v>6640</v>
      </c>
      <c r="P2019" s="4"/>
      <c r="X2019" s="13">
        <v>43.242400000000004</v>
      </c>
      <c r="Y2019" s="13">
        <v>77.218999999999994</v>
      </c>
      <c r="Z2019" s="14">
        <v>1300</v>
      </c>
      <c r="AA2019" s="19" t="s">
        <v>6636</v>
      </c>
      <c r="AB2019" s="8" t="s">
        <v>6639</v>
      </c>
    </row>
    <row r="2020" spans="1:28" ht="21.75" customHeight="1" x14ac:dyDescent="0.2">
      <c r="A2020" s="7" t="s">
        <v>6997</v>
      </c>
      <c r="B2020" s="7" t="s">
        <v>6998</v>
      </c>
      <c r="C2020" s="7" t="s">
        <v>46</v>
      </c>
      <c r="E2020" s="7" t="s">
        <v>398</v>
      </c>
      <c r="F2020" s="7" t="s">
        <v>214</v>
      </c>
      <c r="G2020" s="7" t="s">
        <v>7000</v>
      </c>
      <c r="H2020" s="1" t="s">
        <v>6999</v>
      </c>
      <c r="I2020" s="2">
        <v>4.5</v>
      </c>
      <c r="J2020" s="2" t="s">
        <v>4367</v>
      </c>
      <c r="K2020" s="2" t="s">
        <v>7003</v>
      </c>
      <c r="L2020" s="7">
        <v>160</v>
      </c>
      <c r="M2020" s="6" t="s">
        <v>7002</v>
      </c>
      <c r="N2020" s="6">
        <v>2000</v>
      </c>
      <c r="P2020" s="2" t="s">
        <v>7004</v>
      </c>
      <c r="Q2020" s="7">
        <v>5</v>
      </c>
      <c r="R2020" s="7" t="s">
        <v>7001</v>
      </c>
      <c r="X2020" s="5">
        <v>44.302700000000002</v>
      </c>
      <c r="Y2020" s="5">
        <v>87.941000000000003</v>
      </c>
      <c r="Z2020" s="6">
        <v>475</v>
      </c>
      <c r="AA2020" s="73" t="s">
        <v>7006</v>
      </c>
      <c r="AB2020" s="7" t="s">
        <v>7005</v>
      </c>
    </row>
    <row r="2021" spans="1:28" s="82" customFormat="1" ht="21.75" customHeight="1" x14ac:dyDescent="0.2">
      <c r="A2021" s="82" t="s">
        <v>7712</v>
      </c>
      <c r="B2021" s="82" t="s">
        <v>7714</v>
      </c>
      <c r="C2021" s="82" t="s">
        <v>7715</v>
      </c>
      <c r="D2021" s="82" t="s">
        <v>7716</v>
      </c>
      <c r="E2021" s="82" t="s">
        <v>33</v>
      </c>
      <c r="F2021" s="82" t="s">
        <v>214</v>
      </c>
      <c r="G2021" s="82" t="s">
        <v>7718</v>
      </c>
      <c r="H2021" s="83" t="s">
        <v>3094</v>
      </c>
      <c r="I2021" s="84" t="s">
        <v>7719</v>
      </c>
      <c r="J2021" s="84" t="s">
        <v>4404</v>
      </c>
      <c r="K2021" s="84" t="s">
        <v>4480</v>
      </c>
      <c r="L2021" s="82">
        <v>110</v>
      </c>
      <c r="M2021" s="85" t="s">
        <v>7721</v>
      </c>
      <c r="N2021" s="85"/>
      <c r="O2021" s="116" t="s">
        <v>7722</v>
      </c>
      <c r="P2021" s="84" t="s">
        <v>7723</v>
      </c>
      <c r="Q2021" s="82">
        <v>4.4000000000000004</v>
      </c>
      <c r="R2021" s="82" t="s">
        <v>7727</v>
      </c>
      <c r="W2021" s="82" t="s">
        <v>7695</v>
      </c>
      <c r="X2021" s="86">
        <v>39.378599999999999</v>
      </c>
      <c r="Y2021" s="86">
        <v>100.14749999999999</v>
      </c>
      <c r="Z2021" s="85">
        <v>1388</v>
      </c>
      <c r="AA2021" s="143" t="s">
        <v>7725</v>
      </c>
      <c r="AB2021" s="82" t="s">
        <v>7726</v>
      </c>
    </row>
    <row r="2022" spans="1:28" s="82" customFormat="1" ht="21.75" customHeight="1" x14ac:dyDescent="0.2">
      <c r="A2022" s="82" t="s">
        <v>7712</v>
      </c>
      <c r="B2022" s="82" t="s">
        <v>7714</v>
      </c>
      <c r="C2022" s="82" t="s">
        <v>7715</v>
      </c>
      <c r="D2022" s="82" t="s">
        <v>7717</v>
      </c>
      <c r="E2022" s="82" t="s">
        <v>33</v>
      </c>
      <c r="F2022" s="82" t="s">
        <v>214</v>
      </c>
      <c r="G2022" s="82" t="s">
        <v>7718</v>
      </c>
      <c r="H2022" s="83" t="s">
        <v>3094</v>
      </c>
      <c r="I2022" s="84" t="s">
        <v>7720</v>
      </c>
      <c r="J2022" s="84" t="s">
        <v>4404</v>
      </c>
      <c r="K2022" s="84" t="s">
        <v>4480</v>
      </c>
      <c r="L2022" s="82">
        <v>110</v>
      </c>
      <c r="M2022" s="85" t="s">
        <v>7721</v>
      </c>
      <c r="N2022" s="85"/>
      <c r="O2022" s="116" t="s">
        <v>7722</v>
      </c>
      <c r="P2022" s="84" t="s">
        <v>7724</v>
      </c>
      <c r="Q2022" s="82">
        <v>4.5599999999999996</v>
      </c>
      <c r="R2022" s="82" t="s">
        <v>7727</v>
      </c>
      <c r="W2022" s="82" t="s">
        <v>7713</v>
      </c>
      <c r="X2022" s="86">
        <v>39.349499999999999</v>
      </c>
      <c r="Y2022" s="86">
        <v>100.1328</v>
      </c>
      <c r="Z2022" s="85">
        <v>1386</v>
      </c>
      <c r="AA2022" s="144"/>
      <c r="AB2022" s="82" t="s">
        <v>7726</v>
      </c>
    </row>
    <row r="2023" spans="1:28" ht="21.75" customHeight="1" x14ac:dyDescent="0.2">
      <c r="I2023" s="2">
        <f>MIN(I3:I2022)</f>
        <v>7.0000000000000001E-3</v>
      </c>
      <c r="J2023" s="2"/>
      <c r="K2023" s="2"/>
    </row>
    <row r="2024" spans="1:28" ht="21.75" customHeight="1" x14ac:dyDescent="0.2">
      <c r="I2024" s="2">
        <f>MAX(I3:I2022)</f>
        <v>70</v>
      </c>
      <c r="J2024" s="2"/>
      <c r="K2024" s="2"/>
    </row>
    <row r="2025" spans="1:28" ht="21.75" customHeight="1" x14ac:dyDescent="0.2">
      <c r="I2025" s="2">
        <f>AVERAGE(I3:I2022)</f>
        <v>2.4636312669141951</v>
      </c>
    </row>
  </sheetData>
  <autoFilter ref="A1:AC2025" xr:uid="{00000000-0001-0000-0000-000000000000}">
    <filterColumn colId="4" showButton="0"/>
    <filterColumn colId="5" showButton="0"/>
    <filterColumn colId="6" showButton="0"/>
    <filterColumn colId="11" showButton="0"/>
    <filterColumn colId="12" showButton="0"/>
    <filterColumn colId="14" showButton="0"/>
    <filterColumn colId="15" showButton="0"/>
    <filterColumn colId="17" showButton="0"/>
    <filterColumn colId="18" showButton="0"/>
    <filterColumn colId="19" showButton="0"/>
    <filterColumn colId="20" showButton="0"/>
  </autoFilter>
  <mergeCells count="260">
    <mergeCell ref="AB8:AB13"/>
    <mergeCell ref="AB1430:AB1433"/>
    <mergeCell ref="AB325:AB326"/>
    <mergeCell ref="AA325:AA326"/>
    <mergeCell ref="AB162:AB163"/>
    <mergeCell ref="AA162:AA163"/>
    <mergeCell ref="AB1024:AB1025"/>
    <mergeCell ref="AA1024:AA1025"/>
    <mergeCell ref="AA485:AA486"/>
    <mergeCell ref="AB925:AB929"/>
    <mergeCell ref="AB998:AB1001"/>
    <mergeCell ref="AA289:AA297"/>
    <mergeCell ref="AA298:AA303"/>
    <mergeCell ref="AB211:AB212"/>
    <mergeCell ref="AA308:AA309"/>
    <mergeCell ref="AB213:AB219"/>
    <mergeCell ref="AB220:AB224"/>
    <mergeCell ref="AA400:AA402"/>
    <mergeCell ref="AA371:AA372"/>
    <mergeCell ref="AA434:AA439"/>
    <mergeCell ref="AA414:AA417"/>
    <mergeCell ref="AB414:AB415"/>
    <mergeCell ref="AA440:AA446"/>
    <mergeCell ref="AA960:AA961"/>
    <mergeCell ref="AB1214:AB1223"/>
    <mergeCell ref="AA1214:AA1223"/>
    <mergeCell ref="AB869:AB882"/>
    <mergeCell ref="AA398:AA399"/>
    <mergeCell ref="AA897:AA898"/>
    <mergeCell ref="AB579:AB580"/>
    <mergeCell ref="AB713:AB715"/>
    <mergeCell ref="AA915:AA916"/>
    <mergeCell ref="AB915:AB916"/>
    <mergeCell ref="AA857:AA858"/>
    <mergeCell ref="AA628:AA631"/>
    <mergeCell ref="AA703:AA705"/>
    <mergeCell ref="AA706:AA707"/>
    <mergeCell ref="AB684:AB689"/>
    <mergeCell ref="AB690:AB691"/>
    <mergeCell ref="AB1161:AB1162"/>
    <mergeCell ref="AB718:AB720"/>
    <mergeCell ref="AA701:AA702"/>
    <mergeCell ref="AA1165:AA1167"/>
    <mergeCell ref="AA1150:AA1153"/>
    <mergeCell ref="AB975:AB977"/>
    <mergeCell ref="AA975:AA977"/>
    <mergeCell ref="AA1138:AA1141"/>
    <mergeCell ref="AA1086:AA1087"/>
    <mergeCell ref="AB1086:AB1087"/>
    <mergeCell ref="AA895:AA896"/>
    <mergeCell ref="AB895:AB896"/>
    <mergeCell ref="AA1242:AA1243"/>
    <mergeCell ref="AA2013:AA2015"/>
    <mergeCell ref="AB2009:AB2010"/>
    <mergeCell ref="AB1963:AB1965"/>
    <mergeCell ref="AB1955:AB1961"/>
    <mergeCell ref="AB1966:AB1967"/>
    <mergeCell ref="AB1946:AB1954"/>
    <mergeCell ref="AA1998:AA1999"/>
    <mergeCell ref="AA2001:AA2002"/>
    <mergeCell ref="AB2000:AB2002"/>
    <mergeCell ref="AA2005:AA2008"/>
    <mergeCell ref="AB2004:AB2007"/>
    <mergeCell ref="AB1979:AB1981"/>
    <mergeCell ref="AA1976:AA1978"/>
    <mergeCell ref="AA1979:AA1982"/>
    <mergeCell ref="AB1975:AB1977"/>
    <mergeCell ref="AA1983:AA1984"/>
    <mergeCell ref="AA1806:AA1810"/>
    <mergeCell ref="AA1596:AA1598"/>
    <mergeCell ref="AA962:AA963"/>
    <mergeCell ref="AC1:AC2"/>
    <mergeCell ref="AB482:AB483"/>
    <mergeCell ref="AB108:AB110"/>
    <mergeCell ref="AA108:AA109"/>
    <mergeCell ref="AA110:AA111"/>
    <mergeCell ref="AB1916:AB1931"/>
    <mergeCell ref="AA374:AA375"/>
    <mergeCell ref="AB1932:AB1935"/>
    <mergeCell ref="AB1936:AB1938"/>
    <mergeCell ref="AA1113:AA1114"/>
    <mergeCell ref="AA1115:AA1116"/>
    <mergeCell ref="AB1111:AB1113"/>
    <mergeCell ref="AA599:AA600"/>
    <mergeCell ref="AA554:AA556"/>
    <mergeCell ref="AA723:AA724"/>
    <mergeCell ref="AA859:AA860"/>
    <mergeCell ref="AB883:AB886"/>
    <mergeCell ref="AA1158:AA1160"/>
    <mergeCell ref="AA1605:AA1607"/>
    <mergeCell ref="AB1802:AB1804"/>
    <mergeCell ref="AB1904:AB1908"/>
    <mergeCell ref="AB1898:AB1903"/>
    <mergeCell ref="AB1866:AB1874"/>
    <mergeCell ref="AA1200:AA1208"/>
    <mergeCell ref="AB1474:AB1477"/>
    <mergeCell ref="AA1378:AA1380"/>
    <mergeCell ref="AA1269:AA1286"/>
    <mergeCell ref="AA1447:AA1471"/>
    <mergeCell ref="AB1455:AB1471"/>
    <mergeCell ref="AB1289:AB1290"/>
    <mergeCell ref="AA1599:AA1600"/>
    <mergeCell ref="AB1600:AB1601"/>
    <mergeCell ref="AA1353:AA1355"/>
    <mergeCell ref="AA1348:AA1350"/>
    <mergeCell ref="AB1561:AB1564"/>
    <mergeCell ref="AB1565:AB1572"/>
    <mergeCell ref="AA1571:AA1575"/>
    <mergeCell ref="AB1375:AB1377"/>
    <mergeCell ref="AA1561:AA1563"/>
    <mergeCell ref="AA1565:AA1566"/>
    <mergeCell ref="AB1507:AB1508"/>
    <mergeCell ref="AA1432:AA1433"/>
    <mergeCell ref="AB1282:AB1286"/>
    <mergeCell ref="O1197:O1199"/>
    <mergeCell ref="AA1197:AA1199"/>
    <mergeCell ref="AB1197:AB1199"/>
    <mergeCell ref="AB1244:AB1252"/>
    <mergeCell ref="AA1091:AA1102"/>
    <mergeCell ref="AA1142:AA1144"/>
    <mergeCell ref="AA925:AA929"/>
    <mergeCell ref="AB1195:AB1196"/>
    <mergeCell ref="AA947:AA951"/>
    <mergeCell ref="AB947:AB949"/>
    <mergeCell ref="AA1038:AA1043"/>
    <mergeCell ref="AA1044:AA1048"/>
    <mergeCell ref="AA1049:AA1054"/>
    <mergeCell ref="AA1055:AA1062"/>
    <mergeCell ref="AA1192:AA1194"/>
    <mergeCell ref="AA1007:AA1008"/>
    <mergeCell ref="AB1007:AB1008"/>
    <mergeCell ref="AA1195:AA1196"/>
    <mergeCell ref="AB1242:AB1243"/>
    <mergeCell ref="AA1111:AA1112"/>
    <mergeCell ref="AA1133:AA1137"/>
    <mergeCell ref="AB1133:AB1137"/>
    <mergeCell ref="AB1154:AB1156"/>
    <mergeCell ref="AB1114:AB1123"/>
    <mergeCell ref="AA463:AA468"/>
    <mergeCell ref="AA369:AA370"/>
    <mergeCell ref="AB588:AB590"/>
    <mergeCell ref="AA588:AA590"/>
    <mergeCell ref="AA488:AA489"/>
    <mergeCell ref="AA213:AA217"/>
    <mergeCell ref="AA218:AA226"/>
    <mergeCell ref="AA227:AA232"/>
    <mergeCell ref="AA233:AA240"/>
    <mergeCell ref="AA241:AA248"/>
    <mergeCell ref="AB243:AB248"/>
    <mergeCell ref="AA249:AA256"/>
    <mergeCell ref="AB451:AB452"/>
    <mergeCell ref="AB225:AB229"/>
    <mergeCell ref="AA432:AA433"/>
    <mergeCell ref="AB432:AB433"/>
    <mergeCell ref="AB105:AB107"/>
    <mergeCell ref="AA363:AA367"/>
    <mergeCell ref="AB123:AB126"/>
    <mergeCell ref="AB127:AB131"/>
    <mergeCell ref="AA123:AA127"/>
    <mergeCell ref="AA143:AA144"/>
    <mergeCell ref="AA331:AA335"/>
    <mergeCell ref="AB180:AB181"/>
    <mergeCell ref="AB191:AB192"/>
    <mergeCell ref="AB327:AB329"/>
    <mergeCell ref="AA141:AA142"/>
    <mergeCell ref="AB141:AB142"/>
    <mergeCell ref="AA191:AA194"/>
    <mergeCell ref="AA180:AA181"/>
    <mergeCell ref="AA320:AA321"/>
    <mergeCell ref="AA257:AA261"/>
    <mergeCell ref="AA262:AA269"/>
    <mergeCell ref="AA273:AA281"/>
    <mergeCell ref="AB273:AB281"/>
    <mergeCell ref="AA282:AA288"/>
    <mergeCell ref="AB282:AB288"/>
    <mergeCell ref="AB143:AB144"/>
    <mergeCell ref="AB193:AB194"/>
    <mergeCell ref="K1:K2"/>
    <mergeCell ref="AB25:AB30"/>
    <mergeCell ref="AA25:AA26"/>
    <mergeCell ref="AA27:AA28"/>
    <mergeCell ref="AA29:AA30"/>
    <mergeCell ref="AA8:AA13"/>
    <mergeCell ref="AB392:AB393"/>
    <mergeCell ref="AB400:AB402"/>
    <mergeCell ref="AA35:AA38"/>
    <mergeCell ref="AB97:AB100"/>
    <mergeCell ref="AB59:AB62"/>
    <mergeCell ref="AA104:AA107"/>
    <mergeCell ref="AA58:AA59"/>
    <mergeCell ref="AA61:AA64"/>
    <mergeCell ref="AB42:AB44"/>
    <mergeCell ref="AA112:AA113"/>
    <mergeCell ref="AB112:AB113"/>
    <mergeCell ref="AB39:AB41"/>
    <mergeCell ref="AA39:AA41"/>
    <mergeCell ref="AA69:AA73"/>
    <mergeCell ref="AB69:AB73"/>
    <mergeCell ref="AA49:AA50"/>
    <mergeCell ref="AA54:AA56"/>
    <mergeCell ref="AB49:AB50"/>
    <mergeCell ref="AA2021:AA2022"/>
    <mergeCell ref="AB1211:AB1212"/>
    <mergeCell ref="AA761:AA762"/>
    <mergeCell ref="AB758:AB759"/>
    <mergeCell ref="AB761:AB762"/>
    <mergeCell ref="AB1034:AB1035"/>
    <mergeCell ref="AA16:AA17"/>
    <mergeCell ref="AA31:AA32"/>
    <mergeCell ref="A1:A2"/>
    <mergeCell ref="AB1:AB2"/>
    <mergeCell ref="AA1:AA2"/>
    <mergeCell ref="D1:D2"/>
    <mergeCell ref="L1:N1"/>
    <mergeCell ref="O1:Q1"/>
    <mergeCell ref="R1:V1"/>
    <mergeCell ref="B1:B2"/>
    <mergeCell ref="C1:C2"/>
    <mergeCell ref="Y1:Y2"/>
    <mergeCell ref="Z1:Z2"/>
    <mergeCell ref="I1:I2"/>
    <mergeCell ref="W1:W2"/>
    <mergeCell ref="X1:X2"/>
    <mergeCell ref="E1:H1"/>
    <mergeCell ref="J1:J2"/>
    <mergeCell ref="AA1009:AA1010"/>
    <mergeCell ref="AA973:AA974"/>
    <mergeCell ref="AB973:AB974"/>
    <mergeCell ref="AA2017:AA2018"/>
    <mergeCell ref="AB656:AB658"/>
    <mergeCell ref="AB628:AB629"/>
    <mergeCell ref="AA640:AA645"/>
    <mergeCell ref="AA923:AA924"/>
    <mergeCell ref="AA965:AA967"/>
    <mergeCell ref="AB1165:AB1167"/>
    <mergeCell ref="AB1105:AB1108"/>
    <mergeCell ref="AB677:AB682"/>
    <mergeCell ref="AA677:AA682"/>
    <mergeCell ref="AA1602:AA1603"/>
    <mergeCell ref="AB1602:AB1603"/>
    <mergeCell ref="AB630:AB631"/>
    <mergeCell ref="AA1567:AA1570"/>
    <mergeCell ref="AA728:AA729"/>
    <mergeCell ref="AB1409:AB1410"/>
    <mergeCell ref="AA1609:AA1612"/>
    <mergeCell ref="AA1507:AA1508"/>
    <mergeCell ref="AB1257:AB1259"/>
    <mergeCell ref="AA1442:AA1444"/>
    <mergeCell ref="AA1445:AA1446"/>
    <mergeCell ref="AA585:AA586"/>
    <mergeCell ref="AA591:AA592"/>
    <mergeCell ref="AA593:AA594"/>
    <mergeCell ref="AA595:AA596"/>
    <mergeCell ref="AB659:AB666"/>
    <mergeCell ref="AA613:AA614"/>
    <mergeCell ref="AB965:AB967"/>
    <mergeCell ref="AA754:AA755"/>
    <mergeCell ref="AB754:AB755"/>
    <mergeCell ref="AA615:AA617"/>
    <mergeCell ref="AB591:AB603"/>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9.16406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9.16406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Rutgers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 Fan Reinfelder</dc:creator>
  <cp:lastModifiedBy>Microsoft Office User</cp:lastModifiedBy>
  <cp:lastPrinted>2015-08-01T17:24:36Z</cp:lastPrinted>
  <dcterms:created xsi:type="dcterms:W3CDTF">2014-01-17T20:06:38Z</dcterms:created>
  <dcterms:modified xsi:type="dcterms:W3CDTF">2022-11-09T15:14:04Z</dcterms:modified>
</cp:coreProperties>
</file>