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jakeholden/Dropbox/MapleSeed/Thesis/Empirical/Test_data/"/>
    </mc:Choice>
  </mc:AlternateContent>
  <bookViews>
    <workbookView xWindow="0" yWindow="460" windowWidth="25600" windowHeight="14820" tabRatio="500" activeTab="3"/>
  </bookViews>
  <sheets>
    <sheet name="Summary" sheetId="4" r:id="rId1"/>
    <sheet name="Sheet1" sheetId="1" r:id="rId2"/>
    <sheet name="Uncertainty summary" sheetId="5" r:id="rId3"/>
    <sheet name="Seed_Collection" sheetId="2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76" i="1" l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AG193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AG175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AG157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AG139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AG121" i="1"/>
  <c r="L82" i="1"/>
  <c r="S82" i="1"/>
  <c r="AH82" i="1"/>
  <c r="L83" i="1"/>
  <c r="S83" i="1"/>
  <c r="AH83" i="1"/>
  <c r="L84" i="1"/>
  <c r="S84" i="1"/>
  <c r="AH84" i="1"/>
  <c r="L85" i="1"/>
  <c r="S85" i="1"/>
  <c r="AH85" i="1"/>
  <c r="L86" i="1"/>
  <c r="S86" i="1"/>
  <c r="AH86" i="1"/>
  <c r="L87" i="1"/>
  <c r="S87" i="1"/>
  <c r="AH87" i="1"/>
  <c r="L88" i="1"/>
  <c r="S88" i="1"/>
  <c r="AH88" i="1"/>
  <c r="L89" i="1"/>
  <c r="S89" i="1"/>
  <c r="AH89" i="1"/>
  <c r="L90" i="1"/>
  <c r="S90" i="1"/>
  <c r="AH90" i="1"/>
  <c r="L91" i="1"/>
  <c r="S91" i="1"/>
  <c r="AH91" i="1"/>
  <c r="L92" i="1"/>
  <c r="S92" i="1"/>
  <c r="AH92" i="1"/>
  <c r="L93" i="1"/>
  <c r="S93" i="1"/>
  <c r="AH93" i="1"/>
  <c r="L94" i="1"/>
  <c r="S94" i="1"/>
  <c r="AH94" i="1"/>
  <c r="L95" i="1"/>
  <c r="S95" i="1"/>
  <c r="AH95" i="1"/>
  <c r="L96" i="1"/>
  <c r="S96" i="1"/>
  <c r="AH96" i="1"/>
  <c r="L97" i="1"/>
  <c r="S97" i="1"/>
  <c r="AH97" i="1"/>
  <c r="L98" i="1"/>
  <c r="S98" i="1"/>
  <c r="AH98" i="1"/>
  <c r="L99" i="1"/>
  <c r="S99" i="1"/>
  <c r="AH99" i="1"/>
  <c r="AI99" i="1"/>
  <c r="L64" i="1"/>
  <c r="S64" i="1"/>
  <c r="AH64" i="1"/>
  <c r="L65" i="1"/>
  <c r="S65" i="1"/>
  <c r="AH65" i="1"/>
  <c r="L66" i="1"/>
  <c r="S66" i="1"/>
  <c r="AH66" i="1"/>
  <c r="L67" i="1"/>
  <c r="S67" i="1"/>
  <c r="AH67" i="1"/>
  <c r="L68" i="1"/>
  <c r="S68" i="1"/>
  <c r="AH68" i="1"/>
  <c r="L69" i="1"/>
  <c r="S69" i="1"/>
  <c r="AH69" i="1"/>
  <c r="L70" i="1"/>
  <c r="S70" i="1"/>
  <c r="AH70" i="1"/>
  <c r="L71" i="1"/>
  <c r="S71" i="1"/>
  <c r="AH71" i="1"/>
  <c r="L72" i="1"/>
  <c r="S72" i="1"/>
  <c r="AH72" i="1"/>
  <c r="L73" i="1"/>
  <c r="S73" i="1"/>
  <c r="AH73" i="1"/>
  <c r="L74" i="1"/>
  <c r="S74" i="1"/>
  <c r="AH74" i="1"/>
  <c r="L75" i="1"/>
  <c r="S75" i="1"/>
  <c r="AH75" i="1"/>
  <c r="L76" i="1"/>
  <c r="S76" i="1"/>
  <c r="AH76" i="1"/>
  <c r="L77" i="1"/>
  <c r="S77" i="1"/>
  <c r="AH77" i="1"/>
  <c r="L78" i="1"/>
  <c r="S78" i="1"/>
  <c r="AH78" i="1"/>
  <c r="L79" i="1"/>
  <c r="S79" i="1"/>
  <c r="AH79" i="1"/>
  <c r="L80" i="1"/>
  <c r="S80" i="1"/>
  <c r="AH80" i="1"/>
  <c r="L81" i="1"/>
  <c r="S81" i="1"/>
  <c r="AH81" i="1"/>
  <c r="AI81" i="1"/>
  <c r="L46" i="1"/>
  <c r="S46" i="1"/>
  <c r="AH46" i="1"/>
  <c r="L47" i="1"/>
  <c r="S47" i="1"/>
  <c r="AH47" i="1"/>
  <c r="L48" i="1"/>
  <c r="S48" i="1"/>
  <c r="AH48" i="1"/>
  <c r="L49" i="1"/>
  <c r="S49" i="1"/>
  <c r="AH49" i="1"/>
  <c r="L50" i="1"/>
  <c r="S50" i="1"/>
  <c r="AH50" i="1"/>
  <c r="L51" i="1"/>
  <c r="S51" i="1"/>
  <c r="AH51" i="1"/>
  <c r="L52" i="1"/>
  <c r="S52" i="1"/>
  <c r="AH52" i="1"/>
  <c r="L53" i="1"/>
  <c r="S53" i="1"/>
  <c r="AH53" i="1"/>
  <c r="L54" i="1"/>
  <c r="S54" i="1"/>
  <c r="AH54" i="1"/>
  <c r="L55" i="1"/>
  <c r="S55" i="1"/>
  <c r="AH55" i="1"/>
  <c r="L56" i="1"/>
  <c r="S56" i="1"/>
  <c r="AH56" i="1"/>
  <c r="L57" i="1"/>
  <c r="S57" i="1"/>
  <c r="AH57" i="1"/>
  <c r="L58" i="1"/>
  <c r="S58" i="1"/>
  <c r="AH58" i="1"/>
  <c r="L59" i="1"/>
  <c r="S59" i="1"/>
  <c r="AH59" i="1"/>
  <c r="L60" i="1"/>
  <c r="S60" i="1"/>
  <c r="AH60" i="1"/>
  <c r="L61" i="1"/>
  <c r="S61" i="1"/>
  <c r="AH61" i="1"/>
  <c r="L62" i="1"/>
  <c r="S62" i="1"/>
  <c r="AH62" i="1"/>
  <c r="L63" i="1"/>
  <c r="S63" i="1"/>
  <c r="AH63" i="1"/>
  <c r="AI63" i="1"/>
  <c r="L28" i="1"/>
  <c r="S28" i="1"/>
  <c r="AH28" i="1"/>
  <c r="L29" i="1"/>
  <c r="S29" i="1"/>
  <c r="AH29" i="1"/>
  <c r="L30" i="1"/>
  <c r="S30" i="1"/>
  <c r="AH30" i="1"/>
  <c r="L31" i="1"/>
  <c r="S31" i="1"/>
  <c r="AH31" i="1"/>
  <c r="L32" i="1"/>
  <c r="S32" i="1"/>
  <c r="AH32" i="1"/>
  <c r="L33" i="1"/>
  <c r="S33" i="1"/>
  <c r="AH33" i="1"/>
  <c r="L34" i="1"/>
  <c r="S34" i="1"/>
  <c r="AH34" i="1"/>
  <c r="L35" i="1"/>
  <c r="S35" i="1"/>
  <c r="AH35" i="1"/>
  <c r="L36" i="1"/>
  <c r="S36" i="1"/>
  <c r="AH36" i="1"/>
  <c r="L37" i="1"/>
  <c r="S37" i="1"/>
  <c r="AH37" i="1"/>
  <c r="L38" i="1"/>
  <c r="S38" i="1"/>
  <c r="AH38" i="1"/>
  <c r="L39" i="1"/>
  <c r="S39" i="1"/>
  <c r="AH39" i="1"/>
  <c r="L40" i="1"/>
  <c r="S40" i="1"/>
  <c r="AH40" i="1"/>
  <c r="L41" i="1"/>
  <c r="S41" i="1"/>
  <c r="AH41" i="1"/>
  <c r="L42" i="1"/>
  <c r="S42" i="1"/>
  <c r="AH42" i="1"/>
  <c r="L43" i="1"/>
  <c r="S43" i="1"/>
  <c r="AH43" i="1"/>
  <c r="L44" i="1"/>
  <c r="S44" i="1"/>
  <c r="AH44" i="1"/>
  <c r="L45" i="1"/>
  <c r="S45" i="1"/>
  <c r="AH45" i="1"/>
  <c r="AI45" i="1"/>
  <c r="L10" i="1"/>
  <c r="S10" i="1"/>
  <c r="AH10" i="1"/>
  <c r="L11" i="1"/>
  <c r="S11" i="1"/>
  <c r="AH11" i="1"/>
  <c r="L12" i="1"/>
  <c r="S12" i="1"/>
  <c r="AH12" i="1"/>
  <c r="L13" i="1"/>
  <c r="S13" i="1"/>
  <c r="AH13" i="1"/>
  <c r="L14" i="1"/>
  <c r="S14" i="1"/>
  <c r="AH14" i="1"/>
  <c r="L15" i="1"/>
  <c r="S15" i="1"/>
  <c r="AH15" i="1"/>
  <c r="L16" i="1"/>
  <c r="S16" i="1"/>
  <c r="AH16" i="1"/>
  <c r="L17" i="1"/>
  <c r="S17" i="1"/>
  <c r="AH17" i="1"/>
  <c r="L18" i="1"/>
  <c r="S18" i="1"/>
  <c r="AH18" i="1"/>
  <c r="L19" i="1"/>
  <c r="S19" i="1"/>
  <c r="AH19" i="1"/>
  <c r="L20" i="1"/>
  <c r="S20" i="1"/>
  <c r="AH20" i="1"/>
  <c r="L21" i="1"/>
  <c r="S21" i="1"/>
  <c r="AH21" i="1"/>
  <c r="L22" i="1"/>
  <c r="S22" i="1"/>
  <c r="AH22" i="1"/>
  <c r="L23" i="1"/>
  <c r="S23" i="1"/>
  <c r="AH23" i="1"/>
  <c r="L24" i="1"/>
  <c r="S24" i="1"/>
  <c r="AH24" i="1"/>
  <c r="L25" i="1"/>
  <c r="S25" i="1"/>
  <c r="AH25" i="1"/>
  <c r="L26" i="1"/>
  <c r="S26" i="1"/>
  <c r="AH26" i="1"/>
  <c r="L27" i="1"/>
  <c r="S27" i="1"/>
  <c r="AH27" i="1"/>
  <c r="AI27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AG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AG99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AG63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AG45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AG27" i="1"/>
  <c r="O10" i="1"/>
  <c r="P10" i="1"/>
  <c r="Q10" i="1"/>
  <c r="R10" i="1"/>
  <c r="T10" i="1"/>
  <c r="AC10" i="1"/>
  <c r="AA10" i="1"/>
  <c r="AB10" i="1"/>
  <c r="AD10" i="1"/>
  <c r="AE10" i="1"/>
  <c r="R11" i="1"/>
  <c r="T11" i="1"/>
  <c r="AC11" i="1"/>
  <c r="AA11" i="1"/>
  <c r="AB11" i="1"/>
  <c r="AD11" i="1"/>
  <c r="AE11" i="1"/>
  <c r="R12" i="1"/>
  <c r="T12" i="1"/>
  <c r="AC12" i="1"/>
  <c r="AA12" i="1"/>
  <c r="AB12" i="1"/>
  <c r="AD12" i="1"/>
  <c r="AE12" i="1"/>
  <c r="R13" i="1"/>
  <c r="T13" i="1"/>
  <c r="AC13" i="1"/>
  <c r="AA13" i="1"/>
  <c r="AB13" i="1"/>
  <c r="AD13" i="1"/>
  <c r="AE13" i="1"/>
  <c r="R14" i="1"/>
  <c r="T14" i="1"/>
  <c r="AC14" i="1"/>
  <c r="AA14" i="1"/>
  <c r="AB14" i="1"/>
  <c r="AD14" i="1"/>
  <c r="AE14" i="1"/>
  <c r="R15" i="1"/>
  <c r="T15" i="1"/>
  <c r="AC15" i="1"/>
  <c r="AA15" i="1"/>
  <c r="AB15" i="1"/>
  <c r="AD15" i="1"/>
  <c r="AE15" i="1"/>
  <c r="R16" i="1"/>
  <c r="T16" i="1"/>
  <c r="AC16" i="1"/>
  <c r="AA16" i="1"/>
  <c r="AB16" i="1"/>
  <c r="AD16" i="1"/>
  <c r="AE16" i="1"/>
  <c r="R17" i="1"/>
  <c r="T17" i="1"/>
  <c r="AC17" i="1"/>
  <c r="AA17" i="1"/>
  <c r="AB17" i="1"/>
  <c r="AD17" i="1"/>
  <c r="AE17" i="1"/>
  <c r="R18" i="1"/>
  <c r="T18" i="1"/>
  <c r="AC18" i="1"/>
  <c r="AA18" i="1"/>
  <c r="AB18" i="1"/>
  <c r="AD18" i="1"/>
  <c r="AE18" i="1"/>
  <c r="R19" i="1"/>
  <c r="T19" i="1"/>
  <c r="AC19" i="1"/>
  <c r="AA19" i="1"/>
  <c r="AB19" i="1"/>
  <c r="AD19" i="1"/>
  <c r="AE19" i="1"/>
  <c r="R20" i="1"/>
  <c r="T20" i="1"/>
  <c r="AC20" i="1"/>
  <c r="AA20" i="1"/>
  <c r="AB20" i="1"/>
  <c r="AD20" i="1"/>
  <c r="AE20" i="1"/>
  <c r="R21" i="1"/>
  <c r="T21" i="1"/>
  <c r="AC21" i="1"/>
  <c r="AA21" i="1"/>
  <c r="AB21" i="1"/>
  <c r="AD21" i="1"/>
  <c r="AE21" i="1"/>
  <c r="R22" i="1"/>
  <c r="T22" i="1"/>
  <c r="AC22" i="1"/>
  <c r="AA22" i="1"/>
  <c r="AB22" i="1"/>
  <c r="AD22" i="1"/>
  <c r="AE22" i="1"/>
  <c r="R23" i="1"/>
  <c r="T23" i="1"/>
  <c r="AC23" i="1"/>
  <c r="AA23" i="1"/>
  <c r="AB23" i="1"/>
  <c r="AD23" i="1"/>
  <c r="AE23" i="1"/>
  <c r="R24" i="1"/>
  <c r="T24" i="1"/>
  <c r="AC24" i="1"/>
  <c r="AA24" i="1"/>
  <c r="AB24" i="1"/>
  <c r="AD24" i="1"/>
  <c r="AE24" i="1"/>
  <c r="R25" i="1"/>
  <c r="T25" i="1"/>
  <c r="AC25" i="1"/>
  <c r="AA25" i="1"/>
  <c r="AB25" i="1"/>
  <c r="AD25" i="1"/>
  <c r="AE25" i="1"/>
  <c r="R26" i="1"/>
  <c r="T26" i="1"/>
  <c r="AC26" i="1"/>
  <c r="AA26" i="1"/>
  <c r="AB26" i="1"/>
  <c r="AD26" i="1"/>
  <c r="AE26" i="1"/>
  <c r="R27" i="1"/>
  <c r="T27" i="1"/>
  <c r="AC27" i="1"/>
  <c r="AA27" i="1"/>
  <c r="AB27" i="1"/>
  <c r="AD27" i="1"/>
  <c r="AE27" i="1"/>
  <c r="H6" i="5"/>
  <c r="R28" i="1"/>
  <c r="T28" i="1"/>
  <c r="AC28" i="1"/>
  <c r="AA28" i="1"/>
  <c r="AB28" i="1"/>
  <c r="AD28" i="1"/>
  <c r="AE28" i="1"/>
  <c r="R29" i="1"/>
  <c r="T29" i="1"/>
  <c r="AC29" i="1"/>
  <c r="AA29" i="1"/>
  <c r="AB29" i="1"/>
  <c r="AD29" i="1"/>
  <c r="AE29" i="1"/>
  <c r="R30" i="1"/>
  <c r="T30" i="1"/>
  <c r="AC30" i="1"/>
  <c r="AA30" i="1"/>
  <c r="AB30" i="1"/>
  <c r="AD30" i="1"/>
  <c r="AE30" i="1"/>
  <c r="R31" i="1"/>
  <c r="T31" i="1"/>
  <c r="AC31" i="1"/>
  <c r="AA31" i="1"/>
  <c r="AB31" i="1"/>
  <c r="AD31" i="1"/>
  <c r="AE31" i="1"/>
  <c r="R32" i="1"/>
  <c r="T32" i="1"/>
  <c r="AC32" i="1"/>
  <c r="AA32" i="1"/>
  <c r="AB32" i="1"/>
  <c r="AD32" i="1"/>
  <c r="AE32" i="1"/>
  <c r="R33" i="1"/>
  <c r="T33" i="1"/>
  <c r="AC33" i="1"/>
  <c r="AA33" i="1"/>
  <c r="AB33" i="1"/>
  <c r="AD33" i="1"/>
  <c r="AE33" i="1"/>
  <c r="R34" i="1"/>
  <c r="T34" i="1"/>
  <c r="AC34" i="1"/>
  <c r="AA34" i="1"/>
  <c r="AB34" i="1"/>
  <c r="AD34" i="1"/>
  <c r="AE34" i="1"/>
  <c r="R35" i="1"/>
  <c r="T35" i="1"/>
  <c r="AC35" i="1"/>
  <c r="AA35" i="1"/>
  <c r="AB35" i="1"/>
  <c r="AD35" i="1"/>
  <c r="AE35" i="1"/>
  <c r="R36" i="1"/>
  <c r="T36" i="1"/>
  <c r="AC36" i="1"/>
  <c r="AA36" i="1"/>
  <c r="AB36" i="1"/>
  <c r="AD36" i="1"/>
  <c r="AE36" i="1"/>
  <c r="R37" i="1"/>
  <c r="T37" i="1"/>
  <c r="AC37" i="1"/>
  <c r="AA37" i="1"/>
  <c r="AB37" i="1"/>
  <c r="AD37" i="1"/>
  <c r="AE37" i="1"/>
  <c r="R38" i="1"/>
  <c r="T38" i="1"/>
  <c r="AC38" i="1"/>
  <c r="AA38" i="1"/>
  <c r="AB38" i="1"/>
  <c r="AD38" i="1"/>
  <c r="AE38" i="1"/>
  <c r="R39" i="1"/>
  <c r="T39" i="1"/>
  <c r="AC39" i="1"/>
  <c r="AA39" i="1"/>
  <c r="AB39" i="1"/>
  <c r="AD39" i="1"/>
  <c r="AE39" i="1"/>
  <c r="R40" i="1"/>
  <c r="T40" i="1"/>
  <c r="AC40" i="1"/>
  <c r="AA40" i="1"/>
  <c r="AB40" i="1"/>
  <c r="AD40" i="1"/>
  <c r="AE40" i="1"/>
  <c r="R41" i="1"/>
  <c r="T41" i="1"/>
  <c r="AC41" i="1"/>
  <c r="AA41" i="1"/>
  <c r="AB41" i="1"/>
  <c r="AD41" i="1"/>
  <c r="AE41" i="1"/>
  <c r="R42" i="1"/>
  <c r="T42" i="1"/>
  <c r="AC42" i="1"/>
  <c r="AA42" i="1"/>
  <c r="AB42" i="1"/>
  <c r="AD42" i="1"/>
  <c r="AE42" i="1"/>
  <c r="R43" i="1"/>
  <c r="T43" i="1"/>
  <c r="AC43" i="1"/>
  <c r="AA43" i="1"/>
  <c r="AB43" i="1"/>
  <c r="AD43" i="1"/>
  <c r="AE43" i="1"/>
  <c r="R44" i="1"/>
  <c r="T44" i="1"/>
  <c r="AC44" i="1"/>
  <c r="AA44" i="1"/>
  <c r="AB44" i="1"/>
  <c r="AD44" i="1"/>
  <c r="AE44" i="1"/>
  <c r="R45" i="1"/>
  <c r="T45" i="1"/>
  <c r="AC45" i="1"/>
  <c r="AA45" i="1"/>
  <c r="AB45" i="1"/>
  <c r="AD45" i="1"/>
  <c r="AE45" i="1"/>
  <c r="H7" i="5"/>
  <c r="R46" i="1"/>
  <c r="T46" i="1"/>
  <c r="AC46" i="1"/>
  <c r="AA46" i="1"/>
  <c r="AB46" i="1"/>
  <c r="AD46" i="1"/>
  <c r="AE46" i="1"/>
  <c r="R47" i="1"/>
  <c r="T47" i="1"/>
  <c r="AC47" i="1"/>
  <c r="AA47" i="1"/>
  <c r="AB47" i="1"/>
  <c r="AD47" i="1"/>
  <c r="AE47" i="1"/>
  <c r="R48" i="1"/>
  <c r="T48" i="1"/>
  <c r="AC48" i="1"/>
  <c r="AA48" i="1"/>
  <c r="AB48" i="1"/>
  <c r="AD48" i="1"/>
  <c r="AE48" i="1"/>
  <c r="R49" i="1"/>
  <c r="T49" i="1"/>
  <c r="AC49" i="1"/>
  <c r="AA49" i="1"/>
  <c r="AB49" i="1"/>
  <c r="AD49" i="1"/>
  <c r="AE49" i="1"/>
  <c r="R50" i="1"/>
  <c r="T50" i="1"/>
  <c r="AC50" i="1"/>
  <c r="AA50" i="1"/>
  <c r="AB50" i="1"/>
  <c r="AD50" i="1"/>
  <c r="AE50" i="1"/>
  <c r="R51" i="1"/>
  <c r="T51" i="1"/>
  <c r="AC51" i="1"/>
  <c r="AA51" i="1"/>
  <c r="AB51" i="1"/>
  <c r="AD51" i="1"/>
  <c r="AE51" i="1"/>
  <c r="R52" i="1"/>
  <c r="T52" i="1"/>
  <c r="AC52" i="1"/>
  <c r="AA52" i="1"/>
  <c r="AB52" i="1"/>
  <c r="AD52" i="1"/>
  <c r="AE52" i="1"/>
  <c r="R53" i="1"/>
  <c r="T53" i="1"/>
  <c r="AC53" i="1"/>
  <c r="AA53" i="1"/>
  <c r="AB53" i="1"/>
  <c r="AD53" i="1"/>
  <c r="AE53" i="1"/>
  <c r="R54" i="1"/>
  <c r="T54" i="1"/>
  <c r="AC54" i="1"/>
  <c r="AA54" i="1"/>
  <c r="AB54" i="1"/>
  <c r="AD54" i="1"/>
  <c r="AE54" i="1"/>
  <c r="R55" i="1"/>
  <c r="T55" i="1"/>
  <c r="AC55" i="1"/>
  <c r="AA55" i="1"/>
  <c r="AB55" i="1"/>
  <c r="AD55" i="1"/>
  <c r="AE55" i="1"/>
  <c r="R56" i="1"/>
  <c r="T56" i="1"/>
  <c r="AC56" i="1"/>
  <c r="AA56" i="1"/>
  <c r="AB56" i="1"/>
  <c r="AD56" i="1"/>
  <c r="AE56" i="1"/>
  <c r="R57" i="1"/>
  <c r="T57" i="1"/>
  <c r="AC57" i="1"/>
  <c r="AA57" i="1"/>
  <c r="AB57" i="1"/>
  <c r="AD57" i="1"/>
  <c r="AE57" i="1"/>
  <c r="R58" i="1"/>
  <c r="T58" i="1"/>
  <c r="AC58" i="1"/>
  <c r="AA58" i="1"/>
  <c r="AB58" i="1"/>
  <c r="AD58" i="1"/>
  <c r="AE58" i="1"/>
  <c r="R59" i="1"/>
  <c r="T59" i="1"/>
  <c r="AC59" i="1"/>
  <c r="AA59" i="1"/>
  <c r="AB59" i="1"/>
  <c r="AD59" i="1"/>
  <c r="AE59" i="1"/>
  <c r="R60" i="1"/>
  <c r="T60" i="1"/>
  <c r="AC60" i="1"/>
  <c r="AA60" i="1"/>
  <c r="AB60" i="1"/>
  <c r="AD60" i="1"/>
  <c r="AE60" i="1"/>
  <c r="R61" i="1"/>
  <c r="T61" i="1"/>
  <c r="AC61" i="1"/>
  <c r="AA61" i="1"/>
  <c r="AB61" i="1"/>
  <c r="AD61" i="1"/>
  <c r="AE61" i="1"/>
  <c r="R62" i="1"/>
  <c r="T62" i="1"/>
  <c r="AC62" i="1"/>
  <c r="AA62" i="1"/>
  <c r="AB62" i="1"/>
  <c r="AD62" i="1"/>
  <c r="AE62" i="1"/>
  <c r="R63" i="1"/>
  <c r="T63" i="1"/>
  <c r="AC63" i="1"/>
  <c r="AA63" i="1"/>
  <c r="AB63" i="1"/>
  <c r="AD63" i="1"/>
  <c r="AE63" i="1"/>
  <c r="H8" i="5"/>
  <c r="R64" i="1"/>
  <c r="T64" i="1"/>
  <c r="AC64" i="1"/>
  <c r="AA64" i="1"/>
  <c r="AB64" i="1"/>
  <c r="AD64" i="1"/>
  <c r="AE64" i="1"/>
  <c r="R65" i="1"/>
  <c r="T65" i="1"/>
  <c r="AC65" i="1"/>
  <c r="AA65" i="1"/>
  <c r="AB65" i="1"/>
  <c r="AD65" i="1"/>
  <c r="AE65" i="1"/>
  <c r="R66" i="1"/>
  <c r="T66" i="1"/>
  <c r="AC66" i="1"/>
  <c r="AA66" i="1"/>
  <c r="AB66" i="1"/>
  <c r="AD66" i="1"/>
  <c r="AE66" i="1"/>
  <c r="R67" i="1"/>
  <c r="T67" i="1"/>
  <c r="AC67" i="1"/>
  <c r="AA67" i="1"/>
  <c r="AB67" i="1"/>
  <c r="AD67" i="1"/>
  <c r="AE67" i="1"/>
  <c r="R68" i="1"/>
  <c r="T68" i="1"/>
  <c r="AC68" i="1"/>
  <c r="AA68" i="1"/>
  <c r="AB68" i="1"/>
  <c r="AD68" i="1"/>
  <c r="AE68" i="1"/>
  <c r="R69" i="1"/>
  <c r="T69" i="1"/>
  <c r="AC69" i="1"/>
  <c r="AA69" i="1"/>
  <c r="AB69" i="1"/>
  <c r="AD69" i="1"/>
  <c r="AE69" i="1"/>
  <c r="R70" i="1"/>
  <c r="T70" i="1"/>
  <c r="AC70" i="1"/>
  <c r="AA70" i="1"/>
  <c r="AB70" i="1"/>
  <c r="AD70" i="1"/>
  <c r="AE70" i="1"/>
  <c r="R71" i="1"/>
  <c r="T71" i="1"/>
  <c r="AC71" i="1"/>
  <c r="AA71" i="1"/>
  <c r="AB71" i="1"/>
  <c r="AD71" i="1"/>
  <c r="AE71" i="1"/>
  <c r="R72" i="1"/>
  <c r="T72" i="1"/>
  <c r="AC72" i="1"/>
  <c r="AA72" i="1"/>
  <c r="AB72" i="1"/>
  <c r="AD72" i="1"/>
  <c r="AE72" i="1"/>
  <c r="R73" i="1"/>
  <c r="T73" i="1"/>
  <c r="AC73" i="1"/>
  <c r="AA73" i="1"/>
  <c r="AB73" i="1"/>
  <c r="AD73" i="1"/>
  <c r="AE73" i="1"/>
  <c r="R74" i="1"/>
  <c r="T74" i="1"/>
  <c r="AC74" i="1"/>
  <c r="AA74" i="1"/>
  <c r="AB74" i="1"/>
  <c r="AD74" i="1"/>
  <c r="AE74" i="1"/>
  <c r="R75" i="1"/>
  <c r="T75" i="1"/>
  <c r="AC75" i="1"/>
  <c r="AA75" i="1"/>
  <c r="AB75" i="1"/>
  <c r="AD75" i="1"/>
  <c r="AE75" i="1"/>
  <c r="R76" i="1"/>
  <c r="T76" i="1"/>
  <c r="AC76" i="1"/>
  <c r="AA76" i="1"/>
  <c r="AB76" i="1"/>
  <c r="AD76" i="1"/>
  <c r="AE76" i="1"/>
  <c r="R77" i="1"/>
  <c r="T77" i="1"/>
  <c r="AC77" i="1"/>
  <c r="AA77" i="1"/>
  <c r="AB77" i="1"/>
  <c r="AD77" i="1"/>
  <c r="AE77" i="1"/>
  <c r="R78" i="1"/>
  <c r="T78" i="1"/>
  <c r="AC78" i="1"/>
  <c r="AA78" i="1"/>
  <c r="AB78" i="1"/>
  <c r="AD78" i="1"/>
  <c r="AE78" i="1"/>
  <c r="R79" i="1"/>
  <c r="T79" i="1"/>
  <c r="AC79" i="1"/>
  <c r="AA79" i="1"/>
  <c r="AB79" i="1"/>
  <c r="AD79" i="1"/>
  <c r="AE79" i="1"/>
  <c r="R80" i="1"/>
  <c r="T80" i="1"/>
  <c r="AC80" i="1"/>
  <c r="AA80" i="1"/>
  <c r="AB80" i="1"/>
  <c r="AD80" i="1"/>
  <c r="AE80" i="1"/>
  <c r="R81" i="1"/>
  <c r="T81" i="1"/>
  <c r="AC81" i="1"/>
  <c r="AA81" i="1"/>
  <c r="AB81" i="1"/>
  <c r="AD81" i="1"/>
  <c r="AE81" i="1"/>
  <c r="H9" i="5"/>
  <c r="R82" i="1"/>
  <c r="T82" i="1"/>
  <c r="AC82" i="1"/>
  <c r="AA82" i="1"/>
  <c r="AB82" i="1"/>
  <c r="AD82" i="1"/>
  <c r="AE82" i="1"/>
  <c r="H10" i="5"/>
  <c r="G7" i="5"/>
  <c r="G8" i="5"/>
  <c r="G9" i="5"/>
  <c r="G10" i="5"/>
  <c r="G6" i="5"/>
  <c r="F10" i="5"/>
  <c r="F9" i="5"/>
  <c r="F8" i="5"/>
  <c r="F7" i="5"/>
  <c r="F6" i="5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E10" i="5"/>
  <c r="E9" i="5"/>
  <c r="E8" i="5"/>
  <c r="E7" i="5"/>
  <c r="E6" i="5"/>
  <c r="R83" i="1"/>
  <c r="AA83" i="1"/>
  <c r="R84" i="1"/>
  <c r="AA84" i="1"/>
  <c r="R85" i="1"/>
  <c r="AA85" i="1"/>
  <c r="R86" i="1"/>
  <c r="AA86" i="1"/>
  <c r="R87" i="1"/>
  <c r="AA87" i="1"/>
  <c r="R88" i="1"/>
  <c r="AA88" i="1"/>
  <c r="R89" i="1"/>
  <c r="AA89" i="1"/>
  <c r="R90" i="1"/>
  <c r="AA90" i="1"/>
  <c r="R91" i="1"/>
  <c r="AA91" i="1"/>
  <c r="R92" i="1"/>
  <c r="AA92" i="1"/>
  <c r="R93" i="1"/>
  <c r="AA93" i="1"/>
  <c r="R94" i="1"/>
  <c r="AA94" i="1"/>
  <c r="R95" i="1"/>
  <c r="AA95" i="1"/>
  <c r="R96" i="1"/>
  <c r="AA96" i="1"/>
  <c r="R97" i="1"/>
  <c r="AA97" i="1"/>
  <c r="R98" i="1"/>
  <c r="AA98" i="1"/>
  <c r="R99" i="1"/>
  <c r="AA99" i="1"/>
  <c r="D10" i="5"/>
  <c r="D9" i="5"/>
  <c r="D8" i="5"/>
  <c r="D7" i="5"/>
  <c r="D6" i="5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U121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U193" i="1"/>
  <c r="O115" i="1"/>
  <c r="P115" i="1"/>
  <c r="Q115" i="1"/>
  <c r="R115" i="1"/>
  <c r="S115" i="1"/>
  <c r="T115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T122" i="1"/>
  <c r="O211" i="1"/>
  <c r="P211" i="1"/>
  <c r="Q211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194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U175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R140" i="1"/>
  <c r="T140" i="1"/>
  <c r="R141" i="1"/>
  <c r="T141" i="1"/>
  <c r="R142" i="1"/>
  <c r="T142" i="1"/>
  <c r="R143" i="1"/>
  <c r="T143" i="1"/>
  <c r="R144" i="1"/>
  <c r="T144" i="1"/>
  <c r="R145" i="1"/>
  <c r="T145" i="1"/>
  <c r="R146" i="1"/>
  <c r="T146" i="1"/>
  <c r="R147" i="1"/>
  <c r="T147" i="1"/>
  <c r="R148" i="1"/>
  <c r="T148" i="1"/>
  <c r="R149" i="1"/>
  <c r="T149" i="1"/>
  <c r="R150" i="1"/>
  <c r="T150" i="1"/>
  <c r="R151" i="1"/>
  <c r="T151" i="1"/>
  <c r="R152" i="1"/>
  <c r="T152" i="1"/>
  <c r="R153" i="1"/>
  <c r="T153" i="1"/>
  <c r="R154" i="1"/>
  <c r="T154" i="1"/>
  <c r="R155" i="1"/>
  <c r="T155" i="1"/>
  <c r="R156" i="1"/>
  <c r="T156" i="1"/>
  <c r="R157" i="1"/>
  <c r="T157" i="1"/>
  <c r="U157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U139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22" i="1"/>
  <c r="AF27" i="1"/>
  <c r="L5" i="4"/>
  <c r="T83" i="1"/>
  <c r="AD83" i="1"/>
  <c r="AE83" i="1"/>
  <c r="T84" i="1"/>
  <c r="AD84" i="1"/>
  <c r="AE84" i="1"/>
  <c r="T85" i="1"/>
  <c r="AD85" i="1"/>
  <c r="AE85" i="1"/>
  <c r="T86" i="1"/>
  <c r="AD86" i="1"/>
  <c r="AE86" i="1"/>
  <c r="T87" i="1"/>
  <c r="AD87" i="1"/>
  <c r="AE87" i="1"/>
  <c r="T88" i="1"/>
  <c r="AD88" i="1"/>
  <c r="AE88" i="1"/>
  <c r="T89" i="1"/>
  <c r="AD89" i="1"/>
  <c r="AE89" i="1"/>
  <c r="T90" i="1"/>
  <c r="AD90" i="1"/>
  <c r="AE90" i="1"/>
  <c r="T91" i="1"/>
  <c r="AD91" i="1"/>
  <c r="AE91" i="1"/>
  <c r="T92" i="1"/>
  <c r="AD92" i="1"/>
  <c r="AE92" i="1"/>
  <c r="T93" i="1"/>
  <c r="AD93" i="1"/>
  <c r="AE93" i="1"/>
  <c r="T94" i="1"/>
  <c r="AD94" i="1"/>
  <c r="AE94" i="1"/>
  <c r="T95" i="1"/>
  <c r="AD95" i="1"/>
  <c r="AE95" i="1"/>
  <c r="T96" i="1"/>
  <c r="AD96" i="1"/>
  <c r="AE96" i="1"/>
  <c r="T97" i="1"/>
  <c r="AD97" i="1"/>
  <c r="AE97" i="1"/>
  <c r="T98" i="1"/>
  <c r="AD98" i="1"/>
  <c r="AE98" i="1"/>
  <c r="T99" i="1"/>
  <c r="AD99" i="1"/>
  <c r="AE99" i="1"/>
  <c r="AF99" i="1"/>
  <c r="AF81" i="1"/>
  <c r="AF63" i="1"/>
  <c r="AF45" i="1"/>
  <c r="L9" i="4"/>
  <c r="L8" i="4"/>
  <c r="L7" i="4"/>
  <c r="L6" i="4"/>
  <c r="K9" i="4"/>
  <c r="K8" i="4"/>
  <c r="K7" i="4"/>
  <c r="K6" i="4"/>
  <c r="K5" i="4"/>
  <c r="Z10" i="1"/>
  <c r="W10" i="1"/>
  <c r="V99" i="1"/>
  <c r="V81" i="1"/>
  <c r="U99" i="1"/>
  <c r="J9" i="4"/>
  <c r="J8" i="4"/>
  <c r="J7" i="4"/>
  <c r="J6" i="4"/>
  <c r="J5" i="4"/>
  <c r="Z82" i="1"/>
  <c r="W82" i="1"/>
  <c r="Z83" i="1"/>
  <c r="W83" i="1"/>
  <c r="Z84" i="1"/>
  <c r="W84" i="1"/>
  <c r="Z85" i="1"/>
  <c r="W85" i="1"/>
  <c r="Z86" i="1"/>
  <c r="W86" i="1"/>
  <c r="Z87" i="1"/>
  <c r="W87" i="1"/>
  <c r="Z88" i="1"/>
  <c r="W88" i="1"/>
  <c r="Z89" i="1"/>
  <c r="W89" i="1"/>
  <c r="Z90" i="1"/>
  <c r="W90" i="1"/>
  <c r="Z91" i="1"/>
  <c r="W91" i="1"/>
  <c r="Z92" i="1"/>
  <c r="W92" i="1"/>
  <c r="Z93" i="1"/>
  <c r="W93" i="1"/>
  <c r="Z94" i="1"/>
  <c r="W94" i="1"/>
  <c r="Z95" i="1"/>
  <c r="W95" i="1"/>
  <c r="Z96" i="1"/>
  <c r="W96" i="1"/>
  <c r="Z97" i="1"/>
  <c r="W97" i="1"/>
  <c r="Z98" i="1"/>
  <c r="W98" i="1"/>
  <c r="Z99" i="1"/>
  <c r="W99" i="1"/>
  <c r="I9" i="4"/>
  <c r="Z64" i="1"/>
  <c r="W64" i="1"/>
  <c r="Z65" i="1"/>
  <c r="W65" i="1"/>
  <c r="Z66" i="1"/>
  <c r="W66" i="1"/>
  <c r="Z67" i="1"/>
  <c r="W67" i="1"/>
  <c r="Z68" i="1"/>
  <c r="W68" i="1"/>
  <c r="Z69" i="1"/>
  <c r="W69" i="1"/>
  <c r="Z70" i="1"/>
  <c r="W70" i="1"/>
  <c r="Z71" i="1"/>
  <c r="W71" i="1"/>
  <c r="Z72" i="1"/>
  <c r="W72" i="1"/>
  <c r="Z73" i="1"/>
  <c r="W73" i="1"/>
  <c r="Z74" i="1"/>
  <c r="W74" i="1"/>
  <c r="Z75" i="1"/>
  <c r="W75" i="1"/>
  <c r="Z76" i="1"/>
  <c r="W76" i="1"/>
  <c r="Z77" i="1"/>
  <c r="W77" i="1"/>
  <c r="Z78" i="1"/>
  <c r="W78" i="1"/>
  <c r="Z79" i="1"/>
  <c r="W79" i="1"/>
  <c r="Z80" i="1"/>
  <c r="W80" i="1"/>
  <c r="Z81" i="1"/>
  <c r="W81" i="1"/>
  <c r="I8" i="4"/>
  <c r="Z46" i="1"/>
  <c r="W46" i="1"/>
  <c r="Z47" i="1"/>
  <c r="W47" i="1"/>
  <c r="Z48" i="1"/>
  <c r="W48" i="1"/>
  <c r="Z49" i="1"/>
  <c r="W49" i="1"/>
  <c r="Z50" i="1"/>
  <c r="W50" i="1"/>
  <c r="Z51" i="1"/>
  <c r="W51" i="1"/>
  <c r="Z52" i="1"/>
  <c r="W52" i="1"/>
  <c r="Z53" i="1"/>
  <c r="W53" i="1"/>
  <c r="Z54" i="1"/>
  <c r="W54" i="1"/>
  <c r="Z55" i="1"/>
  <c r="W55" i="1"/>
  <c r="Z56" i="1"/>
  <c r="W56" i="1"/>
  <c r="Z57" i="1"/>
  <c r="W57" i="1"/>
  <c r="Z58" i="1"/>
  <c r="W58" i="1"/>
  <c r="Z59" i="1"/>
  <c r="W59" i="1"/>
  <c r="Z60" i="1"/>
  <c r="W60" i="1"/>
  <c r="Z61" i="1"/>
  <c r="W61" i="1"/>
  <c r="Z62" i="1"/>
  <c r="W62" i="1"/>
  <c r="Z63" i="1"/>
  <c r="W63" i="1"/>
  <c r="I7" i="4"/>
  <c r="Z28" i="1"/>
  <c r="W28" i="1"/>
  <c r="Z29" i="1"/>
  <c r="W29" i="1"/>
  <c r="Z30" i="1"/>
  <c r="W30" i="1"/>
  <c r="Z31" i="1"/>
  <c r="W31" i="1"/>
  <c r="Z32" i="1"/>
  <c r="W32" i="1"/>
  <c r="Z33" i="1"/>
  <c r="W33" i="1"/>
  <c r="Z34" i="1"/>
  <c r="W34" i="1"/>
  <c r="Z35" i="1"/>
  <c r="W35" i="1"/>
  <c r="Z36" i="1"/>
  <c r="W36" i="1"/>
  <c r="Z37" i="1"/>
  <c r="W37" i="1"/>
  <c r="Z38" i="1"/>
  <c r="W38" i="1"/>
  <c r="Z39" i="1"/>
  <c r="W39" i="1"/>
  <c r="Z40" i="1"/>
  <c r="W40" i="1"/>
  <c r="Z41" i="1"/>
  <c r="W41" i="1"/>
  <c r="Z42" i="1"/>
  <c r="W42" i="1"/>
  <c r="Z43" i="1"/>
  <c r="W43" i="1"/>
  <c r="Z44" i="1"/>
  <c r="W44" i="1"/>
  <c r="Z45" i="1"/>
  <c r="W45" i="1"/>
  <c r="I6" i="4"/>
  <c r="Z11" i="1"/>
  <c r="W11" i="1"/>
  <c r="Z12" i="1"/>
  <c r="W12" i="1"/>
  <c r="Z13" i="1"/>
  <c r="W13" i="1"/>
  <c r="Z14" i="1"/>
  <c r="W14" i="1"/>
  <c r="Z15" i="1"/>
  <c r="W15" i="1"/>
  <c r="Z16" i="1"/>
  <c r="W16" i="1"/>
  <c r="Z17" i="1"/>
  <c r="W17" i="1"/>
  <c r="Z18" i="1"/>
  <c r="W18" i="1"/>
  <c r="Z19" i="1"/>
  <c r="W19" i="1"/>
  <c r="Z20" i="1"/>
  <c r="W20" i="1"/>
  <c r="Z21" i="1"/>
  <c r="W21" i="1"/>
  <c r="Z22" i="1"/>
  <c r="W22" i="1"/>
  <c r="Z23" i="1"/>
  <c r="W23" i="1"/>
  <c r="Z24" i="1"/>
  <c r="W24" i="1"/>
  <c r="Z25" i="1"/>
  <c r="W25" i="1"/>
  <c r="Z26" i="1"/>
  <c r="W26" i="1"/>
  <c r="Z27" i="1"/>
  <c r="W27" i="1"/>
  <c r="I5" i="4"/>
  <c r="H9" i="4"/>
  <c r="H8" i="4"/>
  <c r="H7" i="4"/>
  <c r="H6" i="4"/>
  <c r="H5" i="4"/>
  <c r="G9" i="4"/>
  <c r="G5" i="4"/>
  <c r="G6" i="4"/>
  <c r="G7" i="4"/>
  <c r="G8" i="4"/>
  <c r="V63" i="1"/>
  <c r="V45" i="1"/>
  <c r="V27" i="1"/>
  <c r="U27" i="1"/>
  <c r="U21" i="1"/>
  <c r="U96" i="1"/>
  <c r="U93" i="1"/>
  <c r="U90" i="1"/>
  <c r="U87" i="1"/>
  <c r="U84" i="1"/>
  <c r="U81" i="1"/>
  <c r="U78" i="1"/>
  <c r="U75" i="1"/>
  <c r="U72" i="1"/>
  <c r="U69" i="1"/>
  <c r="U66" i="1"/>
  <c r="U63" i="1"/>
  <c r="U60" i="1"/>
  <c r="U57" i="1"/>
  <c r="U54" i="1"/>
  <c r="U51" i="1"/>
  <c r="U48" i="1"/>
  <c r="U45" i="1"/>
  <c r="U42" i="1"/>
  <c r="U39" i="1"/>
  <c r="U36" i="1"/>
  <c r="U33" i="1"/>
  <c r="U24" i="1"/>
  <c r="U30" i="1"/>
  <c r="U18" i="1"/>
  <c r="U15" i="1"/>
  <c r="U12" i="1"/>
  <c r="K81" i="1"/>
  <c r="K79" i="1"/>
  <c r="K75" i="1"/>
  <c r="K74" i="1"/>
  <c r="K73" i="1"/>
  <c r="K72" i="1"/>
  <c r="K66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7" i="1"/>
  <c r="K68" i="1"/>
  <c r="K69" i="1"/>
  <c r="K70" i="1"/>
  <c r="K71" i="1"/>
  <c r="K76" i="1"/>
  <c r="K77" i="1"/>
  <c r="K78" i="1"/>
  <c r="K80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" i="1"/>
</calcChain>
</file>

<file path=xl/sharedStrings.xml><?xml version="1.0" encoding="utf-8"?>
<sst xmlns="http://schemas.openxmlformats.org/spreadsheetml/2006/main" count="131" uniqueCount="111">
  <si>
    <t>Sample</t>
  </si>
  <si>
    <t>Species</t>
  </si>
  <si>
    <t xml:space="preserve">Drop No. </t>
  </si>
  <si>
    <t>frame 1, 2 revs</t>
  </si>
  <si>
    <t>frame 2, 2 revs</t>
  </si>
  <si>
    <t>ω (rpm)</t>
  </si>
  <si>
    <t>frame 1, 3 inches</t>
  </si>
  <si>
    <t>frame 2, 3 inches</t>
  </si>
  <si>
    <t>velocity (ft/s)</t>
  </si>
  <si>
    <t>velocity (m/s)</t>
  </si>
  <si>
    <t>mass (g)</t>
  </si>
  <si>
    <t>Frame Rate (fps)</t>
  </si>
  <si>
    <t>Camera</t>
  </si>
  <si>
    <t>Date</t>
  </si>
  <si>
    <t>Rotation Rate</t>
  </si>
  <si>
    <t>Descent Velocity</t>
  </si>
  <si>
    <t>length (in)</t>
  </si>
  <si>
    <t>Air Density (record accuracy)</t>
  </si>
  <si>
    <t>(record accuracy)</t>
  </si>
  <si>
    <t>Phantom v7.3</t>
  </si>
  <si>
    <t xml:space="preserve">330 (*10^6) s </t>
  </si>
  <si>
    <t>exposure time</t>
  </si>
  <si>
    <t xml:space="preserve">Ambient Pressure (inHg) </t>
  </si>
  <si>
    <t>Ambient Temperature (F)</t>
  </si>
  <si>
    <t xml:space="preserve">oregon scientific </t>
  </si>
  <si>
    <t>31% humidity</t>
  </si>
  <si>
    <t>t (s), 3 inches</t>
  </si>
  <si>
    <t>Only 1.5 rotations in video</t>
  </si>
  <si>
    <t>Precisa XT 920M</t>
  </si>
  <si>
    <t>[+/-] .001g</t>
  </si>
  <si>
    <t>inHg to Pa conversion</t>
  </si>
  <si>
    <t>R (J/Kg*K)</t>
  </si>
  <si>
    <t>Air Density (kg/m^3)</t>
  </si>
  <si>
    <t>Relative Humidity Density Correction</t>
  </si>
  <si>
    <t>~ (-)0.004 kg/m^3</t>
  </si>
  <si>
    <t>https://wahiduddin.net/calc/calc_da_rh.htm</t>
  </si>
  <si>
    <t>Swept Area (m^2)</t>
  </si>
  <si>
    <t>g0 (m/s^2)</t>
  </si>
  <si>
    <t>Cp</t>
  </si>
  <si>
    <t>Sample Average Cp</t>
  </si>
  <si>
    <t>Species Average Cp</t>
  </si>
  <si>
    <t xml:space="preserve">Aerospace Caliper </t>
  </si>
  <si>
    <t>[+/-] .001 in</t>
  </si>
  <si>
    <t>Species Number</t>
  </si>
  <si>
    <t>Species Name</t>
  </si>
  <si>
    <t>Collection Location</t>
  </si>
  <si>
    <t>Direction</t>
  </si>
  <si>
    <t>Date Collected</t>
  </si>
  <si>
    <t>Bernhard's House</t>
  </si>
  <si>
    <t xml:space="preserve">Front yard easment </t>
  </si>
  <si>
    <t>Mt. Storm</t>
  </si>
  <si>
    <t>Near swings at top</t>
  </si>
  <si>
    <t>UC</t>
  </si>
  <si>
    <t>Library plaza outside 436 ERC</t>
  </si>
  <si>
    <t>2153 Rice Street</t>
  </si>
  <si>
    <t>nearest to house</t>
  </si>
  <si>
    <t>Sigma Sigma sidewalk to m.o.m.</t>
  </si>
  <si>
    <t>m/A</t>
  </si>
  <si>
    <t>Center of Rotation (%)</t>
  </si>
  <si>
    <t>sample #</t>
  </si>
  <si>
    <t>image #</t>
  </si>
  <si>
    <t>Red Maple</t>
  </si>
  <si>
    <t>l</t>
  </si>
  <si>
    <t>l_cr</t>
  </si>
  <si>
    <t>cr</t>
  </si>
  <si>
    <t>Pressure (Pa)</t>
  </si>
  <si>
    <t>Temperature (deg C)</t>
  </si>
  <si>
    <t>Length (in)</t>
  </si>
  <si>
    <t>Mass (g)</t>
  </si>
  <si>
    <t>Uncertainties</t>
  </si>
  <si>
    <t>Center of Rotation</t>
  </si>
  <si>
    <t>Time</t>
  </si>
  <si>
    <t>vertical position (in)</t>
  </si>
  <si>
    <t>delta Density</t>
  </si>
  <si>
    <t>delta Area</t>
  </si>
  <si>
    <t>delta Cp</t>
  </si>
  <si>
    <t>delta Vd</t>
  </si>
  <si>
    <t>Uncertainty Propogation</t>
  </si>
  <si>
    <t>Center of Rotation (% total L)</t>
  </si>
  <si>
    <t>Average Values</t>
  </si>
  <si>
    <t xml:space="preserve">m/A (g/in^2) </t>
  </si>
  <si>
    <t>*Cp calculation done with standard metric units</t>
  </si>
  <si>
    <t>**Species 3 and 5 are both Red Maples</t>
  </si>
  <si>
    <t>***Species 2 and 4 are potentially the same</t>
  </si>
  <si>
    <t># of Samples</t>
  </si>
  <si>
    <t># of Trials/Samples</t>
  </si>
  <si>
    <t>St. Dev.</t>
  </si>
  <si>
    <t>Box Elder?</t>
  </si>
  <si>
    <t>relative Cp error (%)</t>
  </si>
  <si>
    <t>Cp Relative Error (%)</t>
  </si>
  <si>
    <t>Using  lower portion of frame</t>
  </si>
  <si>
    <t>f1, 1 rev</t>
  </si>
  <si>
    <t>f2, 1 rev</t>
  </si>
  <si>
    <t>f1, 1 in</t>
  </si>
  <si>
    <t>f2, 1 in</t>
  </si>
  <si>
    <t>BAD</t>
  </si>
  <si>
    <t>delta rho</t>
  </si>
  <si>
    <t>delta A</t>
  </si>
  <si>
    <t xml:space="preserve">Cp relative error </t>
  </si>
  <si>
    <t>.</t>
  </si>
  <si>
    <t xml:space="preserve">. </t>
  </si>
  <si>
    <t>Velocity StDev</t>
  </si>
  <si>
    <t>Disc Loading StDev</t>
  </si>
  <si>
    <t>Disc Loading</t>
  </si>
  <si>
    <t>box elder</t>
  </si>
  <si>
    <t>Silver Maple</t>
  </si>
  <si>
    <t>Species No.</t>
  </si>
  <si>
    <t>Name</t>
  </si>
  <si>
    <t>Acer Negundo (Box Elder)</t>
  </si>
  <si>
    <t>Acer Rubrum (Red Maple)</t>
  </si>
  <si>
    <t>Acer Saccharinum (Silver Maple)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</si>
</sst>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1" fillId="2" borderId="1" xfId="0" applyFont="1" applyFill="1" applyBorder="1"/>
    <xf numFmtId="0" fontId="0" fillId="0" borderId="0" xfId="0" applyFont="1"/>
    <xf numFmtId="14" fontId="0" fillId="3" borderId="1" xfId="0" applyNumberFormat="1" applyFill="1" applyBorder="1"/>
    <xf numFmtId="0" fontId="4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4" fillId="3" borderId="3" xfId="0" applyFont="1" applyFill="1" applyBorder="1"/>
    <xf numFmtId="0" fontId="0" fillId="0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0" fillId="3" borderId="1" xfId="0" applyFont="1" applyFill="1" applyBorder="1"/>
    <xf numFmtId="0" fontId="0" fillId="0" borderId="1" xfId="0" applyFill="1" applyBorder="1"/>
    <xf numFmtId="164" fontId="0" fillId="3" borderId="1" xfId="0" applyNumberFormat="1" applyFill="1" applyBorder="1"/>
    <xf numFmtId="0" fontId="4" fillId="0" borderId="1" xfId="0" applyFont="1" applyFill="1" applyBorder="1"/>
    <xf numFmtId="0" fontId="4" fillId="0" borderId="3" xfId="0" applyFont="1" applyFill="1" applyBorder="1"/>
    <xf numFmtId="0" fontId="4" fillId="0" borderId="0" xfId="0" applyFont="1" applyFill="1"/>
    <xf numFmtId="11" fontId="0" fillId="0" borderId="0" xfId="0" applyNumberFormat="1"/>
    <xf numFmtId="0" fontId="0" fillId="4" borderId="0" xfId="0" applyFill="1"/>
    <xf numFmtId="0" fontId="1" fillId="4" borderId="1" xfId="0" applyFont="1" applyFill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0" borderId="1" xfId="0" applyFont="1" applyFill="1" applyBorder="1"/>
    <xf numFmtId="164" fontId="0" fillId="0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4" fillId="7" borderId="3" xfId="0" applyFont="1" applyFill="1" applyBorder="1"/>
    <xf numFmtId="0" fontId="0" fillId="7" borderId="1" xfId="0" applyFont="1" applyFill="1" applyBorder="1"/>
    <xf numFmtId="164" fontId="0" fillId="7" borderId="1" xfId="0" applyNumberFormat="1" applyFill="1" applyBorder="1"/>
    <xf numFmtId="0" fontId="0" fillId="7" borderId="0" xfId="0" applyFill="1"/>
    <xf numFmtId="0" fontId="1" fillId="4" borderId="4" xfId="0" applyFont="1" applyFill="1" applyBorder="1"/>
    <xf numFmtId="164" fontId="0" fillId="0" borderId="1" xfId="0" applyNumberFormat="1" applyBorder="1"/>
    <xf numFmtId="164" fontId="0" fillId="5" borderId="1" xfId="0" applyNumberFormat="1" applyFill="1" applyBorder="1"/>
    <xf numFmtId="164" fontId="0" fillId="6" borderId="1" xfId="0" applyNumberFormat="1" applyFill="1" applyBorder="1"/>
    <xf numFmtId="0" fontId="0" fillId="3" borderId="4" xfId="0" applyFill="1" applyBorder="1"/>
    <xf numFmtId="0" fontId="0" fillId="3" borderId="0" xfId="0" applyFill="1" applyBorder="1"/>
    <xf numFmtId="0" fontId="0" fillId="0" borderId="4" xfId="0" applyFill="1" applyBorder="1"/>
    <xf numFmtId="0" fontId="4" fillId="7" borderId="4" xfId="0" applyFont="1" applyFill="1" applyBorder="1"/>
    <xf numFmtId="0" fontId="0" fillId="0" borderId="0" xfId="0" applyBorder="1"/>
    <xf numFmtId="0" fontId="4" fillId="0" borderId="0" xfId="0" applyFont="1" applyFill="1" applyBorder="1"/>
    <xf numFmtId="165" fontId="0" fillId="0" borderId="1" xfId="0" applyNumberFormat="1" applyBorder="1"/>
    <xf numFmtId="10" fontId="0" fillId="4" borderId="1" xfId="0" applyNumberFormat="1" applyFill="1" applyBorder="1"/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9"/>
  <sheetViews>
    <sheetView workbookViewId="0">
      <selection activeCell="J21" sqref="J21"/>
    </sheetView>
  </sheetViews>
  <sheetFormatPr baseColWidth="10" defaultColWidth="11" defaultRowHeight="16" x14ac:dyDescent="0.2"/>
  <cols>
    <col min="5" max="5" width="11.33203125" customWidth="1"/>
    <col min="6" max="6" width="14" customWidth="1"/>
    <col min="8" max="8" width="18" customWidth="1"/>
  </cols>
  <sheetData>
    <row r="3" spans="4:14" x14ac:dyDescent="0.2">
      <c r="D3" s="2"/>
      <c r="E3" s="2"/>
      <c r="F3" s="2"/>
      <c r="G3" s="54" t="s">
        <v>79</v>
      </c>
      <c r="H3" s="55"/>
      <c r="I3" s="55"/>
      <c r="J3" s="55"/>
      <c r="K3" s="55"/>
      <c r="L3" s="56"/>
    </row>
    <row r="4" spans="4:14" ht="32" x14ac:dyDescent="0.2">
      <c r="D4" s="1" t="s">
        <v>1</v>
      </c>
      <c r="E4" s="1" t="s">
        <v>84</v>
      </c>
      <c r="F4" s="28" t="s">
        <v>85</v>
      </c>
      <c r="G4" s="26" t="s">
        <v>68</v>
      </c>
      <c r="H4" s="26" t="s">
        <v>78</v>
      </c>
      <c r="I4" s="26" t="s">
        <v>80</v>
      </c>
      <c r="J4" s="26" t="s">
        <v>38</v>
      </c>
      <c r="K4" s="27" t="s">
        <v>86</v>
      </c>
      <c r="L4" s="27" t="s">
        <v>89</v>
      </c>
    </row>
    <row r="5" spans="4:14" x14ac:dyDescent="0.2">
      <c r="D5" s="2">
        <v>1</v>
      </c>
      <c r="E5" s="2">
        <v>5</v>
      </c>
      <c r="F5" s="2">
        <v>3</v>
      </c>
      <c r="G5" s="40">
        <f>AVERAGE(Sheet1!H10:H27)</f>
        <v>2.983333333333334E-2</v>
      </c>
      <c r="H5" s="40">
        <f>AVERAGE(Sheet1!L10:L27)</f>
        <v>0.21564694082246746</v>
      </c>
      <c r="I5" s="40">
        <f>AVERAGE(Sheet1!W10:W27)</f>
        <v>7.1113268747980884E-3</v>
      </c>
      <c r="J5" s="40">
        <f>AVERAGE(Sheet1!T10:T27)</f>
        <v>0.41345979031663188</v>
      </c>
      <c r="K5" s="40">
        <f>_xlfn.STDEV.S(Sheet1!T10:T27)</f>
        <v>0.13205444592863028</v>
      </c>
      <c r="L5" s="40">
        <f>Sheet1!AF27*100</f>
        <v>5.2978753098973579</v>
      </c>
      <c r="N5" t="s">
        <v>81</v>
      </c>
    </row>
    <row r="6" spans="4:14" x14ac:dyDescent="0.2">
      <c r="D6" s="29">
        <v>2</v>
      </c>
      <c r="E6" s="29">
        <v>5</v>
      </c>
      <c r="F6" s="29">
        <v>3</v>
      </c>
      <c r="G6" s="41">
        <f>AVERAGE(Sheet1!H28:H45)</f>
        <v>0.11633333333333334</v>
      </c>
      <c r="H6" s="41">
        <f>AVERAGE(Sheet1!L28:L45)</f>
        <v>0.15495867768595048</v>
      </c>
      <c r="I6" s="41">
        <f>AVERAGE(Sheet1!W28:W45)</f>
        <v>2.1013683243258943E-2</v>
      </c>
      <c r="J6" s="41">
        <f>AVERAGE(Sheet1!T28:T45)</f>
        <v>0.56914400260144649</v>
      </c>
      <c r="K6" s="41">
        <f>_xlfn.STDEV.S(Sheet1!T28:T45)</f>
        <v>7.5407988619248856E-2</v>
      </c>
      <c r="L6" s="41">
        <f>Sheet1!AF45*100</f>
        <v>2.4661311417854783</v>
      </c>
      <c r="N6" t="s">
        <v>82</v>
      </c>
    </row>
    <row r="7" spans="4:14" x14ac:dyDescent="0.2">
      <c r="D7" s="30">
        <v>3</v>
      </c>
      <c r="E7" s="30">
        <v>5</v>
      </c>
      <c r="F7" s="30">
        <v>3</v>
      </c>
      <c r="G7" s="42">
        <f>AVERAGE(Sheet1!H46:H63)</f>
        <v>4.366666666666668E-2</v>
      </c>
      <c r="H7" s="42">
        <f>AVERAGE(Sheet1!L46:L63)</f>
        <v>0.26551373346897261</v>
      </c>
      <c r="I7" s="42">
        <f>AVERAGE(Sheet1!W46:W63)</f>
        <v>1.2105336609719792E-2</v>
      </c>
      <c r="J7" s="42">
        <f>AVERAGE(Sheet1!T46:T63)</f>
        <v>0.70414239103897114</v>
      </c>
      <c r="K7" s="42">
        <f>_xlfn.STDEV.S(Sheet1!T46:T63)</f>
        <v>0.16359841719309637</v>
      </c>
      <c r="L7" s="42">
        <f>Sheet1!AF63*100</f>
        <v>3.9331809277048677</v>
      </c>
      <c r="N7" t="s">
        <v>83</v>
      </c>
    </row>
    <row r="8" spans="4:14" x14ac:dyDescent="0.2">
      <c r="D8" s="29">
        <v>4</v>
      </c>
      <c r="E8" s="29">
        <v>5</v>
      </c>
      <c r="F8" s="29">
        <v>3</v>
      </c>
      <c r="G8" s="41">
        <f>AVERAGE(Sheet1!H64:H81)</f>
        <v>0.23616666666666669</v>
      </c>
      <c r="H8" s="41">
        <f>AVERAGE(Sheet1!L64:L81)</f>
        <v>0.18243872168786845</v>
      </c>
      <c r="I8" s="41">
        <f>AVERAGE(Sheet1!W64:W81)</f>
        <v>2.0988449062425852E-2</v>
      </c>
      <c r="J8" s="41">
        <f>AVERAGE(Sheet1!T64:T81)</f>
        <v>0.51178185213659744</v>
      </c>
      <c r="K8" s="41">
        <f>_xlfn.STDEV.S(Sheet1!T64:T81)</f>
        <v>0.22869219081728548</v>
      </c>
      <c r="L8" s="41">
        <f>Sheet1!AF81*100</f>
        <v>2.2137924756076801</v>
      </c>
    </row>
    <row r="9" spans="4:14" x14ac:dyDescent="0.2">
      <c r="D9" s="30">
        <v>5</v>
      </c>
      <c r="E9" s="30">
        <v>5</v>
      </c>
      <c r="F9" s="30">
        <v>3</v>
      </c>
      <c r="G9" s="42">
        <f>AVERAGE(Sheet1!H82:H99)</f>
        <v>3.1166666666666669E-2</v>
      </c>
      <c r="H9" s="42">
        <f>AVERAGE(Sheet1!L82:L99)</f>
        <v>0.23151125401929257</v>
      </c>
      <c r="I9" s="42">
        <f>AVERAGE(Sheet1!W82:W99)</f>
        <v>1.869997813475284E-2</v>
      </c>
      <c r="J9" s="42">
        <f>AVERAGE(Sheet1!T82:T99)</f>
        <v>0.65319417083366893</v>
      </c>
      <c r="K9" s="42">
        <f>_xlfn.STDEV.S(Sheet1!T82:T99)</f>
        <v>0.16625740822789145</v>
      </c>
      <c r="L9" s="42">
        <f>Sheet1!AF99*100</f>
        <v>4.7583031064177996</v>
      </c>
    </row>
  </sheetData>
  <mergeCells count="1">
    <mergeCell ref="G3:L3"/>
  </mergeCells>
  <phoneticPr fontId="5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1"/>
  <sheetViews>
    <sheetView topLeftCell="I1" zoomScale="93" zoomScaleNormal="93" zoomScalePageLayoutView="93" workbookViewId="0">
      <pane ySplit="9" topLeftCell="A43" activePane="bottomLeft" state="frozen"/>
      <selection pane="bottomLeft" activeCell="AA3" sqref="AA3"/>
    </sheetView>
  </sheetViews>
  <sheetFormatPr baseColWidth="10" defaultColWidth="11" defaultRowHeight="16" x14ac:dyDescent="0.2"/>
  <cols>
    <col min="1" max="1" width="7.83203125" bestFit="1" customWidth="1"/>
    <col min="2" max="2" width="16.1640625" bestFit="1" customWidth="1"/>
    <col min="3" max="3" width="19.33203125" bestFit="1" customWidth="1"/>
    <col min="4" max="4" width="9" bestFit="1" customWidth="1"/>
    <col min="5" max="5" width="7.1640625" bestFit="1" customWidth="1"/>
    <col min="6" max="6" width="7.33203125" bestFit="1" customWidth="1"/>
    <col min="7" max="7" width="15.6640625" customWidth="1"/>
    <col min="8" max="8" width="8" style="5" bestFit="1" customWidth="1"/>
    <col min="9" max="9" width="14.6640625" bestFit="1" customWidth="1"/>
    <col min="10" max="10" width="13.33203125" bestFit="1" customWidth="1"/>
    <col min="11" max="11" width="8.33203125" bestFit="1" customWidth="1"/>
    <col min="12" max="12" width="8.33203125" customWidth="1"/>
    <col min="13" max="14" width="15.1640625" bestFit="1" customWidth="1"/>
    <col min="15" max="15" width="9.5" bestFit="1" customWidth="1"/>
    <col min="16" max="16" width="12.1640625" bestFit="1" customWidth="1"/>
    <col min="17" max="17" width="12.33203125" bestFit="1" customWidth="1"/>
    <col min="18" max="18" width="18.5" bestFit="1" customWidth="1"/>
    <col min="19" max="19" width="18" customWidth="1"/>
    <col min="21" max="22" width="17.1640625" bestFit="1" customWidth="1"/>
    <col min="27" max="28" width="12.1640625" bestFit="1" customWidth="1"/>
  </cols>
  <sheetData>
    <row r="1" spans="1:35" x14ac:dyDescent="0.2">
      <c r="H1" s="13"/>
      <c r="V1" s="57" t="s">
        <v>69</v>
      </c>
      <c r="W1" s="57"/>
      <c r="X1" s="57"/>
      <c r="Y1" s="57"/>
      <c r="Z1" s="57"/>
    </row>
    <row r="2" spans="1:35" x14ac:dyDescent="0.2">
      <c r="H2" s="13"/>
      <c r="I2" t="s">
        <v>12</v>
      </c>
      <c r="J2" t="s">
        <v>19</v>
      </c>
      <c r="N2" t="s">
        <v>30</v>
      </c>
      <c r="O2">
        <v>3386.3890000000001</v>
      </c>
      <c r="R2" t="s">
        <v>33</v>
      </c>
      <c r="V2" t="s">
        <v>65</v>
      </c>
      <c r="W2">
        <v>1000</v>
      </c>
      <c r="Y2" t="s">
        <v>71</v>
      </c>
      <c r="Z2" s="23">
        <v>3.3E-4</v>
      </c>
    </row>
    <row r="3" spans="1:35" x14ac:dyDescent="0.2">
      <c r="H3" s="13"/>
      <c r="I3" t="s">
        <v>11</v>
      </c>
      <c r="J3">
        <v>3000</v>
      </c>
      <c r="N3" t="s">
        <v>31</v>
      </c>
      <c r="O3">
        <v>287.05799999999999</v>
      </c>
      <c r="R3" t="s">
        <v>34</v>
      </c>
      <c r="S3" s="7" t="s">
        <v>35</v>
      </c>
      <c r="V3" t="s">
        <v>66</v>
      </c>
      <c r="W3">
        <v>0.1</v>
      </c>
    </row>
    <row r="4" spans="1:35" x14ac:dyDescent="0.2">
      <c r="H4" s="13"/>
      <c r="J4" t="s">
        <v>20</v>
      </c>
      <c r="K4" t="s">
        <v>21</v>
      </c>
      <c r="V4" t="s">
        <v>67</v>
      </c>
      <c r="W4">
        <v>1E-3</v>
      </c>
    </row>
    <row r="5" spans="1:35" x14ac:dyDescent="0.2">
      <c r="B5" t="s">
        <v>25</v>
      </c>
      <c r="H5" s="13"/>
      <c r="N5" t="s">
        <v>37</v>
      </c>
      <c r="O5">
        <v>9.8066499999999994</v>
      </c>
      <c r="V5" t="s">
        <v>68</v>
      </c>
      <c r="W5">
        <v>1E-3</v>
      </c>
    </row>
    <row r="6" spans="1:35" x14ac:dyDescent="0.2">
      <c r="G6" t="s">
        <v>28</v>
      </c>
      <c r="H6" s="13" t="s">
        <v>29</v>
      </c>
      <c r="V6" t="s">
        <v>70</v>
      </c>
      <c r="W6" s="24">
        <v>0.01</v>
      </c>
    </row>
    <row r="7" spans="1:35" x14ac:dyDescent="0.2">
      <c r="B7" t="s">
        <v>24</v>
      </c>
      <c r="G7" t="s">
        <v>41</v>
      </c>
      <c r="H7" s="13" t="s">
        <v>42</v>
      </c>
      <c r="V7" t="s">
        <v>72</v>
      </c>
      <c r="W7">
        <v>0.01</v>
      </c>
    </row>
    <row r="8" spans="1:35" x14ac:dyDescent="0.2">
      <c r="A8" s="2"/>
      <c r="B8" s="54" t="s">
        <v>17</v>
      </c>
      <c r="C8" s="56"/>
      <c r="D8" s="2"/>
      <c r="E8" s="2"/>
      <c r="F8" s="2"/>
      <c r="G8" s="54" t="s">
        <v>18</v>
      </c>
      <c r="H8" s="56"/>
      <c r="I8" s="58" t="s">
        <v>14</v>
      </c>
      <c r="J8" s="58"/>
      <c r="K8" s="58"/>
      <c r="L8" s="4"/>
      <c r="M8" s="58" t="s">
        <v>15</v>
      </c>
      <c r="N8" s="58"/>
      <c r="O8" s="58"/>
      <c r="P8" s="58"/>
      <c r="Q8" s="58"/>
      <c r="R8" s="2"/>
      <c r="S8" s="2"/>
      <c r="T8" s="2"/>
      <c r="U8" s="2"/>
      <c r="V8" s="2"/>
      <c r="W8" s="2"/>
      <c r="X8" s="2"/>
      <c r="Y8" s="2"/>
      <c r="Z8" s="2"/>
      <c r="AA8" s="58" t="s">
        <v>77</v>
      </c>
      <c r="AB8" s="58"/>
      <c r="AC8" s="58"/>
      <c r="AD8" s="58"/>
    </row>
    <row r="9" spans="1:35" x14ac:dyDescent="0.2">
      <c r="A9" s="1" t="s">
        <v>13</v>
      </c>
      <c r="B9" s="1" t="s">
        <v>22</v>
      </c>
      <c r="C9" s="1" t="s">
        <v>23</v>
      </c>
      <c r="D9" s="1" t="s">
        <v>2</v>
      </c>
      <c r="E9" s="1" t="s">
        <v>0</v>
      </c>
      <c r="F9" s="1" t="s">
        <v>1</v>
      </c>
      <c r="G9" s="1" t="s">
        <v>16</v>
      </c>
      <c r="H9" s="6" t="s">
        <v>10</v>
      </c>
      <c r="I9" s="1" t="s">
        <v>3</v>
      </c>
      <c r="J9" s="1" t="s">
        <v>4</v>
      </c>
      <c r="K9" s="1" t="s">
        <v>5</v>
      </c>
      <c r="L9" s="1" t="s">
        <v>58</v>
      </c>
      <c r="M9" s="1" t="s">
        <v>6</v>
      </c>
      <c r="N9" s="1" t="s">
        <v>7</v>
      </c>
      <c r="O9" s="1" t="s">
        <v>26</v>
      </c>
      <c r="P9" s="1" t="s">
        <v>8</v>
      </c>
      <c r="Q9" s="1" t="s">
        <v>9</v>
      </c>
      <c r="R9" s="1" t="s">
        <v>32</v>
      </c>
      <c r="S9" s="1" t="s">
        <v>36</v>
      </c>
      <c r="T9" s="1" t="s">
        <v>38</v>
      </c>
      <c r="U9" s="16" t="s">
        <v>39</v>
      </c>
      <c r="V9" s="16" t="s">
        <v>40</v>
      </c>
      <c r="W9" s="15" t="s">
        <v>57</v>
      </c>
      <c r="X9" s="16" t="s">
        <v>62</v>
      </c>
      <c r="Y9" s="16" t="s">
        <v>63</v>
      </c>
      <c r="Z9" s="16" t="s">
        <v>64</v>
      </c>
      <c r="AA9" s="16" t="s">
        <v>73</v>
      </c>
      <c r="AB9" s="25" t="s">
        <v>74</v>
      </c>
      <c r="AC9" s="25" t="s">
        <v>76</v>
      </c>
      <c r="AD9" s="25" t="s">
        <v>75</v>
      </c>
      <c r="AE9" s="39" t="s">
        <v>88</v>
      </c>
      <c r="AG9" s="51" t="s">
        <v>101</v>
      </c>
      <c r="AH9" s="52" t="s">
        <v>103</v>
      </c>
      <c r="AI9" s="51" t="s">
        <v>102</v>
      </c>
    </row>
    <row r="10" spans="1:35" s="11" customFormat="1" x14ac:dyDescent="0.2">
      <c r="A10" s="8">
        <v>43600</v>
      </c>
      <c r="B10" s="9">
        <v>29.44</v>
      </c>
      <c r="C10" s="10">
        <v>73.599999999999994</v>
      </c>
      <c r="D10" s="10">
        <v>1</v>
      </c>
      <c r="E10" s="10">
        <v>1</v>
      </c>
      <c r="F10" s="10">
        <v>1</v>
      </c>
      <c r="G10" s="10">
        <v>1.532</v>
      </c>
      <c r="H10" s="10">
        <v>0.04</v>
      </c>
      <c r="I10" s="10">
        <v>2085</v>
      </c>
      <c r="J10" s="10">
        <v>1728</v>
      </c>
      <c r="K10" s="10">
        <f>60/(0.5*((I10-J10)/$J$3))</f>
        <v>1008.4033613445379</v>
      </c>
      <c r="L10" s="10">
        <f>Y10/X10</f>
        <v>0.21564694082246741</v>
      </c>
      <c r="M10" s="10">
        <v>2069</v>
      </c>
      <c r="N10" s="10">
        <v>1774</v>
      </c>
      <c r="O10" s="10">
        <f>(M10-N10)/3000</f>
        <v>9.8333333333333328E-2</v>
      </c>
      <c r="P10" s="10">
        <f>(3/12)/O10</f>
        <v>2.5423728813559325</v>
      </c>
      <c r="Q10" s="10">
        <f>P10/3.2808</f>
        <v>0.77492467732136439</v>
      </c>
      <c r="R10" s="10">
        <f>(B10*$O$2)/($O$3*((C10-32)*(5/9)+273.15))</f>
        <v>1.1722772812085016</v>
      </c>
      <c r="S10" s="17">
        <f>PI()*((1-L10)*((G10/12)/3.2808))^2</f>
        <v>2.9266351755777241E-3</v>
      </c>
      <c r="T10" s="10">
        <f>(2*H10*0.001*$O$5)/(Q10^2*R10*S10)</f>
        <v>0.38079632089748855</v>
      </c>
      <c r="U10" s="10"/>
      <c r="V10" s="10"/>
      <c r="W10" s="19">
        <f>H10/(PI()*((1-Z10)*G10)^2)</f>
        <v>8.8179858693871738E-3</v>
      </c>
      <c r="X10" s="10">
        <v>1.994</v>
      </c>
      <c r="Y10" s="10">
        <v>0.43</v>
      </c>
      <c r="Z10" s="10">
        <f>Y10/X10</f>
        <v>0.21564694082246741</v>
      </c>
      <c r="AA10" s="10">
        <f>R10*((1000/(B10*$O$2))+(0.1/(((C10-32)/1.8)+273.15)))</f>
        <v>1.2154292765510262E-2</v>
      </c>
      <c r="AB10" s="10">
        <f>2*S10*(($W$6/L10)+($W$4/G10))</f>
        <v>2.7524906976701918E-4</v>
      </c>
      <c r="AC10" s="10">
        <f>Q10*(1/3.2808)*0.25*(1/(600*O10))</f>
        <v>1.0008470925360344E-3</v>
      </c>
      <c r="AD10" s="10">
        <f>T10*(($W$5/H10)+2*(AC10/Q10)+AA10+AB10)</f>
        <v>1.5236660044074384E-2</v>
      </c>
      <c r="AE10" s="11">
        <f>AD10/T10</f>
        <v>4.0012624093015162E-2</v>
      </c>
      <c r="AH10" s="11">
        <f>(H10*0.001)*9.807/S10</f>
        <v>0.1340378887240577</v>
      </c>
    </row>
    <row r="11" spans="1:35" s="11" customFormat="1" x14ac:dyDescent="0.2">
      <c r="A11" s="10"/>
      <c r="B11" s="9">
        <v>29.44</v>
      </c>
      <c r="C11" s="10">
        <v>73.599999999999994</v>
      </c>
      <c r="D11" s="10">
        <v>2</v>
      </c>
      <c r="E11" s="10">
        <v>1</v>
      </c>
      <c r="F11" s="10">
        <v>1</v>
      </c>
      <c r="G11" s="10">
        <v>1.532</v>
      </c>
      <c r="H11" s="10">
        <v>0.04</v>
      </c>
      <c r="I11" s="10">
        <v>2031</v>
      </c>
      <c r="J11" s="10">
        <v>1702</v>
      </c>
      <c r="K11" s="10">
        <f t="shared" ref="K11:K71" si="0">60/(0.5*((I11-J11)/$J$3))</f>
        <v>1094.224924012158</v>
      </c>
      <c r="L11" s="10">
        <f t="shared" ref="L11:L74" si="1">Y11/X11</f>
        <v>0.21564694082246741</v>
      </c>
      <c r="M11" s="10">
        <v>2058</v>
      </c>
      <c r="N11" s="10">
        <v>1702</v>
      </c>
      <c r="O11" s="10">
        <f>(M11-N11)/3000</f>
        <v>0.11866666666666667</v>
      </c>
      <c r="P11" s="10">
        <f>(3/12)/O11</f>
        <v>2.106741573033708</v>
      </c>
      <c r="Q11" s="10">
        <f t="shared" ref="Q11:Q74" si="2">P11/3.2808</f>
        <v>0.64214263991517551</v>
      </c>
      <c r="R11" s="10">
        <f t="shared" ref="R11:R74" si="3">(B11*$O$2)/($O$3*((C11-32)*(5/9)+273.15))</f>
        <v>1.1722772812085016</v>
      </c>
      <c r="S11" s="17">
        <f t="shared" ref="S11:S74" si="4">PI()*((1-L11)*((G11/12)/3.2808))^2</f>
        <v>2.9266351755777241E-3</v>
      </c>
      <c r="T11" s="10">
        <f t="shared" ref="T11:T74" si="5">(2*H11*0.001*$O$5)/(Q11^2*R11*S11)</f>
        <v>0.55456021287289992</v>
      </c>
      <c r="U11" s="10"/>
      <c r="V11" s="10"/>
      <c r="W11" s="19">
        <f t="shared" ref="W11:W74" si="6">H11/(PI()*((1-Z11)*G11)^2)</f>
        <v>8.8179858693871738E-3</v>
      </c>
      <c r="X11" s="10">
        <v>1.994</v>
      </c>
      <c r="Y11" s="10">
        <v>0.43</v>
      </c>
      <c r="Z11" s="10">
        <f t="shared" ref="Z11:Z41" si="7">Y11/X11</f>
        <v>0.21564694082246741</v>
      </c>
      <c r="AA11" s="10">
        <f t="shared" ref="AA11:AA74" si="8">R11*((1000/(B11*$O$2))+(0.1/(((C11-32)/1.8)+273.15)))</f>
        <v>1.2154292765510262E-2</v>
      </c>
      <c r="AB11" s="10">
        <f t="shared" ref="AB11:AB74" si="9">2*S11*(($W$6/L11)+($W$4/G11))</f>
        <v>2.7524906976701918E-4</v>
      </c>
      <c r="AC11" s="10">
        <f t="shared" ref="AC11:AC74" si="10">Q11*(1/3.2808)*0.25*(1/(600*O11))</f>
        <v>6.8724528332871787E-4</v>
      </c>
      <c r="AD11" s="10">
        <f t="shared" ref="AD11:AD74" si="11">T11*(($W$5/H11)+2*(AC11/Q11)+AA11+AB11)</f>
        <v>2.1943957218193564E-2</v>
      </c>
      <c r="AE11" s="11">
        <f t="shared" ref="AE11:AE74" si="12">AD11/T11</f>
        <v>3.9570017301661195E-2</v>
      </c>
      <c r="AH11" s="11">
        <f t="shared" ref="AH11:AH74" si="13">(H11*0.001)*9.807/S11</f>
        <v>0.1340378887240577</v>
      </c>
    </row>
    <row r="12" spans="1:35" s="11" customFormat="1" x14ac:dyDescent="0.2">
      <c r="A12" s="10"/>
      <c r="B12" s="9">
        <v>29.44</v>
      </c>
      <c r="C12" s="10">
        <v>73.599999999999994</v>
      </c>
      <c r="D12" s="10">
        <v>3</v>
      </c>
      <c r="E12" s="10">
        <v>1</v>
      </c>
      <c r="F12" s="10">
        <v>1</v>
      </c>
      <c r="G12" s="10">
        <v>1.532</v>
      </c>
      <c r="H12" s="10">
        <v>0.04</v>
      </c>
      <c r="I12" s="10">
        <v>2494</v>
      </c>
      <c r="J12" s="10">
        <v>2146</v>
      </c>
      <c r="K12" s="10">
        <f t="shared" si="0"/>
        <v>1034.4827586206895</v>
      </c>
      <c r="L12" s="10">
        <f t="shared" si="1"/>
        <v>0.21564694082246741</v>
      </c>
      <c r="M12" s="10">
        <v>2509</v>
      </c>
      <c r="N12" s="10">
        <v>2158</v>
      </c>
      <c r="O12" s="10">
        <f t="shared" ref="O12:O74" si="14">(M12-N12)/3000</f>
        <v>0.11700000000000001</v>
      </c>
      <c r="P12" s="10">
        <f t="shared" ref="P12:P74" si="15">(3/12)/O12</f>
        <v>2.1367521367521367</v>
      </c>
      <c r="Q12" s="10">
        <f t="shared" si="2"/>
        <v>0.65128997096809826</v>
      </c>
      <c r="R12" s="10">
        <f t="shared" si="3"/>
        <v>1.1722772812085016</v>
      </c>
      <c r="S12" s="17">
        <f t="shared" si="4"/>
        <v>2.9266351755777241E-3</v>
      </c>
      <c r="T12" s="10">
        <f t="shared" si="5"/>
        <v>0.53909207159886807</v>
      </c>
      <c r="U12" s="10">
        <f>AVERAGE(T10:T12)</f>
        <v>0.49148286845641881</v>
      </c>
      <c r="V12" s="10"/>
      <c r="W12" s="19">
        <f t="shared" si="6"/>
        <v>8.8179858693871738E-3</v>
      </c>
      <c r="X12" s="10">
        <v>1.994</v>
      </c>
      <c r="Y12" s="10">
        <v>0.43</v>
      </c>
      <c r="Z12" s="10">
        <f t="shared" si="7"/>
        <v>0.21564694082246741</v>
      </c>
      <c r="AA12" s="10">
        <f t="shared" si="8"/>
        <v>1.2154292765510262E-2</v>
      </c>
      <c r="AB12" s="10">
        <f t="shared" si="9"/>
        <v>2.7524906976701918E-4</v>
      </c>
      <c r="AC12" s="10">
        <f t="shared" si="10"/>
        <v>7.0696437713937716E-4</v>
      </c>
      <c r="AD12" s="10">
        <f t="shared" si="11"/>
        <v>2.134832011251199E-2</v>
      </c>
      <c r="AE12" s="11">
        <f t="shared" si="12"/>
        <v>3.9600508405170938E-2</v>
      </c>
      <c r="AH12" s="11">
        <f t="shared" si="13"/>
        <v>0.1340378887240577</v>
      </c>
    </row>
    <row r="13" spans="1:35" s="13" customFormat="1" x14ac:dyDescent="0.2">
      <c r="A13" s="18"/>
      <c r="B13" s="20">
        <v>29.44</v>
      </c>
      <c r="C13" s="18">
        <v>73.8</v>
      </c>
      <c r="D13" s="18">
        <v>4</v>
      </c>
      <c r="E13" s="18">
        <v>2</v>
      </c>
      <c r="F13" s="10">
        <v>1</v>
      </c>
      <c r="G13" s="18">
        <v>1.3620000000000001</v>
      </c>
      <c r="H13" s="18">
        <v>3.1E-2</v>
      </c>
      <c r="I13" s="18">
        <v>1972</v>
      </c>
      <c r="J13" s="18">
        <v>1604</v>
      </c>
      <c r="K13" s="18">
        <f t="shared" si="0"/>
        <v>978.26086956521749</v>
      </c>
      <c r="L13" s="18">
        <f t="shared" si="1"/>
        <v>0.21564694082246741</v>
      </c>
      <c r="M13" s="18">
        <v>2033</v>
      </c>
      <c r="N13" s="18">
        <v>1689</v>
      </c>
      <c r="O13" s="18">
        <f t="shared" si="14"/>
        <v>0.11466666666666667</v>
      </c>
      <c r="P13" s="18">
        <f t="shared" si="15"/>
        <v>2.1802325581395348</v>
      </c>
      <c r="Q13" s="18">
        <f t="shared" si="2"/>
        <v>0.66454296456337925</v>
      </c>
      <c r="R13" s="18">
        <f t="shared" si="3"/>
        <v>1.1718377898477095</v>
      </c>
      <c r="S13" s="31">
        <f t="shared" si="4"/>
        <v>2.313157864020309E-3</v>
      </c>
      <c r="T13" s="18">
        <f t="shared" si="5"/>
        <v>0.50791783644068544</v>
      </c>
      <c r="U13" s="18"/>
      <c r="V13" s="18"/>
      <c r="W13" s="32">
        <f t="shared" si="6"/>
        <v>8.6463819521327961E-3</v>
      </c>
      <c r="X13" s="18">
        <v>1.994</v>
      </c>
      <c r="Y13" s="18">
        <v>0.43</v>
      </c>
      <c r="Z13" s="18">
        <f t="shared" si="7"/>
        <v>0.21564694082246741</v>
      </c>
      <c r="AA13" s="18">
        <f t="shared" si="8"/>
        <v>1.2149587783040684E-2</v>
      </c>
      <c r="AB13" s="18">
        <f t="shared" si="9"/>
        <v>2.17928650878647E-4</v>
      </c>
      <c r="AC13" s="10">
        <f t="shared" si="10"/>
        <v>7.3602891958447455E-4</v>
      </c>
      <c r="AD13" s="18">
        <f t="shared" si="11"/>
        <v>2.3791239275333602E-2</v>
      </c>
      <c r="AE13" s="11">
        <f t="shared" si="12"/>
        <v>4.6840724165259626E-2</v>
      </c>
      <c r="AH13" s="11">
        <f t="shared" si="13"/>
        <v>0.13142942154047935</v>
      </c>
    </row>
    <row r="14" spans="1:35" s="13" customFormat="1" x14ac:dyDescent="0.2">
      <c r="A14" s="18"/>
      <c r="B14" s="20">
        <v>29.44</v>
      </c>
      <c r="C14" s="18">
        <v>73.8</v>
      </c>
      <c r="D14" s="18">
        <v>5</v>
      </c>
      <c r="E14" s="18">
        <v>2</v>
      </c>
      <c r="F14" s="10">
        <v>1</v>
      </c>
      <c r="G14" s="18">
        <v>1.3620000000000001</v>
      </c>
      <c r="H14" s="18">
        <v>3.1E-2</v>
      </c>
      <c r="I14" s="18">
        <v>2135</v>
      </c>
      <c r="J14" s="18">
        <v>1750</v>
      </c>
      <c r="K14" s="18">
        <f t="shared" si="0"/>
        <v>935.06493506493507</v>
      </c>
      <c r="L14" s="18">
        <f t="shared" si="1"/>
        <v>0.21564694082246741</v>
      </c>
      <c r="M14" s="18">
        <v>2160</v>
      </c>
      <c r="N14" s="18">
        <v>1812</v>
      </c>
      <c r="O14" s="18">
        <f t="shared" si="14"/>
        <v>0.11600000000000001</v>
      </c>
      <c r="P14" s="18">
        <f t="shared" si="15"/>
        <v>2.1551724137931032</v>
      </c>
      <c r="Q14" s="18">
        <f t="shared" si="2"/>
        <v>0.65690453968334039</v>
      </c>
      <c r="R14" s="18">
        <f t="shared" si="3"/>
        <v>1.1718377898477095</v>
      </c>
      <c r="S14" s="31">
        <f t="shared" si="4"/>
        <v>2.313157864020309E-3</v>
      </c>
      <c r="T14" s="18">
        <f t="shared" si="5"/>
        <v>0.51979855381551487</v>
      </c>
      <c r="U14" s="18"/>
      <c r="V14" s="18"/>
      <c r="W14" s="32">
        <f t="shared" si="6"/>
        <v>8.6463819521327961E-3</v>
      </c>
      <c r="X14" s="18">
        <v>1.994</v>
      </c>
      <c r="Y14" s="18">
        <v>0.43</v>
      </c>
      <c r="Z14" s="18">
        <f t="shared" si="7"/>
        <v>0.21564694082246741</v>
      </c>
      <c r="AA14" s="18">
        <f t="shared" si="8"/>
        <v>1.2149587783040684E-2</v>
      </c>
      <c r="AB14" s="18">
        <f t="shared" si="9"/>
        <v>2.17928650878647E-4</v>
      </c>
      <c r="AC14" s="10">
        <f t="shared" si="10"/>
        <v>7.1920595709430225E-4</v>
      </c>
      <c r="AD14" s="18">
        <f t="shared" si="11"/>
        <v>2.4334505873419818E-2</v>
      </c>
      <c r="AE14" s="11">
        <f t="shared" si="12"/>
        <v>4.6815262748992829E-2</v>
      </c>
      <c r="AH14" s="11">
        <f t="shared" si="13"/>
        <v>0.13142942154047935</v>
      </c>
    </row>
    <row r="15" spans="1:35" s="13" customFormat="1" x14ac:dyDescent="0.2">
      <c r="A15" s="18"/>
      <c r="B15" s="20">
        <v>29.44</v>
      </c>
      <c r="C15" s="18">
        <v>73.8</v>
      </c>
      <c r="D15" s="18">
        <v>6</v>
      </c>
      <c r="E15" s="18">
        <v>2</v>
      </c>
      <c r="F15" s="10">
        <v>1</v>
      </c>
      <c r="G15" s="18">
        <v>1.3620000000000001</v>
      </c>
      <c r="H15" s="18">
        <v>3.1E-2</v>
      </c>
      <c r="I15" s="18">
        <v>1655</v>
      </c>
      <c r="J15" s="18">
        <v>1282</v>
      </c>
      <c r="K15" s="18">
        <f t="shared" si="0"/>
        <v>965.14745308310989</v>
      </c>
      <c r="L15" s="18">
        <f t="shared" si="1"/>
        <v>0.21564694082246741</v>
      </c>
      <c r="M15" s="18">
        <v>1681</v>
      </c>
      <c r="N15" s="18">
        <v>1370</v>
      </c>
      <c r="O15" s="18">
        <f t="shared" si="14"/>
        <v>0.10366666666666667</v>
      </c>
      <c r="P15" s="18">
        <f t="shared" si="15"/>
        <v>2.4115755627009645</v>
      </c>
      <c r="Q15" s="18">
        <f t="shared" si="2"/>
        <v>0.73505716980643876</v>
      </c>
      <c r="R15" s="18">
        <f t="shared" si="3"/>
        <v>1.1718377898477095</v>
      </c>
      <c r="S15" s="31">
        <f t="shared" si="4"/>
        <v>2.313157864020309E-3</v>
      </c>
      <c r="T15" s="18">
        <f t="shared" si="5"/>
        <v>0.41514265361664698</v>
      </c>
      <c r="U15" s="18">
        <f>AVERAGE(T13:T15)</f>
        <v>0.48095301462428242</v>
      </c>
      <c r="V15" s="18"/>
      <c r="W15" s="32">
        <f t="shared" si="6"/>
        <v>8.6463819521327961E-3</v>
      </c>
      <c r="X15" s="18">
        <v>1.994</v>
      </c>
      <c r="Y15" s="18">
        <v>0.43</v>
      </c>
      <c r="Z15" s="18">
        <f t="shared" si="7"/>
        <v>0.21564694082246741</v>
      </c>
      <c r="AA15" s="18">
        <f t="shared" si="8"/>
        <v>1.2149587783040684E-2</v>
      </c>
      <c r="AB15" s="18">
        <f t="shared" si="9"/>
        <v>2.17928650878647E-4</v>
      </c>
      <c r="AC15" s="10">
        <f t="shared" si="10"/>
        <v>9.0051507147308619E-4</v>
      </c>
      <c r="AD15" s="18">
        <f t="shared" si="11"/>
        <v>1.9543160708232192E-2</v>
      </c>
      <c r="AE15" s="11">
        <f t="shared" si="12"/>
        <v>4.7075771516069828E-2</v>
      </c>
      <c r="AH15" s="11">
        <f t="shared" si="13"/>
        <v>0.13142942154047935</v>
      </c>
    </row>
    <row r="16" spans="1:35" s="11" customFormat="1" x14ac:dyDescent="0.2">
      <c r="A16" s="10"/>
      <c r="B16" s="9">
        <v>29.44</v>
      </c>
      <c r="C16" s="10">
        <v>73.8</v>
      </c>
      <c r="D16" s="10">
        <v>7</v>
      </c>
      <c r="E16" s="10">
        <v>3</v>
      </c>
      <c r="F16" s="10">
        <v>1</v>
      </c>
      <c r="G16" s="10">
        <v>1.6</v>
      </c>
      <c r="H16" s="10">
        <v>4.1000000000000002E-2</v>
      </c>
      <c r="I16" s="10">
        <v>2020</v>
      </c>
      <c r="J16" s="10">
        <v>1649</v>
      </c>
      <c r="K16" s="10">
        <f t="shared" si="0"/>
        <v>970.3504043126685</v>
      </c>
      <c r="L16" s="10">
        <f t="shared" si="1"/>
        <v>0.21564694082246741</v>
      </c>
      <c r="M16" s="10">
        <v>2062</v>
      </c>
      <c r="N16" s="10">
        <v>1709</v>
      </c>
      <c r="O16" s="10">
        <f t="shared" si="14"/>
        <v>0.11766666666666667</v>
      </c>
      <c r="P16" s="10">
        <f t="shared" si="15"/>
        <v>2.1246458923512748</v>
      </c>
      <c r="Q16" s="10">
        <f t="shared" si="2"/>
        <v>0.64759994280397304</v>
      </c>
      <c r="R16" s="10">
        <f t="shared" si="3"/>
        <v>1.1718377898477095</v>
      </c>
      <c r="S16" s="17">
        <f>PI()*((1-L16)*((G16/12)/3.2808))^2</f>
        <v>3.1922068327716177E-3</v>
      </c>
      <c r="T16" s="10">
        <f t="shared" si="5"/>
        <v>0.51258088016101233</v>
      </c>
      <c r="U16" s="10"/>
      <c r="V16" s="10"/>
      <c r="W16" s="19">
        <f t="shared" si="6"/>
        <v>8.2864941714024896E-3</v>
      </c>
      <c r="X16" s="10">
        <v>1.994</v>
      </c>
      <c r="Y16" s="10">
        <v>0.43</v>
      </c>
      <c r="Z16" s="10">
        <f t="shared" si="7"/>
        <v>0.21564694082246741</v>
      </c>
      <c r="AA16" s="10">
        <f t="shared" si="8"/>
        <v>1.2149587783040684E-2</v>
      </c>
      <c r="AB16" s="10">
        <f t="shared" si="9"/>
        <v>3.0004888293848103E-4</v>
      </c>
      <c r="AC16" s="10">
        <f t="shared" si="10"/>
        <v>6.989761431995152E-4</v>
      </c>
      <c r="AD16" s="10">
        <f t="shared" si="11"/>
        <v>1.9989909569035312E-2</v>
      </c>
      <c r="AE16" s="11">
        <f t="shared" si="12"/>
        <v>3.8998547044431439E-2</v>
      </c>
      <c r="AH16" s="11">
        <f t="shared" si="13"/>
        <v>0.12595894347199615</v>
      </c>
    </row>
    <row r="17" spans="1:35" s="11" customFormat="1" x14ac:dyDescent="0.2">
      <c r="A17" s="10"/>
      <c r="B17" s="9">
        <v>29.44</v>
      </c>
      <c r="C17" s="10">
        <v>73.8</v>
      </c>
      <c r="D17" s="10">
        <v>8</v>
      </c>
      <c r="E17" s="10">
        <v>3</v>
      </c>
      <c r="F17" s="10">
        <v>1</v>
      </c>
      <c r="G17" s="10">
        <v>1.6</v>
      </c>
      <c r="H17" s="10">
        <v>4.1000000000000002E-2</v>
      </c>
      <c r="I17" s="10">
        <v>1948</v>
      </c>
      <c r="J17" s="10">
        <v>1560</v>
      </c>
      <c r="K17" s="10">
        <f t="shared" si="0"/>
        <v>927.83505154639181</v>
      </c>
      <c r="L17" s="10">
        <f t="shared" si="1"/>
        <v>0.21564694082246741</v>
      </c>
      <c r="M17" s="10">
        <v>1983</v>
      </c>
      <c r="N17" s="10">
        <v>1675</v>
      </c>
      <c r="O17" s="10">
        <f t="shared" si="14"/>
        <v>0.10266666666666667</v>
      </c>
      <c r="P17" s="10">
        <f t="shared" si="15"/>
        <v>2.4350649350649349</v>
      </c>
      <c r="Q17" s="10">
        <f t="shared" si="2"/>
        <v>0.7422168175642937</v>
      </c>
      <c r="R17" s="10">
        <f t="shared" si="3"/>
        <v>1.1718377898477095</v>
      </c>
      <c r="S17" s="17">
        <f t="shared" si="4"/>
        <v>3.1922068327716177E-3</v>
      </c>
      <c r="T17" s="10">
        <f t="shared" si="5"/>
        <v>0.39022440285689058</v>
      </c>
      <c r="U17" s="10"/>
      <c r="V17" s="10"/>
      <c r="W17" s="19">
        <f t="shared" si="6"/>
        <v>8.2864941714024896E-3</v>
      </c>
      <c r="X17" s="10">
        <v>1.994</v>
      </c>
      <c r="Y17" s="10">
        <v>0.43</v>
      </c>
      <c r="Z17" s="10">
        <f t="shared" si="7"/>
        <v>0.21564694082246741</v>
      </c>
      <c r="AA17" s="10">
        <f t="shared" si="8"/>
        <v>1.2149587783040684E-2</v>
      </c>
      <c r="AB17" s="10">
        <f t="shared" si="9"/>
        <v>3.0004888293848103E-4</v>
      </c>
      <c r="AC17" s="10">
        <f t="shared" si="10"/>
        <v>9.1814300712544678E-4</v>
      </c>
      <c r="AD17" s="10">
        <f t="shared" si="11"/>
        <v>1.5341257444211382E-2</v>
      </c>
      <c r="AE17" s="11">
        <f t="shared" si="12"/>
        <v>3.9313936626965834E-2</v>
      </c>
      <c r="AH17" s="11">
        <f t="shared" si="13"/>
        <v>0.12595894347199615</v>
      </c>
    </row>
    <row r="18" spans="1:35" s="11" customFormat="1" x14ac:dyDescent="0.2">
      <c r="A18" s="10"/>
      <c r="B18" s="9">
        <v>29.44</v>
      </c>
      <c r="C18" s="10">
        <v>73.8</v>
      </c>
      <c r="D18" s="10">
        <v>9</v>
      </c>
      <c r="E18" s="10">
        <v>3</v>
      </c>
      <c r="F18" s="10">
        <v>1</v>
      </c>
      <c r="G18" s="10">
        <v>1.6</v>
      </c>
      <c r="H18" s="10">
        <v>4.1000000000000002E-2</v>
      </c>
      <c r="I18" s="10">
        <v>1891</v>
      </c>
      <c r="J18" s="10">
        <v>1511</v>
      </c>
      <c r="K18" s="10">
        <f t="shared" si="0"/>
        <v>947.36842105263145</v>
      </c>
      <c r="L18" s="10">
        <f t="shared" si="1"/>
        <v>0.21564694082246741</v>
      </c>
      <c r="M18" s="10">
        <v>1932</v>
      </c>
      <c r="N18" s="10">
        <v>1537</v>
      </c>
      <c r="O18" s="10">
        <f t="shared" si="14"/>
        <v>0.13166666666666665</v>
      </c>
      <c r="P18" s="10">
        <f t="shared" si="15"/>
        <v>1.89873417721519</v>
      </c>
      <c r="Q18" s="10">
        <f t="shared" si="2"/>
        <v>0.57874121470836071</v>
      </c>
      <c r="R18" s="10">
        <f t="shared" si="3"/>
        <v>1.1718377898477095</v>
      </c>
      <c r="S18" s="17">
        <f t="shared" si="4"/>
        <v>3.1922068327716177E-3</v>
      </c>
      <c r="T18" s="10">
        <f t="shared" si="5"/>
        <v>0.64181103954868379</v>
      </c>
      <c r="U18" s="10">
        <f>AVERAGE(T16:T18)</f>
        <v>0.51487210752219559</v>
      </c>
      <c r="V18" s="10"/>
      <c r="W18" s="19">
        <f t="shared" si="6"/>
        <v>8.2864941714024896E-3</v>
      </c>
      <c r="X18" s="10">
        <v>1.994</v>
      </c>
      <c r="Y18" s="10">
        <v>0.43</v>
      </c>
      <c r="Z18" s="10">
        <f t="shared" si="7"/>
        <v>0.21564694082246741</v>
      </c>
      <c r="AA18" s="10">
        <f t="shared" si="8"/>
        <v>1.2149587783040684E-2</v>
      </c>
      <c r="AB18" s="10">
        <f t="shared" si="9"/>
        <v>3.0004888293848103E-4</v>
      </c>
      <c r="AC18" s="10">
        <f t="shared" si="10"/>
        <v>5.5823565600351488E-4</v>
      </c>
      <c r="AD18" s="10">
        <f t="shared" si="11"/>
        <v>2.4882383713271308E-2</v>
      </c>
      <c r="AE18" s="11">
        <f t="shared" si="12"/>
        <v>3.8769017950779396E-2</v>
      </c>
      <c r="AH18" s="11">
        <f t="shared" si="13"/>
        <v>0.12595894347199615</v>
      </c>
    </row>
    <row r="19" spans="1:35" s="13" customFormat="1" x14ac:dyDescent="0.2">
      <c r="A19" s="18"/>
      <c r="B19" s="20">
        <v>29.44</v>
      </c>
      <c r="C19" s="18">
        <v>73.900000000000006</v>
      </c>
      <c r="D19" s="18">
        <v>10</v>
      </c>
      <c r="E19" s="18">
        <v>4</v>
      </c>
      <c r="F19" s="10">
        <v>1</v>
      </c>
      <c r="G19" s="18">
        <v>1.446</v>
      </c>
      <c r="H19" s="18">
        <v>1.4E-2</v>
      </c>
      <c r="I19" s="18">
        <v>1754</v>
      </c>
      <c r="J19" s="18">
        <v>1276</v>
      </c>
      <c r="K19" s="18">
        <f t="shared" si="0"/>
        <v>753.13807531380758</v>
      </c>
      <c r="L19" s="18">
        <f t="shared" si="1"/>
        <v>0.21564694082246741</v>
      </c>
      <c r="M19" s="18">
        <v>1943</v>
      </c>
      <c r="N19" s="18">
        <v>1449</v>
      </c>
      <c r="O19" s="18">
        <f t="shared" si="14"/>
        <v>0.16466666666666666</v>
      </c>
      <c r="P19" s="18">
        <f t="shared" si="15"/>
        <v>1.5182186234817814</v>
      </c>
      <c r="Q19" s="18">
        <f t="shared" si="2"/>
        <v>0.4627586635825961</v>
      </c>
      <c r="R19" s="18">
        <f t="shared" si="3"/>
        <v>1.1716181677194326</v>
      </c>
      <c r="S19" s="31">
        <f t="shared" si="4"/>
        <v>2.6072798210748042E-3</v>
      </c>
      <c r="T19" s="18">
        <f t="shared" si="5"/>
        <v>0.41975497255115118</v>
      </c>
      <c r="U19" s="18"/>
      <c r="V19" s="18"/>
      <c r="W19" s="32">
        <f t="shared" si="6"/>
        <v>3.4643230830360468E-3</v>
      </c>
      <c r="X19" s="18">
        <v>1.994</v>
      </c>
      <c r="Y19" s="18">
        <v>0.43</v>
      </c>
      <c r="Z19" s="18">
        <f t="shared" si="7"/>
        <v>0.21564694082246741</v>
      </c>
      <c r="AA19" s="18">
        <f t="shared" si="8"/>
        <v>1.214723665617562E-2</v>
      </c>
      <c r="AB19" s="18">
        <f t="shared" si="9"/>
        <v>2.4541624095747385E-4</v>
      </c>
      <c r="AC19" s="10">
        <f t="shared" si="10"/>
        <v>3.5690930120125061E-4</v>
      </c>
      <c r="AD19" s="18">
        <f t="shared" si="11"/>
        <v>3.5831859883139722E-2</v>
      </c>
      <c r="AE19" s="11">
        <f t="shared" si="12"/>
        <v>8.5363753204313178E-2</v>
      </c>
      <c r="AH19" s="11">
        <f t="shared" si="13"/>
        <v>5.2659480156372847E-2</v>
      </c>
    </row>
    <row r="20" spans="1:35" s="13" customFormat="1" x14ac:dyDescent="0.2">
      <c r="A20" s="18"/>
      <c r="B20" s="20">
        <v>29.44</v>
      </c>
      <c r="C20" s="18">
        <v>73.900000000000006</v>
      </c>
      <c r="D20" s="18">
        <v>11</v>
      </c>
      <c r="E20" s="18">
        <v>4</v>
      </c>
      <c r="F20" s="10">
        <v>1</v>
      </c>
      <c r="G20" s="18">
        <v>1.446</v>
      </c>
      <c r="H20" s="18">
        <v>1.4E-2</v>
      </c>
      <c r="I20" s="18">
        <v>1619</v>
      </c>
      <c r="J20" s="18">
        <v>1087</v>
      </c>
      <c r="K20" s="18">
        <f t="shared" si="0"/>
        <v>676.69172932330821</v>
      </c>
      <c r="L20" s="18">
        <f t="shared" si="1"/>
        <v>0.21564694082246741</v>
      </c>
      <c r="M20" s="18">
        <v>1796</v>
      </c>
      <c r="N20" s="18">
        <v>1381</v>
      </c>
      <c r="O20" s="18">
        <f t="shared" si="14"/>
        <v>0.13833333333333334</v>
      </c>
      <c r="P20" s="18">
        <f t="shared" si="15"/>
        <v>1.8072289156626506</v>
      </c>
      <c r="Q20" s="18">
        <f t="shared" si="2"/>
        <v>0.55085007183084933</v>
      </c>
      <c r="R20" s="18">
        <f t="shared" si="3"/>
        <v>1.1716181677194326</v>
      </c>
      <c r="S20" s="31">
        <f t="shared" si="4"/>
        <v>2.6072798210748042E-3</v>
      </c>
      <c r="T20" s="18">
        <f t="shared" si="5"/>
        <v>0.29623621165574759</v>
      </c>
      <c r="U20" s="18"/>
      <c r="V20" s="18"/>
      <c r="W20" s="32">
        <f t="shared" si="6"/>
        <v>3.4643230830360468E-3</v>
      </c>
      <c r="X20" s="18">
        <v>1.994</v>
      </c>
      <c r="Y20" s="18">
        <v>0.43</v>
      </c>
      <c r="Z20" s="18">
        <f t="shared" si="7"/>
        <v>0.21564694082246741</v>
      </c>
      <c r="AA20" s="18">
        <f t="shared" si="8"/>
        <v>1.214723665617562E-2</v>
      </c>
      <c r="AB20" s="18">
        <f t="shared" si="9"/>
        <v>2.4541624095747385E-4</v>
      </c>
      <c r="AC20" s="10">
        <f t="shared" si="10"/>
        <v>5.0572633606008651E-4</v>
      </c>
      <c r="AD20" s="18">
        <f t="shared" si="11"/>
        <v>2.5374821078824862E-2</v>
      </c>
      <c r="AE20" s="11">
        <f t="shared" si="12"/>
        <v>8.565739123180735E-2</v>
      </c>
      <c r="AH20" s="11">
        <f t="shared" si="13"/>
        <v>5.2659480156372847E-2</v>
      </c>
    </row>
    <row r="21" spans="1:35" s="13" customFormat="1" x14ac:dyDescent="0.2">
      <c r="A21" s="18"/>
      <c r="B21" s="20">
        <v>29.44</v>
      </c>
      <c r="C21" s="18">
        <v>73.900000000000006</v>
      </c>
      <c r="D21" s="18">
        <v>12</v>
      </c>
      <c r="E21" s="18">
        <v>4</v>
      </c>
      <c r="F21" s="10">
        <v>1</v>
      </c>
      <c r="G21" s="18">
        <v>1.446</v>
      </c>
      <c r="H21" s="18">
        <v>1.4E-2</v>
      </c>
      <c r="I21" s="18">
        <v>1605</v>
      </c>
      <c r="J21" s="18">
        <v>1070</v>
      </c>
      <c r="K21" s="18">
        <f t="shared" si="0"/>
        <v>672.89719626168221</v>
      </c>
      <c r="L21" s="18">
        <f t="shared" si="1"/>
        <v>0.21564694082246741</v>
      </c>
      <c r="M21" s="18">
        <v>1481</v>
      </c>
      <c r="N21" s="18">
        <v>1181</v>
      </c>
      <c r="O21" s="18">
        <f t="shared" si="14"/>
        <v>0.1</v>
      </c>
      <c r="P21" s="18">
        <f t="shared" si="15"/>
        <v>2.5</v>
      </c>
      <c r="Q21" s="18">
        <f t="shared" si="2"/>
        <v>0.76200926603267494</v>
      </c>
      <c r="R21" s="18">
        <f t="shared" si="3"/>
        <v>1.1716181677194326</v>
      </c>
      <c r="S21" s="31">
        <f t="shared" si="4"/>
        <v>2.6072798210748042E-3</v>
      </c>
      <c r="T21" s="18">
        <f t="shared" si="5"/>
        <v>0.15480481375536237</v>
      </c>
      <c r="U21" s="18">
        <f>AVERAGE(T19:T21)</f>
        <v>0.29026533265408705</v>
      </c>
      <c r="V21" s="18"/>
      <c r="W21" s="32">
        <f t="shared" si="6"/>
        <v>3.4643230830360468E-3</v>
      </c>
      <c r="X21" s="18">
        <v>1.994</v>
      </c>
      <c r="Y21" s="18">
        <v>0.43</v>
      </c>
      <c r="Z21" s="18">
        <f t="shared" si="7"/>
        <v>0.21564694082246741</v>
      </c>
      <c r="AA21" s="18">
        <f t="shared" si="8"/>
        <v>1.214723665617562E-2</v>
      </c>
      <c r="AB21" s="18">
        <f t="shared" si="9"/>
        <v>2.4541624095747385E-4</v>
      </c>
      <c r="AC21" s="10">
        <f t="shared" si="10"/>
        <v>9.6776353586609321E-4</v>
      </c>
      <c r="AD21" s="18">
        <f t="shared" si="11"/>
        <v>1.33691380288473E-2</v>
      </c>
      <c r="AE21" s="11">
        <f t="shared" si="12"/>
        <v>8.6361255212480101E-2</v>
      </c>
      <c r="AH21" s="11">
        <f t="shared" si="13"/>
        <v>5.2659480156372847E-2</v>
      </c>
    </row>
    <row r="22" spans="1:35" s="11" customFormat="1" x14ac:dyDescent="0.2">
      <c r="A22" s="10"/>
      <c r="B22" s="9">
        <v>29.44</v>
      </c>
      <c r="C22" s="10">
        <v>73.900000000000006</v>
      </c>
      <c r="D22" s="10">
        <v>13</v>
      </c>
      <c r="E22" s="10">
        <v>5</v>
      </c>
      <c r="F22" s="10">
        <v>1</v>
      </c>
      <c r="G22" s="10">
        <v>1.42</v>
      </c>
      <c r="H22" s="10">
        <v>0.03</v>
      </c>
      <c r="I22" s="10">
        <v>1642</v>
      </c>
      <c r="J22" s="10">
        <v>1262</v>
      </c>
      <c r="K22" s="10">
        <f t="shared" si="0"/>
        <v>947.36842105263145</v>
      </c>
      <c r="L22" s="10">
        <f t="shared" si="1"/>
        <v>0.21564694082246741</v>
      </c>
      <c r="M22" s="10">
        <v>1695</v>
      </c>
      <c r="N22" s="10">
        <v>1390</v>
      </c>
      <c r="O22" s="10">
        <f t="shared" si="14"/>
        <v>0.10166666666666667</v>
      </c>
      <c r="P22" s="10">
        <f t="shared" si="15"/>
        <v>2.459016393442623</v>
      </c>
      <c r="Q22" s="10">
        <f t="shared" si="2"/>
        <v>0.74951731085181139</v>
      </c>
      <c r="R22" s="10">
        <f t="shared" si="3"/>
        <v>1.1716181677194326</v>
      </c>
      <c r="S22" s="17">
        <f t="shared" si="4"/>
        <v>2.5143616631252692E-3</v>
      </c>
      <c r="T22" s="10">
        <f t="shared" si="5"/>
        <v>0.35554514007345639</v>
      </c>
      <c r="U22" s="10"/>
      <c r="V22" s="10"/>
      <c r="W22" s="19">
        <f t="shared" si="6"/>
        <v>7.6978865058194923E-3</v>
      </c>
      <c r="X22" s="10">
        <v>1.994</v>
      </c>
      <c r="Y22" s="10">
        <v>0.43</v>
      </c>
      <c r="Z22" s="10">
        <f t="shared" si="7"/>
        <v>0.21564694082246741</v>
      </c>
      <c r="AA22" s="10">
        <f t="shared" si="8"/>
        <v>1.214723665617562E-2</v>
      </c>
      <c r="AB22" s="10">
        <f t="shared" si="9"/>
        <v>2.3673378032821235E-4</v>
      </c>
      <c r="AC22" s="10">
        <f t="shared" si="10"/>
        <v>9.3629366544421811E-4</v>
      </c>
      <c r="AD22" s="10">
        <f t="shared" si="11"/>
        <v>1.7142855963541804E-2</v>
      </c>
      <c r="AE22" s="11">
        <f t="shared" si="12"/>
        <v>4.8215694806009873E-2</v>
      </c>
      <c r="AH22" s="11">
        <f t="shared" si="13"/>
        <v>0.11701180634225335</v>
      </c>
    </row>
    <row r="23" spans="1:35" s="11" customFormat="1" x14ac:dyDescent="0.2">
      <c r="A23" s="10"/>
      <c r="B23" s="9">
        <v>29.44</v>
      </c>
      <c r="C23" s="10">
        <v>73.900000000000006</v>
      </c>
      <c r="D23" s="10">
        <v>14</v>
      </c>
      <c r="E23" s="10">
        <v>5</v>
      </c>
      <c r="F23" s="10">
        <v>1</v>
      </c>
      <c r="G23" s="10">
        <v>1.42</v>
      </c>
      <c r="H23" s="10">
        <v>0.03</v>
      </c>
      <c r="I23" s="10">
        <v>1475</v>
      </c>
      <c r="J23" s="10">
        <v>1086</v>
      </c>
      <c r="K23" s="10">
        <f t="shared" si="0"/>
        <v>925.44987146529559</v>
      </c>
      <c r="L23" s="10">
        <f t="shared" si="1"/>
        <v>0.21564694082246741</v>
      </c>
      <c r="M23" s="10">
        <v>1475</v>
      </c>
      <c r="N23" s="10">
        <v>1096</v>
      </c>
      <c r="O23" s="10">
        <f t="shared" si="14"/>
        <v>0.12633333333333333</v>
      </c>
      <c r="P23" s="10">
        <f t="shared" si="15"/>
        <v>1.9788918205804751</v>
      </c>
      <c r="Q23" s="10">
        <f t="shared" si="2"/>
        <v>0.60317356150343671</v>
      </c>
      <c r="R23" s="10">
        <f t="shared" si="3"/>
        <v>1.1716181677194326</v>
      </c>
      <c r="S23" s="17">
        <f t="shared" si="4"/>
        <v>2.5143616631252692E-3</v>
      </c>
      <c r="T23" s="10">
        <f t="shared" si="5"/>
        <v>0.54900144547477914</v>
      </c>
      <c r="U23" s="10"/>
      <c r="V23" s="10"/>
      <c r="W23" s="19">
        <f t="shared" si="6"/>
        <v>7.6978865058194923E-3</v>
      </c>
      <c r="X23" s="10">
        <v>1.994</v>
      </c>
      <c r="Y23" s="10">
        <v>0.43</v>
      </c>
      <c r="Z23" s="10">
        <f t="shared" si="7"/>
        <v>0.21564694082246741</v>
      </c>
      <c r="AA23" s="10">
        <f t="shared" si="8"/>
        <v>1.214723665617562E-2</v>
      </c>
      <c r="AB23" s="10">
        <f t="shared" si="9"/>
        <v>2.3673378032821235E-4</v>
      </c>
      <c r="AC23" s="10">
        <f t="shared" si="10"/>
        <v>6.0636390882790015E-4</v>
      </c>
      <c r="AD23" s="10">
        <f t="shared" si="11"/>
        <v>2.6202676376642035E-2</v>
      </c>
      <c r="AE23" s="11">
        <f t="shared" si="12"/>
        <v>4.7727882308181958E-2</v>
      </c>
      <c r="AH23" s="11">
        <f t="shared" si="13"/>
        <v>0.11701180634225335</v>
      </c>
    </row>
    <row r="24" spans="1:35" s="11" customFormat="1" x14ac:dyDescent="0.2">
      <c r="A24" s="10"/>
      <c r="B24" s="9">
        <v>29.44</v>
      </c>
      <c r="C24" s="10">
        <v>73.900000000000006</v>
      </c>
      <c r="D24" s="10">
        <v>15</v>
      </c>
      <c r="E24" s="10">
        <v>5</v>
      </c>
      <c r="F24" s="10">
        <v>1</v>
      </c>
      <c r="G24" s="10">
        <v>1.42</v>
      </c>
      <c r="H24" s="10">
        <v>0.03</v>
      </c>
      <c r="I24" s="10">
        <v>2249</v>
      </c>
      <c r="J24" s="10">
        <v>1855</v>
      </c>
      <c r="K24" s="10">
        <f t="shared" si="0"/>
        <v>913.70558375634516</v>
      </c>
      <c r="L24" s="10">
        <f t="shared" si="1"/>
        <v>0.21564694082246741</v>
      </c>
      <c r="M24" s="10">
        <v>2245</v>
      </c>
      <c r="N24" s="10">
        <v>1940</v>
      </c>
      <c r="O24" s="10">
        <f t="shared" si="14"/>
        <v>0.10166666666666667</v>
      </c>
      <c r="P24" s="10">
        <f t="shared" si="15"/>
        <v>2.459016393442623</v>
      </c>
      <c r="Q24" s="10">
        <f t="shared" si="2"/>
        <v>0.74951731085181139</v>
      </c>
      <c r="R24" s="10">
        <f t="shared" si="3"/>
        <v>1.1716181677194326</v>
      </c>
      <c r="S24" s="17">
        <f t="shared" si="4"/>
        <v>2.5143616631252692E-3</v>
      </c>
      <c r="T24" s="10">
        <f t="shared" si="5"/>
        <v>0.35554514007345639</v>
      </c>
      <c r="U24" s="10">
        <f>AVERAGE(T22:T24)</f>
        <v>0.42003057520723064</v>
      </c>
      <c r="V24" s="10"/>
      <c r="W24" s="19">
        <f t="shared" si="6"/>
        <v>7.6978865058194923E-3</v>
      </c>
      <c r="X24" s="10">
        <v>1.994</v>
      </c>
      <c r="Y24" s="10">
        <v>0.43</v>
      </c>
      <c r="Z24" s="10">
        <f t="shared" si="7"/>
        <v>0.21564694082246741</v>
      </c>
      <c r="AA24" s="10">
        <f t="shared" si="8"/>
        <v>1.214723665617562E-2</v>
      </c>
      <c r="AB24" s="10">
        <f t="shared" si="9"/>
        <v>2.3673378032821235E-4</v>
      </c>
      <c r="AC24" s="10">
        <f t="shared" si="10"/>
        <v>9.3629366544421811E-4</v>
      </c>
      <c r="AD24" s="10">
        <f t="shared" si="11"/>
        <v>1.7142855963541804E-2</v>
      </c>
      <c r="AE24" s="11">
        <f t="shared" si="12"/>
        <v>4.8215694806009873E-2</v>
      </c>
      <c r="AH24" s="11">
        <f t="shared" si="13"/>
        <v>0.11701180634225335</v>
      </c>
    </row>
    <row r="25" spans="1:35" s="13" customFormat="1" x14ac:dyDescent="0.2">
      <c r="A25" s="18"/>
      <c r="B25" s="20">
        <v>29.44</v>
      </c>
      <c r="C25" s="21">
        <v>73.900000000000006</v>
      </c>
      <c r="D25" s="18">
        <v>16</v>
      </c>
      <c r="E25" s="18">
        <v>6</v>
      </c>
      <c r="F25" s="10">
        <v>1</v>
      </c>
      <c r="G25" s="18">
        <v>1.4379999999999999</v>
      </c>
      <c r="H25" s="18">
        <v>2.3E-2</v>
      </c>
      <c r="I25" s="18">
        <v>1671</v>
      </c>
      <c r="J25" s="18">
        <v>1141</v>
      </c>
      <c r="K25" s="18">
        <f t="shared" si="0"/>
        <v>679.24528301886789</v>
      </c>
      <c r="L25" s="18">
        <f t="shared" si="1"/>
        <v>0.21564694082246741</v>
      </c>
      <c r="M25" s="18">
        <v>1684</v>
      </c>
      <c r="N25" s="18">
        <v>1311</v>
      </c>
      <c r="O25" s="18">
        <f t="shared" si="14"/>
        <v>0.12433333333333334</v>
      </c>
      <c r="P25" s="18">
        <f t="shared" si="15"/>
        <v>2.0107238605898123</v>
      </c>
      <c r="Q25" s="18">
        <f t="shared" si="2"/>
        <v>0.61287608528097182</v>
      </c>
      <c r="R25" s="18">
        <f t="shared" si="3"/>
        <v>1.1716181677194326</v>
      </c>
      <c r="S25" s="31">
        <f t="shared" si="4"/>
        <v>2.5785100569944495E-3</v>
      </c>
      <c r="T25" s="18">
        <f t="shared" si="5"/>
        <v>0.39753761655015496</v>
      </c>
      <c r="U25" s="18"/>
      <c r="V25" s="18"/>
      <c r="W25" s="32">
        <f t="shared" si="6"/>
        <v>5.754889667010531E-3</v>
      </c>
      <c r="X25" s="18">
        <v>1.994</v>
      </c>
      <c r="Y25" s="18">
        <v>0.43</v>
      </c>
      <c r="Z25" s="18">
        <f t="shared" si="7"/>
        <v>0.21564694082246741</v>
      </c>
      <c r="AA25" s="18">
        <f t="shared" si="8"/>
        <v>1.214723665617562E-2</v>
      </c>
      <c r="AB25" s="18">
        <f t="shared" si="9"/>
        <v>2.4272806131238637E-4</v>
      </c>
      <c r="AC25" s="10">
        <f t="shared" si="10"/>
        <v>6.2602849318221495E-4</v>
      </c>
      <c r="AD25" s="18">
        <f t="shared" si="11"/>
        <v>2.3021858901374141E-2</v>
      </c>
      <c r="AE25" s="11">
        <f t="shared" si="12"/>
        <v>5.7911145871323122E-2</v>
      </c>
      <c r="AH25" s="11">
        <f t="shared" si="13"/>
        <v>8.7477262067737427E-2</v>
      </c>
    </row>
    <row r="26" spans="1:35" s="13" customFormat="1" x14ac:dyDescent="0.2">
      <c r="A26" s="18"/>
      <c r="B26" s="20">
        <v>29.44</v>
      </c>
      <c r="C26" s="21">
        <v>73.900000000000006</v>
      </c>
      <c r="D26" s="18">
        <v>17</v>
      </c>
      <c r="E26" s="18">
        <v>6</v>
      </c>
      <c r="F26" s="10">
        <v>1</v>
      </c>
      <c r="G26" s="18">
        <v>1.4379999999999999</v>
      </c>
      <c r="H26" s="18">
        <v>2.3E-2</v>
      </c>
      <c r="I26" s="18">
        <v>1527</v>
      </c>
      <c r="J26" s="18">
        <v>1166</v>
      </c>
      <c r="K26" s="18">
        <f t="shared" si="0"/>
        <v>997.22991689750688</v>
      </c>
      <c r="L26" s="18">
        <f t="shared" si="1"/>
        <v>0.21564694082246741</v>
      </c>
      <c r="M26" s="18">
        <v>1548</v>
      </c>
      <c r="N26" s="18">
        <v>1278</v>
      </c>
      <c r="O26" s="18">
        <f t="shared" si="14"/>
        <v>0.09</v>
      </c>
      <c r="P26" s="18">
        <f t="shared" si="15"/>
        <v>2.7777777777777777</v>
      </c>
      <c r="Q26" s="18">
        <f t="shared" si="2"/>
        <v>0.84667696225852762</v>
      </c>
      <c r="R26" s="18">
        <f t="shared" si="3"/>
        <v>1.1716181677194326</v>
      </c>
      <c r="S26" s="31">
        <f t="shared" si="4"/>
        <v>2.5785100569944495E-3</v>
      </c>
      <c r="T26" s="18">
        <f t="shared" si="5"/>
        <v>0.20829943610969898</v>
      </c>
      <c r="U26" s="18"/>
      <c r="V26" s="18"/>
      <c r="W26" s="32">
        <f t="shared" si="6"/>
        <v>5.754889667010531E-3</v>
      </c>
      <c r="X26" s="18">
        <v>1.994</v>
      </c>
      <c r="Y26" s="18">
        <v>0.43</v>
      </c>
      <c r="Z26" s="18">
        <f t="shared" si="7"/>
        <v>0.21564694082246741</v>
      </c>
      <c r="AA26" s="18">
        <f t="shared" si="8"/>
        <v>1.214723665617562E-2</v>
      </c>
      <c r="AB26" s="18">
        <f t="shared" si="9"/>
        <v>2.4272806131238637E-4</v>
      </c>
      <c r="AC26" s="10">
        <f t="shared" si="10"/>
        <v>1.1947697973655471E-3</v>
      </c>
      <c r="AD26" s="18">
        <f t="shared" si="11"/>
        <v>1.2225194332251057E-2</v>
      </c>
      <c r="AE26" s="11">
        <f t="shared" si="12"/>
        <v>5.8690482127914979E-2</v>
      </c>
      <c r="AH26" s="11">
        <f t="shared" si="13"/>
        <v>8.7477262067737427E-2</v>
      </c>
    </row>
    <row r="27" spans="1:35" s="13" customFormat="1" x14ac:dyDescent="0.2">
      <c r="A27" s="18"/>
      <c r="B27" s="20">
        <v>29.44</v>
      </c>
      <c r="C27" s="21">
        <v>73.900000000000006</v>
      </c>
      <c r="D27" s="18">
        <v>18</v>
      </c>
      <c r="E27" s="18">
        <v>6</v>
      </c>
      <c r="F27" s="10">
        <v>1</v>
      </c>
      <c r="G27" s="18">
        <v>1.4379999999999999</v>
      </c>
      <c r="H27" s="18">
        <v>2.3E-2</v>
      </c>
      <c r="I27" s="18">
        <v>1459</v>
      </c>
      <c r="J27" s="18">
        <v>1049</v>
      </c>
      <c r="K27" s="18">
        <f t="shared" si="0"/>
        <v>878.04878048780495</v>
      </c>
      <c r="L27" s="18">
        <f t="shared" si="1"/>
        <v>0.21564694082246741</v>
      </c>
      <c r="M27" s="18">
        <v>1436</v>
      </c>
      <c r="N27" s="18">
        <v>1144</v>
      </c>
      <c r="O27" s="18">
        <f t="shared" si="14"/>
        <v>9.7333333333333327E-2</v>
      </c>
      <c r="P27" s="18">
        <f t="shared" si="15"/>
        <v>2.5684931506849318</v>
      </c>
      <c r="Q27" s="18">
        <f t="shared" si="2"/>
        <v>0.78288623222535103</v>
      </c>
      <c r="R27" s="18">
        <f t="shared" si="3"/>
        <v>1.1716181677194326</v>
      </c>
      <c r="S27" s="31">
        <f t="shared" si="4"/>
        <v>2.5785100569944495E-3</v>
      </c>
      <c r="T27" s="18">
        <f t="shared" si="5"/>
        <v>0.24362747764687745</v>
      </c>
      <c r="U27" s="18">
        <f>AVERAGE(T25:T27)</f>
        <v>0.28315484343557712</v>
      </c>
      <c r="V27" s="18">
        <f>AVERAGE(T10:T27)</f>
        <v>0.41345979031663188</v>
      </c>
      <c r="W27" s="32">
        <f t="shared" si="6"/>
        <v>5.754889667010531E-3</v>
      </c>
      <c r="X27" s="18">
        <v>1.994</v>
      </c>
      <c r="Y27" s="18">
        <v>0.43</v>
      </c>
      <c r="Z27" s="18">
        <f t="shared" si="7"/>
        <v>0.21564694082246741</v>
      </c>
      <c r="AA27" s="18">
        <f t="shared" si="8"/>
        <v>1.214723665617562E-2</v>
      </c>
      <c r="AB27" s="18">
        <f t="shared" si="9"/>
        <v>2.4272806131238637E-4</v>
      </c>
      <c r="AC27" s="10">
        <f t="shared" si="10"/>
        <v>1.0215180876800103E-3</v>
      </c>
      <c r="AD27" s="18">
        <f t="shared" si="11"/>
        <v>1.4246810207185615E-2</v>
      </c>
      <c r="AE27" s="11">
        <f t="shared" si="12"/>
        <v>5.8477846361137724E-2</v>
      </c>
      <c r="AF27" s="13">
        <f>AVERAGE(AE10:AE27)</f>
        <v>5.2978753098973576E-2</v>
      </c>
      <c r="AG27" s="11">
        <f>STDEV(Q11:Q27)</f>
        <v>9.663381058332858E-2</v>
      </c>
      <c r="AH27" s="11">
        <f t="shared" si="13"/>
        <v>8.7477262067737427E-2</v>
      </c>
      <c r="AI27" s="13">
        <f>STDEV(AH10:AH27)</f>
        <v>3.0042166218675958E-2</v>
      </c>
    </row>
    <row r="28" spans="1:35" s="11" customFormat="1" x14ac:dyDescent="0.2">
      <c r="A28" s="10"/>
      <c r="B28" s="9">
        <v>29.44</v>
      </c>
      <c r="C28" s="12">
        <v>73.900000000000006</v>
      </c>
      <c r="D28" s="10">
        <v>19</v>
      </c>
      <c r="E28" s="10">
        <v>7</v>
      </c>
      <c r="F28" s="10">
        <v>2</v>
      </c>
      <c r="G28" s="10">
        <v>1.698</v>
      </c>
      <c r="H28" s="10">
        <v>0.13500000000000001</v>
      </c>
      <c r="I28" s="10">
        <v>1619</v>
      </c>
      <c r="J28" s="10">
        <v>1327</v>
      </c>
      <c r="K28" s="10">
        <f t="shared" si="0"/>
        <v>1232.8767123287671</v>
      </c>
      <c r="L28" s="10">
        <f t="shared" si="1"/>
        <v>0.15495867768595042</v>
      </c>
      <c r="M28" s="10">
        <v>1615</v>
      </c>
      <c r="N28" s="10">
        <v>1361</v>
      </c>
      <c r="O28" s="10">
        <f t="shared" si="14"/>
        <v>8.4666666666666668E-2</v>
      </c>
      <c r="P28" s="10">
        <f t="shared" si="15"/>
        <v>2.9527559055118111</v>
      </c>
      <c r="Q28" s="10">
        <f t="shared" si="2"/>
        <v>0.90001094413308069</v>
      </c>
      <c r="R28" s="10">
        <f t="shared" si="3"/>
        <v>1.1716181677194326</v>
      </c>
      <c r="S28" s="17">
        <f t="shared" si="4"/>
        <v>4.1731032742034577E-3</v>
      </c>
      <c r="T28" s="10">
        <f t="shared" si="5"/>
        <v>0.66856498703970157</v>
      </c>
      <c r="U28" s="10"/>
      <c r="V28" s="10"/>
      <c r="W28" s="19">
        <f t="shared" si="6"/>
        <v>2.0871450454236214E-2</v>
      </c>
      <c r="X28" s="10">
        <v>1.9359999999999999</v>
      </c>
      <c r="Y28" s="10">
        <v>0.3</v>
      </c>
      <c r="Z28" s="10">
        <f t="shared" si="7"/>
        <v>0.15495867768595042</v>
      </c>
      <c r="AA28" s="10">
        <f t="shared" si="8"/>
        <v>1.214723665617562E-2</v>
      </c>
      <c r="AB28" s="10">
        <f t="shared" si="9"/>
        <v>5.4352384524565403E-4</v>
      </c>
      <c r="AC28" s="10">
        <f t="shared" si="10"/>
        <v>1.3500328325988654E-3</v>
      </c>
      <c r="AD28" s="10">
        <f t="shared" si="11"/>
        <v>1.5442650718154203E-2</v>
      </c>
      <c r="AE28" s="11">
        <f t="shared" si="12"/>
        <v>2.3098204389272285E-2</v>
      </c>
      <c r="AG28" s="11" t="s">
        <v>100</v>
      </c>
      <c r="AH28" s="11">
        <f t="shared" si="13"/>
        <v>0.31725670634228631</v>
      </c>
    </row>
    <row r="29" spans="1:35" s="11" customFormat="1" x14ac:dyDescent="0.2">
      <c r="A29" s="10"/>
      <c r="B29" s="9">
        <v>29.44</v>
      </c>
      <c r="C29" s="12">
        <v>73.900000000000006</v>
      </c>
      <c r="D29" s="10">
        <v>20</v>
      </c>
      <c r="E29" s="10">
        <v>7</v>
      </c>
      <c r="F29" s="10">
        <v>2</v>
      </c>
      <c r="G29" s="10">
        <v>1.698</v>
      </c>
      <c r="H29" s="10">
        <v>0.13500000000000001</v>
      </c>
      <c r="I29" s="10">
        <v>1583</v>
      </c>
      <c r="J29" s="10">
        <v>1271</v>
      </c>
      <c r="K29" s="10">
        <f t="shared" si="0"/>
        <v>1153.8461538461538</v>
      </c>
      <c r="L29" s="10">
        <f t="shared" si="1"/>
        <v>0.15495867768595042</v>
      </c>
      <c r="M29" s="10">
        <v>1619</v>
      </c>
      <c r="N29" s="10">
        <v>1416</v>
      </c>
      <c r="O29" s="10">
        <f t="shared" si="14"/>
        <v>6.7666666666666667E-2</v>
      </c>
      <c r="P29" s="10">
        <f t="shared" si="15"/>
        <v>3.6945812807881775</v>
      </c>
      <c r="Q29" s="10">
        <f t="shared" si="2"/>
        <v>1.1261220680285837</v>
      </c>
      <c r="R29" s="10">
        <f t="shared" si="3"/>
        <v>1.1716181677194326</v>
      </c>
      <c r="S29" s="17">
        <f t="shared" si="4"/>
        <v>4.1731032742034577E-3</v>
      </c>
      <c r="T29" s="10">
        <f t="shared" si="5"/>
        <v>0.42703971961868464</v>
      </c>
      <c r="U29" s="10"/>
      <c r="V29" s="10"/>
      <c r="W29" s="19">
        <f t="shared" si="6"/>
        <v>2.0871450454236214E-2</v>
      </c>
      <c r="X29" s="10">
        <v>1.9359999999999999</v>
      </c>
      <c r="Y29" s="10">
        <v>0.3</v>
      </c>
      <c r="Z29" s="10">
        <f t="shared" si="7"/>
        <v>0.15495867768595042</v>
      </c>
      <c r="AA29" s="10">
        <f t="shared" si="8"/>
        <v>1.214723665617562E-2</v>
      </c>
      <c r="AB29" s="10">
        <f t="shared" si="9"/>
        <v>5.4352384524565403E-4</v>
      </c>
      <c r="AC29" s="10">
        <f t="shared" si="10"/>
        <v>2.1135848535016235E-3</v>
      </c>
      <c r="AD29" s="10">
        <f t="shared" si="11"/>
        <v>1.0185712162593244E-2</v>
      </c>
      <c r="AE29" s="11">
        <f t="shared" si="12"/>
        <v>2.3851908135590627E-2</v>
      </c>
      <c r="AH29" s="11">
        <f t="shared" si="13"/>
        <v>0.31725670634228631</v>
      </c>
    </row>
    <row r="30" spans="1:35" s="11" customFormat="1" x14ac:dyDescent="0.2">
      <c r="A30" s="10"/>
      <c r="B30" s="9">
        <v>29.44</v>
      </c>
      <c r="C30" s="12">
        <v>73.900000000000006</v>
      </c>
      <c r="D30" s="10">
        <v>21</v>
      </c>
      <c r="E30" s="10">
        <v>7</v>
      </c>
      <c r="F30" s="10">
        <v>2</v>
      </c>
      <c r="G30" s="10">
        <v>1.698</v>
      </c>
      <c r="H30" s="10">
        <v>0.13500000000000001</v>
      </c>
      <c r="I30" s="10">
        <v>1807</v>
      </c>
      <c r="J30" s="10">
        <v>1495</v>
      </c>
      <c r="K30" s="10">
        <f t="shared" si="0"/>
        <v>1153.8461538461538</v>
      </c>
      <c r="L30" s="10">
        <f t="shared" si="1"/>
        <v>0.15495867768595042</v>
      </c>
      <c r="M30" s="10">
        <v>1802</v>
      </c>
      <c r="N30" s="10">
        <v>1567</v>
      </c>
      <c r="O30" s="10">
        <f t="shared" si="14"/>
        <v>7.8333333333333338E-2</v>
      </c>
      <c r="P30" s="10">
        <f t="shared" si="15"/>
        <v>3.1914893617021276</v>
      </c>
      <c r="Q30" s="10">
        <f t="shared" si="2"/>
        <v>0.97277778642469137</v>
      </c>
      <c r="R30" s="10">
        <f t="shared" si="3"/>
        <v>1.1716181677194326</v>
      </c>
      <c r="S30" s="17">
        <f t="shared" si="4"/>
        <v>4.1731032742034577E-3</v>
      </c>
      <c r="T30" s="10">
        <f t="shared" si="5"/>
        <v>0.57228441641247929</v>
      </c>
      <c r="U30" s="10">
        <f>AVERAGE(T28:T30)</f>
        <v>0.55596304102362193</v>
      </c>
      <c r="V30" s="10"/>
      <c r="W30" s="19">
        <f t="shared" si="6"/>
        <v>2.0871450454236214E-2</v>
      </c>
      <c r="X30" s="10">
        <v>1.9359999999999999</v>
      </c>
      <c r="Y30" s="10">
        <v>0.3</v>
      </c>
      <c r="Z30" s="10">
        <f t="shared" si="7"/>
        <v>0.15495867768595042</v>
      </c>
      <c r="AA30" s="10">
        <f t="shared" si="8"/>
        <v>1.214723665617562E-2</v>
      </c>
      <c r="AB30" s="10">
        <f t="shared" si="9"/>
        <v>5.4352384524565403E-4</v>
      </c>
      <c r="AC30" s="10">
        <f t="shared" si="10"/>
        <v>1.5771610362688706E-3</v>
      </c>
      <c r="AD30" s="10">
        <f t="shared" si="11"/>
        <v>1.3357553518674301E-2</v>
      </c>
      <c r="AE30" s="11">
        <f t="shared" si="12"/>
        <v>2.3340760530244319E-2</v>
      </c>
      <c r="AH30" s="11">
        <f t="shared" si="13"/>
        <v>0.31725670634228631</v>
      </c>
    </row>
    <row r="31" spans="1:35" s="13" customFormat="1" x14ac:dyDescent="0.2">
      <c r="A31" s="18"/>
      <c r="B31" s="20">
        <v>29.44</v>
      </c>
      <c r="C31" s="21">
        <v>73.900000000000006</v>
      </c>
      <c r="D31" s="18">
        <v>22</v>
      </c>
      <c r="E31" s="18">
        <v>8</v>
      </c>
      <c r="F31" s="10">
        <v>2</v>
      </c>
      <c r="G31" s="18">
        <v>1.4470000000000001</v>
      </c>
      <c r="H31" s="18">
        <v>9.9000000000000005E-2</v>
      </c>
      <c r="I31" s="18">
        <v>1625</v>
      </c>
      <c r="J31" s="18">
        <v>1371</v>
      </c>
      <c r="K31" s="18">
        <f t="shared" si="0"/>
        <v>1417.3228346456692</v>
      </c>
      <c r="L31" s="18">
        <f t="shared" si="1"/>
        <v>0.15495867768595042</v>
      </c>
      <c r="M31" s="18">
        <v>1686</v>
      </c>
      <c r="N31" s="18">
        <v>1468</v>
      </c>
      <c r="O31" s="18">
        <f t="shared" si="14"/>
        <v>7.2666666666666671E-2</v>
      </c>
      <c r="P31" s="18">
        <f t="shared" si="15"/>
        <v>3.4403669724770638</v>
      </c>
      <c r="Q31" s="18">
        <f t="shared" si="2"/>
        <v>1.0486366046321214</v>
      </c>
      <c r="R31" s="18">
        <f t="shared" si="3"/>
        <v>1.1716181677194326</v>
      </c>
      <c r="S31" s="31">
        <f t="shared" si="4"/>
        <v>3.0305455990823635E-3</v>
      </c>
      <c r="T31" s="18">
        <f t="shared" si="5"/>
        <v>0.49731197663825666</v>
      </c>
      <c r="U31" s="18"/>
      <c r="V31" s="18"/>
      <c r="W31" s="32">
        <f t="shared" si="6"/>
        <v>2.1076202709671296E-2</v>
      </c>
      <c r="X31" s="18">
        <v>1.9359999999999999</v>
      </c>
      <c r="Y31" s="18">
        <v>0.3</v>
      </c>
      <c r="Z31" s="18">
        <f t="shared" si="7"/>
        <v>0.15495867768595042</v>
      </c>
      <c r="AA31" s="18">
        <f t="shared" si="8"/>
        <v>1.214723665617562E-2</v>
      </c>
      <c r="AB31" s="18">
        <f t="shared" si="9"/>
        <v>3.9533114788652433E-4</v>
      </c>
      <c r="AC31" s="10">
        <f t="shared" si="10"/>
        <v>1.8327312142906401E-3</v>
      </c>
      <c r="AD31" s="18">
        <f t="shared" si="11"/>
        <v>1.2999254294883267E-2</v>
      </c>
      <c r="AE31" s="11">
        <f t="shared" si="12"/>
        <v>2.6139033253845981E-2</v>
      </c>
      <c r="AH31" s="11">
        <f t="shared" si="13"/>
        <v>0.32036904519568438</v>
      </c>
    </row>
    <row r="32" spans="1:35" s="13" customFormat="1" x14ac:dyDescent="0.2">
      <c r="A32" s="18"/>
      <c r="B32" s="20">
        <v>29.44</v>
      </c>
      <c r="C32" s="21">
        <v>73.900000000000006</v>
      </c>
      <c r="D32" s="18">
        <v>23</v>
      </c>
      <c r="E32" s="18">
        <v>8</v>
      </c>
      <c r="F32" s="10">
        <v>2</v>
      </c>
      <c r="G32" s="18">
        <v>1.4470000000000001</v>
      </c>
      <c r="H32" s="18">
        <v>9.9000000000000005E-2</v>
      </c>
      <c r="I32" s="18">
        <v>1543</v>
      </c>
      <c r="J32" s="18">
        <v>1274</v>
      </c>
      <c r="K32" s="18">
        <f t="shared" si="0"/>
        <v>1338.2899628252787</v>
      </c>
      <c r="L32" s="18">
        <f t="shared" si="1"/>
        <v>0.15495867768595042</v>
      </c>
      <c r="M32" s="18">
        <v>1585</v>
      </c>
      <c r="N32" s="18">
        <v>1341</v>
      </c>
      <c r="O32" s="18">
        <f t="shared" si="14"/>
        <v>8.1333333333333327E-2</v>
      </c>
      <c r="P32" s="18">
        <f t="shared" si="15"/>
        <v>3.0737704918032791</v>
      </c>
      <c r="Q32" s="18">
        <f t="shared" si="2"/>
        <v>0.93689663856476435</v>
      </c>
      <c r="R32" s="18">
        <f t="shared" si="3"/>
        <v>1.1716181677194326</v>
      </c>
      <c r="S32" s="31">
        <f t="shared" si="4"/>
        <v>3.0305455990823635E-3</v>
      </c>
      <c r="T32" s="18">
        <f t="shared" si="5"/>
        <v>0.62301081224508115</v>
      </c>
      <c r="U32" s="18"/>
      <c r="V32" s="18"/>
      <c r="W32" s="32">
        <f t="shared" si="6"/>
        <v>2.1076202709671296E-2</v>
      </c>
      <c r="X32" s="18">
        <v>1.9359999999999999</v>
      </c>
      <c r="Y32" s="18">
        <v>0.3</v>
      </c>
      <c r="Z32" s="18">
        <f t="shared" si="7"/>
        <v>0.15495867768595042</v>
      </c>
      <c r="AA32" s="18">
        <f t="shared" si="8"/>
        <v>1.214723665617562E-2</v>
      </c>
      <c r="AB32" s="18">
        <f t="shared" si="9"/>
        <v>3.9533114788652433E-4</v>
      </c>
      <c r="AC32" s="10">
        <f t="shared" si="10"/>
        <v>1.4629588522565911E-3</v>
      </c>
      <c r="AD32" s="18">
        <f t="shared" si="11"/>
        <v>1.6052849648713566E-2</v>
      </c>
      <c r="AE32" s="11">
        <f t="shared" si="12"/>
        <v>2.5766566700288127E-2</v>
      </c>
      <c r="AH32" s="11">
        <f t="shared" si="13"/>
        <v>0.32036904519568438</v>
      </c>
    </row>
    <row r="33" spans="1:35" s="13" customFormat="1" x14ac:dyDescent="0.2">
      <c r="A33" s="18"/>
      <c r="B33" s="20">
        <v>29.44</v>
      </c>
      <c r="C33" s="21">
        <v>73.900000000000006</v>
      </c>
      <c r="D33" s="18">
        <v>24</v>
      </c>
      <c r="E33" s="18">
        <v>8</v>
      </c>
      <c r="F33" s="10">
        <v>2</v>
      </c>
      <c r="G33" s="18">
        <v>1.4470000000000001</v>
      </c>
      <c r="H33" s="18">
        <v>9.9000000000000005E-2</v>
      </c>
      <c r="I33" s="18">
        <v>2045</v>
      </c>
      <c r="J33" s="18">
        <v>1742</v>
      </c>
      <c r="K33" s="18">
        <f t="shared" si="0"/>
        <v>1188.1188118811881</v>
      </c>
      <c r="L33" s="18">
        <f t="shared" si="1"/>
        <v>0.15495867768595042</v>
      </c>
      <c r="M33" s="18">
        <v>2080</v>
      </c>
      <c r="N33" s="18">
        <v>1831</v>
      </c>
      <c r="O33" s="18">
        <f t="shared" si="14"/>
        <v>8.3000000000000004E-2</v>
      </c>
      <c r="P33" s="18">
        <f t="shared" si="15"/>
        <v>3.012048192771084</v>
      </c>
      <c r="Q33" s="18">
        <f t="shared" si="2"/>
        <v>0.91808345305141548</v>
      </c>
      <c r="R33" s="18">
        <f t="shared" si="3"/>
        <v>1.1716181677194326</v>
      </c>
      <c r="S33" s="31">
        <f t="shared" si="4"/>
        <v>3.0305455990823635E-3</v>
      </c>
      <c r="T33" s="18">
        <f t="shared" si="5"/>
        <v>0.64880565321834338</v>
      </c>
      <c r="U33" s="18">
        <f>AVERAGE(T31:T33)</f>
        <v>0.5897094807005604</v>
      </c>
      <c r="V33" s="18"/>
      <c r="W33" s="32">
        <f t="shared" si="6"/>
        <v>2.1076202709671296E-2</v>
      </c>
      <c r="X33" s="18">
        <v>1.9359999999999999</v>
      </c>
      <c r="Y33" s="18">
        <v>0.3</v>
      </c>
      <c r="Z33" s="18">
        <f t="shared" si="7"/>
        <v>0.15495867768595042</v>
      </c>
      <c r="AA33" s="18">
        <f t="shared" si="8"/>
        <v>1.214723665617562E-2</v>
      </c>
      <c r="AB33" s="18">
        <f t="shared" si="9"/>
        <v>3.9533114788652433E-4</v>
      </c>
      <c r="AC33" s="10">
        <f t="shared" si="10"/>
        <v>1.4047953779446846E-3</v>
      </c>
      <c r="AD33" s="18">
        <f t="shared" si="11"/>
        <v>1.6676807135454101E-2</v>
      </c>
      <c r="AE33" s="11">
        <f t="shared" si="12"/>
        <v>2.5703856081910302E-2</v>
      </c>
      <c r="AH33" s="11">
        <f t="shared" si="13"/>
        <v>0.32036904519568438</v>
      </c>
    </row>
    <row r="34" spans="1:35" s="11" customFormat="1" x14ac:dyDescent="0.2">
      <c r="A34" s="10"/>
      <c r="B34" s="9">
        <v>29.44</v>
      </c>
      <c r="C34" s="12">
        <v>74.099999999999994</v>
      </c>
      <c r="D34" s="10">
        <v>25</v>
      </c>
      <c r="E34" s="10">
        <v>9</v>
      </c>
      <c r="F34" s="10">
        <v>2</v>
      </c>
      <c r="G34" s="10">
        <v>1.6579999999999999</v>
      </c>
      <c r="H34" s="10">
        <v>0.109</v>
      </c>
      <c r="I34" s="10">
        <v>1609</v>
      </c>
      <c r="J34" s="10">
        <v>1286</v>
      </c>
      <c r="K34" s="10">
        <f t="shared" si="0"/>
        <v>1114.5510835913312</v>
      </c>
      <c r="L34" s="10">
        <f t="shared" si="1"/>
        <v>0.15495867768595042</v>
      </c>
      <c r="M34" s="10">
        <v>1596</v>
      </c>
      <c r="N34" s="10">
        <v>1348</v>
      </c>
      <c r="O34" s="10">
        <f t="shared" si="14"/>
        <v>8.2666666666666666E-2</v>
      </c>
      <c r="P34" s="10">
        <f t="shared" si="15"/>
        <v>3.024193548387097</v>
      </c>
      <c r="Q34" s="10">
        <f t="shared" si="2"/>
        <v>0.92178540245888096</v>
      </c>
      <c r="R34" s="10">
        <f t="shared" si="3"/>
        <v>1.1711791703356458</v>
      </c>
      <c r="S34" s="17">
        <f t="shared" si="4"/>
        <v>3.9788064490294244E-3</v>
      </c>
      <c r="T34" s="10">
        <f t="shared" si="5"/>
        <v>0.53993485474028768</v>
      </c>
      <c r="U34" s="10"/>
      <c r="V34" s="10"/>
      <c r="W34" s="19">
        <f t="shared" si="6"/>
        <v>1.7674684902074266E-2</v>
      </c>
      <c r="X34" s="10">
        <v>1.9359999999999999</v>
      </c>
      <c r="Y34" s="10">
        <v>0.3</v>
      </c>
      <c r="Z34" s="10">
        <f t="shared" si="7"/>
        <v>0.15495867768595042</v>
      </c>
      <c r="AA34" s="10">
        <f t="shared" si="8"/>
        <v>1.2142537128550767E-2</v>
      </c>
      <c r="AB34" s="10">
        <f t="shared" si="9"/>
        <v>5.1833081095830496E-4</v>
      </c>
      <c r="AC34" s="10">
        <f t="shared" si="10"/>
        <v>1.4161472136438018E-3</v>
      </c>
      <c r="AD34" s="10">
        <f t="shared" si="11"/>
        <v>1.3448588227166474E-2</v>
      </c>
      <c r="AE34" s="11">
        <f t="shared" si="12"/>
        <v>2.4907797874310848E-2</v>
      </c>
      <c r="AH34" s="11">
        <f t="shared" si="13"/>
        <v>0.26866423730180666</v>
      </c>
    </row>
    <row r="35" spans="1:35" s="11" customFormat="1" x14ac:dyDescent="0.2">
      <c r="A35" s="10"/>
      <c r="B35" s="9">
        <v>29.44</v>
      </c>
      <c r="C35" s="12">
        <v>74.099999999999994</v>
      </c>
      <c r="D35" s="10">
        <v>26</v>
      </c>
      <c r="E35" s="10">
        <v>9</v>
      </c>
      <c r="F35" s="10">
        <v>2</v>
      </c>
      <c r="G35" s="10">
        <v>1.6579999999999999</v>
      </c>
      <c r="H35" s="10">
        <v>0.109</v>
      </c>
      <c r="I35" s="10">
        <v>1774</v>
      </c>
      <c r="J35" s="10">
        <v>1480</v>
      </c>
      <c r="K35" s="10">
        <f t="shared" si="0"/>
        <v>1224.4897959183672</v>
      </c>
      <c r="L35" s="10">
        <f t="shared" si="1"/>
        <v>0.15495867768595042</v>
      </c>
      <c r="M35" s="10">
        <v>1806</v>
      </c>
      <c r="N35" s="10">
        <v>1549</v>
      </c>
      <c r="O35" s="10">
        <f t="shared" si="14"/>
        <v>8.5666666666666669E-2</v>
      </c>
      <c r="P35" s="10">
        <f t="shared" si="15"/>
        <v>2.9182879377431905</v>
      </c>
      <c r="Q35" s="10">
        <f t="shared" si="2"/>
        <v>0.8895049798046788</v>
      </c>
      <c r="R35" s="10">
        <f t="shared" si="3"/>
        <v>1.1711791703356458</v>
      </c>
      <c r="S35" s="17">
        <f t="shared" si="4"/>
        <v>3.9788064490294244E-3</v>
      </c>
      <c r="T35" s="10">
        <f t="shared" si="5"/>
        <v>0.57983476230393582</v>
      </c>
      <c r="U35" s="10"/>
      <c r="V35" s="10"/>
      <c r="W35" s="19">
        <f t="shared" si="6"/>
        <v>1.7674684902074266E-2</v>
      </c>
      <c r="X35" s="10">
        <v>1.9359999999999999</v>
      </c>
      <c r="Y35" s="10">
        <v>0.3</v>
      </c>
      <c r="Z35" s="10">
        <f t="shared" si="7"/>
        <v>0.15495867768595042</v>
      </c>
      <c r="AA35" s="10">
        <f t="shared" si="8"/>
        <v>1.2142537128550767E-2</v>
      </c>
      <c r="AB35" s="10">
        <f t="shared" si="9"/>
        <v>5.1833081095830496E-4</v>
      </c>
      <c r="AC35" s="10">
        <f t="shared" si="10"/>
        <v>1.3186985151622036E-3</v>
      </c>
      <c r="AD35" s="10">
        <f t="shared" si="11"/>
        <v>1.438001602264294E-2</v>
      </c>
      <c r="AE35" s="11">
        <f t="shared" si="12"/>
        <v>2.4800196465463505E-2</v>
      </c>
      <c r="AH35" s="11">
        <f t="shared" si="13"/>
        <v>0.26866423730180666</v>
      </c>
    </row>
    <row r="36" spans="1:35" s="11" customFormat="1" x14ac:dyDescent="0.2">
      <c r="A36" s="10"/>
      <c r="B36" s="9">
        <v>29.44</v>
      </c>
      <c r="C36" s="12">
        <v>74.099999999999994</v>
      </c>
      <c r="D36" s="10">
        <v>27</v>
      </c>
      <c r="E36" s="10">
        <v>9</v>
      </c>
      <c r="F36" s="10">
        <v>2</v>
      </c>
      <c r="G36" s="10">
        <v>1.6579999999999999</v>
      </c>
      <c r="H36" s="10">
        <v>0.109</v>
      </c>
      <c r="I36" s="10">
        <v>1137</v>
      </c>
      <c r="J36" s="10">
        <v>834</v>
      </c>
      <c r="K36" s="10">
        <f t="shared" si="0"/>
        <v>1188.1188118811881</v>
      </c>
      <c r="L36" s="10">
        <f t="shared" si="1"/>
        <v>0.15495867768595042</v>
      </c>
      <c r="M36" s="10">
        <v>1165</v>
      </c>
      <c r="N36" s="10">
        <v>933</v>
      </c>
      <c r="O36" s="10">
        <f t="shared" si="14"/>
        <v>7.7333333333333337E-2</v>
      </c>
      <c r="P36" s="10">
        <f t="shared" si="15"/>
        <v>3.2327586206896548</v>
      </c>
      <c r="Q36" s="10">
        <f t="shared" si="2"/>
        <v>0.98535680952501059</v>
      </c>
      <c r="R36" s="10">
        <f t="shared" si="3"/>
        <v>1.1711791703356458</v>
      </c>
      <c r="S36" s="17">
        <f t="shared" si="4"/>
        <v>3.9788064490294244E-3</v>
      </c>
      <c r="T36" s="10">
        <f t="shared" si="5"/>
        <v>0.47251322875814983</v>
      </c>
      <c r="U36" s="10">
        <f>AVERAGE(T34:T36)</f>
        <v>0.53076094860079115</v>
      </c>
      <c r="V36" s="10"/>
      <c r="W36" s="19">
        <f t="shared" si="6"/>
        <v>1.7674684902074266E-2</v>
      </c>
      <c r="X36" s="10">
        <v>1.9359999999999999</v>
      </c>
      <c r="Y36" s="10">
        <v>0.3</v>
      </c>
      <c r="Z36" s="10">
        <f t="shared" si="7"/>
        <v>0.15495867768595042</v>
      </c>
      <c r="AA36" s="10">
        <f t="shared" si="8"/>
        <v>1.2142537128550767E-2</v>
      </c>
      <c r="AB36" s="10">
        <f t="shared" si="9"/>
        <v>5.1833081095830496E-4</v>
      </c>
      <c r="AC36" s="10">
        <f t="shared" si="10"/>
        <v>1.61821340346218E-3</v>
      </c>
      <c r="AD36" s="10">
        <f t="shared" si="11"/>
        <v>1.186939176421105E-2</v>
      </c>
      <c r="AE36" s="11">
        <f t="shared" si="12"/>
        <v>2.5119702564531277E-2</v>
      </c>
      <c r="AH36" s="11">
        <f t="shared" si="13"/>
        <v>0.26866423730180666</v>
      </c>
    </row>
    <row r="37" spans="1:35" s="13" customFormat="1" x14ac:dyDescent="0.2">
      <c r="A37" s="18"/>
      <c r="B37" s="20">
        <v>29.44</v>
      </c>
      <c r="C37" s="21">
        <v>74.099999999999994</v>
      </c>
      <c r="D37" s="18">
        <v>28</v>
      </c>
      <c r="E37" s="18">
        <v>10</v>
      </c>
      <c r="F37" s="10">
        <v>2</v>
      </c>
      <c r="G37" s="18">
        <v>1.53</v>
      </c>
      <c r="H37" s="18">
        <v>9.6000000000000002E-2</v>
      </c>
      <c r="I37" s="18">
        <v>1754</v>
      </c>
      <c r="J37" s="18">
        <v>1489</v>
      </c>
      <c r="K37" s="18">
        <f t="shared" si="0"/>
        <v>1358.4905660377358</v>
      </c>
      <c r="L37" s="18">
        <f t="shared" si="1"/>
        <v>0.15495867768595042</v>
      </c>
      <c r="M37" s="18">
        <v>1846</v>
      </c>
      <c r="N37" s="18">
        <v>1578</v>
      </c>
      <c r="O37" s="18">
        <f t="shared" si="14"/>
        <v>8.9333333333333334E-2</v>
      </c>
      <c r="P37" s="18">
        <f t="shared" si="15"/>
        <v>2.7985074626865671</v>
      </c>
      <c r="Q37" s="18">
        <f t="shared" si="2"/>
        <v>0.85299544705150177</v>
      </c>
      <c r="R37" s="18">
        <f t="shared" si="3"/>
        <v>1.1711791703356458</v>
      </c>
      <c r="S37" s="31">
        <f t="shared" si="4"/>
        <v>3.3881811535301965E-3</v>
      </c>
      <c r="T37" s="18">
        <f t="shared" si="5"/>
        <v>0.65213651148798901</v>
      </c>
      <c r="U37" s="18"/>
      <c r="V37" s="18"/>
      <c r="W37" s="32">
        <f t="shared" si="6"/>
        <v>1.8280269999996029E-2</v>
      </c>
      <c r="X37" s="18">
        <v>1.9359999999999999</v>
      </c>
      <c r="Y37" s="18">
        <v>0.3</v>
      </c>
      <c r="Z37" s="18">
        <f t="shared" si="7"/>
        <v>0.15495867768595042</v>
      </c>
      <c r="AA37" s="18">
        <f t="shared" si="8"/>
        <v>1.2142537128550767E-2</v>
      </c>
      <c r="AB37" s="18">
        <f t="shared" si="9"/>
        <v>4.4173024252089891E-4</v>
      </c>
      <c r="AC37" s="10">
        <f t="shared" si="10"/>
        <v>1.2126687211509854E-3</v>
      </c>
      <c r="AD37" s="18">
        <f t="shared" si="11"/>
        <v>1.6853980468187035E-2</v>
      </c>
      <c r="AE37" s="11">
        <f t="shared" si="12"/>
        <v>2.5844252194576672E-2</v>
      </c>
      <c r="AH37" s="11">
        <f t="shared" si="13"/>
        <v>0.27786944007378894</v>
      </c>
    </row>
    <row r="38" spans="1:35" s="13" customFormat="1" x14ac:dyDescent="0.2">
      <c r="A38" s="18"/>
      <c r="B38" s="20">
        <v>29.44</v>
      </c>
      <c r="C38" s="21">
        <v>74.099999999999994</v>
      </c>
      <c r="D38" s="18">
        <v>29</v>
      </c>
      <c r="E38" s="18">
        <v>10</v>
      </c>
      <c r="F38" s="10">
        <v>2</v>
      </c>
      <c r="G38" s="18">
        <v>1.53</v>
      </c>
      <c r="H38" s="18">
        <v>9.6000000000000002E-2</v>
      </c>
      <c r="I38" s="18">
        <v>1924</v>
      </c>
      <c r="J38" s="18">
        <v>1601</v>
      </c>
      <c r="K38" s="18">
        <f t="shared" si="0"/>
        <v>1114.5510835913312</v>
      </c>
      <c r="L38" s="18">
        <f t="shared" si="1"/>
        <v>0.15495867768595042</v>
      </c>
      <c r="M38" s="18">
        <v>1902</v>
      </c>
      <c r="N38" s="18">
        <v>1641</v>
      </c>
      <c r="O38" s="18">
        <f t="shared" si="14"/>
        <v>8.6999999999999994E-2</v>
      </c>
      <c r="P38" s="18">
        <f t="shared" si="15"/>
        <v>2.8735632183908049</v>
      </c>
      <c r="Q38" s="18">
        <f t="shared" si="2"/>
        <v>0.87587271957778734</v>
      </c>
      <c r="R38" s="18">
        <f t="shared" si="3"/>
        <v>1.1711791703356458</v>
      </c>
      <c r="S38" s="31">
        <f t="shared" si="4"/>
        <v>3.3881811535301965E-3</v>
      </c>
      <c r="T38" s="18">
        <f t="shared" si="5"/>
        <v>0.61851458146404126</v>
      </c>
      <c r="U38" s="18"/>
      <c r="V38" s="18"/>
      <c r="W38" s="32">
        <f t="shared" si="6"/>
        <v>1.8280269999996029E-2</v>
      </c>
      <c r="X38" s="18">
        <v>1.9359999999999999</v>
      </c>
      <c r="Y38" s="18">
        <v>0.3</v>
      </c>
      <c r="Z38" s="18">
        <f t="shared" si="7"/>
        <v>0.15495867768595042</v>
      </c>
      <c r="AA38" s="18">
        <f t="shared" si="8"/>
        <v>1.2142537128550767E-2</v>
      </c>
      <c r="AB38" s="18">
        <f t="shared" si="9"/>
        <v>4.4173024252089891E-4</v>
      </c>
      <c r="AC38" s="10">
        <f t="shared" si="10"/>
        <v>1.2785883681676487E-3</v>
      </c>
      <c r="AD38" s="18">
        <f t="shared" si="11"/>
        <v>1.60322132515185E-2</v>
      </c>
      <c r="AE38" s="11">
        <f t="shared" si="12"/>
        <v>2.5920509769664288E-2</v>
      </c>
      <c r="AH38" s="11">
        <f t="shared" si="13"/>
        <v>0.27786944007378894</v>
      </c>
    </row>
    <row r="39" spans="1:35" s="13" customFormat="1" x14ac:dyDescent="0.2">
      <c r="A39" s="18"/>
      <c r="B39" s="20">
        <v>29.44</v>
      </c>
      <c r="C39" s="21">
        <v>74.099999999999994</v>
      </c>
      <c r="D39" s="18">
        <v>30</v>
      </c>
      <c r="E39" s="18">
        <v>10</v>
      </c>
      <c r="F39" s="10">
        <v>2</v>
      </c>
      <c r="G39" s="18">
        <v>1.53</v>
      </c>
      <c r="H39" s="18">
        <v>9.6000000000000002E-2</v>
      </c>
      <c r="I39" s="18">
        <v>1537</v>
      </c>
      <c r="J39" s="18">
        <v>1199</v>
      </c>
      <c r="K39" s="18">
        <f t="shared" si="0"/>
        <v>1065.0887573964496</v>
      </c>
      <c r="L39" s="18">
        <f t="shared" si="1"/>
        <v>0.15495867768595042</v>
      </c>
      <c r="M39" s="18">
        <v>1551</v>
      </c>
      <c r="N39" s="18">
        <v>1310</v>
      </c>
      <c r="O39" s="18">
        <f t="shared" si="14"/>
        <v>8.033333333333334E-2</v>
      </c>
      <c r="P39" s="18">
        <f t="shared" si="15"/>
        <v>3.1120331950207465</v>
      </c>
      <c r="Q39" s="18">
        <f t="shared" si="2"/>
        <v>0.94855925232283178</v>
      </c>
      <c r="R39" s="18">
        <f t="shared" si="3"/>
        <v>1.1711791703356458</v>
      </c>
      <c r="S39" s="31">
        <f t="shared" si="4"/>
        <v>3.3881811535301965E-3</v>
      </c>
      <c r="T39" s="18">
        <f t="shared" si="5"/>
        <v>0.52735493322195781</v>
      </c>
      <c r="U39" s="18">
        <f>AVERAGE(T37:T39)</f>
        <v>0.59933534205799599</v>
      </c>
      <c r="V39" s="18"/>
      <c r="W39" s="32">
        <f t="shared" si="6"/>
        <v>1.8280269999996029E-2</v>
      </c>
      <c r="X39" s="18">
        <v>1.9359999999999999</v>
      </c>
      <c r="Y39" s="18">
        <v>0.3</v>
      </c>
      <c r="Z39" s="18">
        <f t="shared" si="7"/>
        <v>0.15495867768595042</v>
      </c>
      <c r="AA39" s="18">
        <f t="shared" si="8"/>
        <v>1.2142537128550767E-2</v>
      </c>
      <c r="AB39" s="18">
        <f t="shared" si="9"/>
        <v>4.4173024252089891E-4</v>
      </c>
      <c r="AC39" s="10">
        <f t="shared" si="10"/>
        <v>1.4996077586120827E-3</v>
      </c>
      <c r="AD39" s="18">
        <f t="shared" si="11"/>
        <v>1.3797080704066746E-2</v>
      </c>
      <c r="AE39" s="11">
        <f t="shared" si="12"/>
        <v>2.6162798212147773E-2</v>
      </c>
      <c r="AH39" s="11">
        <f t="shared" si="13"/>
        <v>0.27786944007378894</v>
      </c>
    </row>
    <row r="40" spans="1:35" s="11" customFormat="1" x14ac:dyDescent="0.2">
      <c r="A40" s="10"/>
      <c r="B40" s="9">
        <v>29.44</v>
      </c>
      <c r="C40" s="12">
        <v>74.099999999999994</v>
      </c>
      <c r="D40" s="10">
        <v>31</v>
      </c>
      <c r="E40" s="10">
        <v>11</v>
      </c>
      <c r="F40" s="10">
        <v>2</v>
      </c>
      <c r="G40" s="10">
        <v>1.4790000000000001</v>
      </c>
      <c r="H40" s="10">
        <v>0.12</v>
      </c>
      <c r="I40" s="10">
        <v>1802</v>
      </c>
      <c r="J40" s="10">
        <v>1554</v>
      </c>
      <c r="K40" s="10">
        <f t="shared" si="0"/>
        <v>1451.6129032258063</v>
      </c>
      <c r="L40" s="10">
        <f t="shared" si="1"/>
        <v>0.15495867768595042</v>
      </c>
      <c r="M40" s="10">
        <v>1825</v>
      </c>
      <c r="N40" s="10">
        <v>1605</v>
      </c>
      <c r="O40" s="10">
        <f t="shared" si="14"/>
        <v>7.3333333333333334E-2</v>
      </c>
      <c r="P40" s="10">
        <f t="shared" si="15"/>
        <v>3.4090909090909092</v>
      </c>
      <c r="Q40" s="10">
        <f t="shared" si="2"/>
        <v>1.0391035445900112</v>
      </c>
      <c r="R40" s="10">
        <f t="shared" si="3"/>
        <v>1.1711791703356458</v>
      </c>
      <c r="S40" s="17">
        <f t="shared" si="4"/>
        <v>3.1660670556876618E-3</v>
      </c>
      <c r="T40" s="10">
        <f t="shared" si="5"/>
        <v>0.58785581180408575</v>
      </c>
      <c r="U40" s="10"/>
      <c r="V40" s="10"/>
      <c r="W40" s="19">
        <f t="shared" si="6"/>
        <v>2.4453393281802051E-2</v>
      </c>
      <c r="X40" s="10">
        <v>1.9359999999999999</v>
      </c>
      <c r="Y40" s="10">
        <v>0.3</v>
      </c>
      <c r="Z40" s="10">
        <f t="shared" si="7"/>
        <v>0.15495867768595042</v>
      </c>
      <c r="AA40" s="10">
        <f t="shared" si="8"/>
        <v>1.2142537128550767E-2</v>
      </c>
      <c r="AB40" s="10">
        <f t="shared" si="9"/>
        <v>4.1291508312695793E-4</v>
      </c>
      <c r="AC40" s="10">
        <f t="shared" si="10"/>
        <v>1.7995602939658759E-3</v>
      </c>
      <c r="AD40" s="10">
        <f t="shared" si="11"/>
        <v>1.4315737510008806E-2</v>
      </c>
      <c r="AE40" s="11">
        <f t="shared" si="12"/>
        <v>2.4352464026977761E-2</v>
      </c>
      <c r="AH40" s="11">
        <f t="shared" si="13"/>
        <v>0.37170406668610295</v>
      </c>
    </row>
    <row r="41" spans="1:35" s="11" customFormat="1" x14ac:dyDescent="0.2">
      <c r="A41" s="10"/>
      <c r="B41" s="9">
        <v>29.44</v>
      </c>
      <c r="C41" s="12">
        <v>74.099999999999994</v>
      </c>
      <c r="D41" s="10">
        <v>32</v>
      </c>
      <c r="E41" s="10">
        <v>11</v>
      </c>
      <c r="F41" s="10">
        <v>2</v>
      </c>
      <c r="G41" s="10">
        <v>1.4790000000000001</v>
      </c>
      <c r="H41" s="10">
        <v>0.12</v>
      </c>
      <c r="I41" s="10">
        <v>1668</v>
      </c>
      <c r="J41" s="10">
        <v>1415</v>
      </c>
      <c r="K41" s="10">
        <f t="shared" si="0"/>
        <v>1422.9249011857708</v>
      </c>
      <c r="L41" s="10">
        <f t="shared" si="1"/>
        <v>0.15495867768595042</v>
      </c>
      <c r="M41" s="10">
        <v>1687</v>
      </c>
      <c r="N41" s="10">
        <v>1487</v>
      </c>
      <c r="O41" s="10">
        <f t="shared" si="14"/>
        <v>6.6666666666666666E-2</v>
      </c>
      <c r="P41" s="10">
        <f t="shared" si="15"/>
        <v>3.75</v>
      </c>
      <c r="Q41" s="10">
        <f t="shared" si="2"/>
        <v>1.1430138990490124</v>
      </c>
      <c r="R41" s="10">
        <f t="shared" si="3"/>
        <v>1.1711791703356458</v>
      </c>
      <c r="S41" s="17">
        <f t="shared" si="4"/>
        <v>3.1660670556876618E-3</v>
      </c>
      <c r="T41" s="10">
        <f t="shared" si="5"/>
        <v>0.48583124942486428</v>
      </c>
      <c r="U41" s="10"/>
      <c r="V41" s="10"/>
      <c r="W41" s="19">
        <f t="shared" si="6"/>
        <v>2.4453393281802051E-2</v>
      </c>
      <c r="X41" s="10">
        <v>1.9359999999999999</v>
      </c>
      <c r="Y41" s="10">
        <v>0.3</v>
      </c>
      <c r="Z41" s="10">
        <f t="shared" si="7"/>
        <v>0.15495867768595042</v>
      </c>
      <c r="AA41" s="10">
        <f t="shared" si="8"/>
        <v>1.2142537128550767E-2</v>
      </c>
      <c r="AB41" s="10">
        <f t="shared" si="9"/>
        <v>4.1291508312695793E-4</v>
      </c>
      <c r="AC41" s="10">
        <f t="shared" si="10"/>
        <v>2.1774679556987096E-3</v>
      </c>
      <c r="AD41" s="10">
        <f t="shared" si="11"/>
        <v>1.1999464349250658E-2</v>
      </c>
      <c r="AE41" s="11">
        <f t="shared" si="12"/>
        <v>2.469883187517443E-2</v>
      </c>
      <c r="AH41" s="11">
        <f t="shared" si="13"/>
        <v>0.37170406668610295</v>
      </c>
    </row>
    <row r="42" spans="1:35" s="11" customFormat="1" x14ac:dyDescent="0.2">
      <c r="A42" s="10"/>
      <c r="B42" s="9">
        <v>29.44</v>
      </c>
      <c r="C42" s="12">
        <v>74.099999999999994</v>
      </c>
      <c r="D42" s="10">
        <v>33</v>
      </c>
      <c r="E42" s="10">
        <v>11</v>
      </c>
      <c r="F42" s="10">
        <v>2</v>
      </c>
      <c r="G42" s="10">
        <v>1.4790000000000001</v>
      </c>
      <c r="H42" s="10">
        <v>0.12</v>
      </c>
      <c r="I42" s="10">
        <v>1558</v>
      </c>
      <c r="J42" s="10">
        <v>1305</v>
      </c>
      <c r="K42" s="10">
        <f t="shared" si="0"/>
        <v>1422.9249011857708</v>
      </c>
      <c r="L42" s="10">
        <f t="shared" si="1"/>
        <v>0.15495867768595042</v>
      </c>
      <c r="M42" s="10">
        <v>1531</v>
      </c>
      <c r="N42" s="10">
        <v>1335</v>
      </c>
      <c r="O42" s="10">
        <f t="shared" si="14"/>
        <v>6.5333333333333327E-2</v>
      </c>
      <c r="P42" s="10">
        <f t="shared" si="15"/>
        <v>3.8265306122448983</v>
      </c>
      <c r="Q42" s="10">
        <f t="shared" si="2"/>
        <v>1.166340713315319</v>
      </c>
      <c r="R42" s="10">
        <f t="shared" si="3"/>
        <v>1.1711791703356458</v>
      </c>
      <c r="S42" s="17">
        <f t="shared" si="4"/>
        <v>3.1660670556876618E-3</v>
      </c>
      <c r="T42" s="10">
        <f t="shared" si="5"/>
        <v>0.46659233194763938</v>
      </c>
      <c r="U42" s="10">
        <f>AVERAGE(T40:T42)</f>
        <v>0.51342646439219652</v>
      </c>
      <c r="V42" s="10"/>
      <c r="W42" s="19">
        <f t="shared" si="6"/>
        <v>2.4453393281802051E-2</v>
      </c>
      <c r="X42" s="10">
        <v>1.9359999999999999</v>
      </c>
      <c r="Y42" s="10">
        <v>0.3</v>
      </c>
      <c r="Z42" s="10">
        <f t="shared" ref="Z42:Z73" si="16">Y42/X42</f>
        <v>0.15495867768595042</v>
      </c>
      <c r="AA42" s="10">
        <f t="shared" si="8"/>
        <v>1.2142537128550767E-2</v>
      </c>
      <c r="AB42" s="10">
        <f t="shared" si="9"/>
        <v>4.1291508312695793E-4</v>
      </c>
      <c r="AC42" s="10">
        <f t="shared" si="10"/>
        <v>2.2672510992281453E-3</v>
      </c>
      <c r="AD42" s="10">
        <f t="shared" si="11"/>
        <v>1.1560565936571742E-2</v>
      </c>
      <c r="AE42" s="11">
        <f t="shared" si="12"/>
        <v>2.4776587922728785E-2</v>
      </c>
      <c r="AH42" s="11">
        <f t="shared" si="13"/>
        <v>0.37170406668610295</v>
      </c>
    </row>
    <row r="43" spans="1:35" s="13" customFormat="1" x14ac:dyDescent="0.2">
      <c r="A43" s="18"/>
      <c r="B43" s="20">
        <v>29.44</v>
      </c>
      <c r="C43" s="21">
        <v>74.099999999999994</v>
      </c>
      <c r="D43" s="18">
        <v>34</v>
      </c>
      <c r="E43" s="18">
        <v>12</v>
      </c>
      <c r="F43" s="10">
        <v>2</v>
      </c>
      <c r="G43" s="18">
        <v>1.6160000000000001</v>
      </c>
      <c r="H43" s="18">
        <v>0.13900000000000001</v>
      </c>
      <c r="I43" s="18">
        <v>1741</v>
      </c>
      <c r="J43" s="18">
        <v>1436</v>
      </c>
      <c r="K43" s="18">
        <f t="shared" si="0"/>
        <v>1180.327868852459</v>
      </c>
      <c r="L43" s="18">
        <f t="shared" si="1"/>
        <v>0.15495867768595042</v>
      </c>
      <c r="M43" s="18">
        <v>1771</v>
      </c>
      <c r="N43" s="18">
        <v>1534</v>
      </c>
      <c r="O43" s="18">
        <f t="shared" si="14"/>
        <v>7.9000000000000001E-2</v>
      </c>
      <c r="P43" s="18">
        <f t="shared" si="15"/>
        <v>3.1645569620253164</v>
      </c>
      <c r="Q43" s="18">
        <f t="shared" si="2"/>
        <v>0.96456869118060118</v>
      </c>
      <c r="R43" s="18">
        <f t="shared" si="3"/>
        <v>1.1711791703356458</v>
      </c>
      <c r="S43" s="31">
        <f t="shared" si="4"/>
        <v>3.7797795730160851E-3</v>
      </c>
      <c r="T43" s="18">
        <f t="shared" si="5"/>
        <v>0.6619258409853197</v>
      </c>
      <c r="U43" s="18"/>
      <c r="V43" s="18"/>
      <c r="W43" s="32">
        <f t="shared" si="6"/>
        <v>2.3726098111773768E-2</v>
      </c>
      <c r="X43" s="18">
        <v>1.9359999999999999</v>
      </c>
      <c r="Y43" s="18">
        <v>0.3</v>
      </c>
      <c r="Z43" s="18">
        <f t="shared" si="16"/>
        <v>0.15495867768595042</v>
      </c>
      <c r="AA43" s="18">
        <f t="shared" si="8"/>
        <v>1.2142537128550767E-2</v>
      </c>
      <c r="AB43" s="18">
        <f t="shared" si="9"/>
        <v>4.9252149524005176E-4</v>
      </c>
      <c r="AC43" s="10">
        <f t="shared" si="10"/>
        <v>1.5506546000097633E-3</v>
      </c>
      <c r="AD43" s="18">
        <f t="shared" si="11"/>
        <v>1.5253771355743977E-2</v>
      </c>
      <c r="AE43" s="11">
        <f t="shared" si="12"/>
        <v>2.3044532198709368E-2</v>
      </c>
      <c r="AH43" s="11">
        <f t="shared" si="13"/>
        <v>0.36064880865850407</v>
      </c>
    </row>
    <row r="44" spans="1:35" s="13" customFormat="1" x14ac:dyDescent="0.2">
      <c r="A44" s="18"/>
      <c r="B44" s="20">
        <v>29.44</v>
      </c>
      <c r="C44" s="21">
        <v>74.099999999999994</v>
      </c>
      <c r="D44" s="18">
        <v>35</v>
      </c>
      <c r="E44" s="18">
        <v>12</v>
      </c>
      <c r="F44" s="10">
        <v>2</v>
      </c>
      <c r="G44" s="18">
        <v>1.6160000000000001</v>
      </c>
      <c r="H44" s="18">
        <v>0.13900000000000001</v>
      </c>
      <c r="I44" s="18">
        <v>1390</v>
      </c>
      <c r="J44" s="18">
        <v>1118</v>
      </c>
      <c r="K44" s="18">
        <f t="shared" si="0"/>
        <v>1323.5294117647059</v>
      </c>
      <c r="L44" s="18">
        <f t="shared" si="1"/>
        <v>0.15495867768595042</v>
      </c>
      <c r="M44" s="18">
        <v>1415</v>
      </c>
      <c r="N44" s="18">
        <v>1193</v>
      </c>
      <c r="O44" s="18">
        <f t="shared" si="14"/>
        <v>7.3999999999999996E-2</v>
      </c>
      <c r="P44" s="18">
        <f t="shared" si="15"/>
        <v>3.3783783783783785</v>
      </c>
      <c r="Q44" s="18">
        <f t="shared" si="2"/>
        <v>1.0297422513955068</v>
      </c>
      <c r="R44" s="18">
        <f t="shared" si="3"/>
        <v>1.1711791703356458</v>
      </c>
      <c r="S44" s="31">
        <f t="shared" si="4"/>
        <v>3.7797795730160851E-3</v>
      </c>
      <c r="T44" s="18">
        <f t="shared" si="5"/>
        <v>0.58078928140291786</v>
      </c>
      <c r="U44" s="18"/>
      <c r="V44" s="18"/>
      <c r="W44" s="32">
        <f t="shared" si="6"/>
        <v>2.3726098111773768E-2</v>
      </c>
      <c r="X44" s="18">
        <v>1.9359999999999999</v>
      </c>
      <c r="Y44" s="18">
        <v>0.3</v>
      </c>
      <c r="Z44" s="18">
        <f t="shared" si="16"/>
        <v>0.15495867768595042</v>
      </c>
      <c r="AA44" s="18">
        <f t="shared" si="8"/>
        <v>1.2142537128550767E-2</v>
      </c>
      <c r="AB44" s="18">
        <f t="shared" si="9"/>
        <v>4.9252149524005176E-4</v>
      </c>
      <c r="AC44" s="10">
        <f t="shared" si="10"/>
        <v>1.767281840515145E-3</v>
      </c>
      <c r="AD44" s="18">
        <f t="shared" si="11"/>
        <v>1.3510190979967101E-2</v>
      </c>
      <c r="AE44" s="11">
        <f t="shared" si="12"/>
        <v>2.3261777399425723E-2</v>
      </c>
      <c r="AH44" s="11">
        <f t="shared" si="13"/>
        <v>0.36064880865850407</v>
      </c>
    </row>
    <row r="45" spans="1:35" s="13" customFormat="1" x14ac:dyDescent="0.2">
      <c r="A45" s="18"/>
      <c r="B45" s="20">
        <v>29.44</v>
      </c>
      <c r="C45" s="21">
        <v>74.099999999999994</v>
      </c>
      <c r="D45" s="18">
        <v>36</v>
      </c>
      <c r="E45" s="18">
        <v>12</v>
      </c>
      <c r="F45" s="10">
        <v>2</v>
      </c>
      <c r="G45" s="18">
        <v>1.6160000000000001</v>
      </c>
      <c r="H45" s="18">
        <v>0.13900000000000001</v>
      </c>
      <c r="I45" s="18">
        <v>1246</v>
      </c>
      <c r="J45" s="18">
        <v>952</v>
      </c>
      <c r="K45" s="18">
        <f t="shared" si="0"/>
        <v>1224.4897959183672</v>
      </c>
      <c r="L45" s="18">
        <f t="shared" si="1"/>
        <v>0.15495867768595042</v>
      </c>
      <c r="M45" s="18">
        <v>1257</v>
      </c>
      <c r="N45" s="18">
        <v>1025</v>
      </c>
      <c r="O45" s="18">
        <f t="shared" si="14"/>
        <v>7.7333333333333337E-2</v>
      </c>
      <c r="P45" s="18">
        <f t="shared" si="15"/>
        <v>3.2327586206896548</v>
      </c>
      <c r="Q45" s="18">
        <f t="shared" si="2"/>
        <v>0.98535680952501059</v>
      </c>
      <c r="R45" s="18">
        <f t="shared" si="3"/>
        <v>1.1711791703356458</v>
      </c>
      <c r="S45" s="31">
        <f t="shared" si="4"/>
        <v>3.7797795730160851E-3</v>
      </c>
      <c r="T45" s="18">
        <f t="shared" si="5"/>
        <v>0.63429109411230133</v>
      </c>
      <c r="U45" s="18">
        <f>AVERAGE(T43:T45)</f>
        <v>0.62566873883351304</v>
      </c>
      <c r="V45" s="18">
        <f>AVERAGE(T28:T45)</f>
        <v>0.56914400260144649</v>
      </c>
      <c r="W45" s="32">
        <f t="shared" si="6"/>
        <v>2.3726098111773768E-2</v>
      </c>
      <c r="X45" s="18">
        <v>1.9359999999999999</v>
      </c>
      <c r="Y45" s="18">
        <v>0.3</v>
      </c>
      <c r="Z45" s="18">
        <f t="shared" si="16"/>
        <v>0.15495867768595042</v>
      </c>
      <c r="AA45" s="18">
        <f t="shared" si="8"/>
        <v>1.2142537128550767E-2</v>
      </c>
      <c r="AB45" s="18">
        <f t="shared" si="9"/>
        <v>4.9252149524005176E-4</v>
      </c>
      <c r="AC45" s="10">
        <f t="shared" si="10"/>
        <v>1.61821340346218E-3</v>
      </c>
      <c r="AD45" s="18">
        <f t="shared" si="11"/>
        <v>1.466089393605623E-2</v>
      </c>
      <c r="AE45" s="11">
        <f t="shared" si="12"/>
        <v>2.311382592652407E-2</v>
      </c>
      <c r="AF45" s="13">
        <f>AVERAGE(AE28:AE45)</f>
        <v>2.4661311417854784E-2</v>
      </c>
      <c r="AG45" s="13">
        <f>STDEV(Q28:Q45)</f>
        <v>9.2377337841749105E-2</v>
      </c>
      <c r="AH45" s="11">
        <f t="shared" si="13"/>
        <v>0.36064880865850407</v>
      </c>
      <c r="AI45" s="13">
        <f>STDEV(AH28:AH45)</f>
        <v>3.927643048562493E-2</v>
      </c>
    </row>
    <row r="46" spans="1:35" s="11" customFormat="1" x14ac:dyDescent="0.2">
      <c r="A46" s="10"/>
      <c r="B46" s="9">
        <v>29.44</v>
      </c>
      <c r="C46" s="12">
        <v>74.099999999999994</v>
      </c>
      <c r="D46" s="10">
        <v>37</v>
      </c>
      <c r="E46" s="10">
        <v>13</v>
      </c>
      <c r="F46" s="9">
        <v>3</v>
      </c>
      <c r="G46" s="9">
        <v>1.3740000000000001</v>
      </c>
      <c r="H46" s="10">
        <v>4.2999999999999997E-2</v>
      </c>
      <c r="I46" s="10">
        <v>1050</v>
      </c>
      <c r="J46" s="10">
        <v>670</v>
      </c>
      <c r="K46" s="10">
        <f t="shared" si="0"/>
        <v>947.36842105263145</v>
      </c>
      <c r="L46" s="10">
        <f t="shared" si="1"/>
        <v>0.26551373346897256</v>
      </c>
      <c r="M46" s="10">
        <v>1075</v>
      </c>
      <c r="N46" s="10">
        <v>720</v>
      </c>
      <c r="O46" s="10">
        <f t="shared" si="14"/>
        <v>0.11833333333333333</v>
      </c>
      <c r="P46" s="10">
        <f t="shared" si="15"/>
        <v>2.112676056338028</v>
      </c>
      <c r="Q46" s="10">
        <f t="shared" si="2"/>
        <v>0.6439514924219788</v>
      </c>
      <c r="R46" s="10">
        <f t="shared" si="3"/>
        <v>1.1711791703356458</v>
      </c>
      <c r="S46" s="17">
        <f t="shared" si="4"/>
        <v>2.0642804186825547E-3</v>
      </c>
      <c r="T46" s="10">
        <f t="shared" si="5"/>
        <v>0.84124168767019913</v>
      </c>
      <c r="U46" s="10"/>
      <c r="V46" s="10"/>
      <c r="W46" s="19">
        <f t="shared" si="6"/>
        <v>1.3439334328682724E-2</v>
      </c>
      <c r="X46" s="10">
        <v>1.966</v>
      </c>
      <c r="Y46" s="10">
        <v>0.52200000000000002</v>
      </c>
      <c r="Z46" s="10">
        <f t="shared" si="16"/>
        <v>0.26551373346897256</v>
      </c>
      <c r="AA46" s="10">
        <f t="shared" si="8"/>
        <v>1.2142537128550767E-2</v>
      </c>
      <c r="AB46" s="10">
        <f t="shared" si="9"/>
        <v>1.5849808162413388E-4</v>
      </c>
      <c r="AC46" s="10">
        <f t="shared" si="10"/>
        <v>6.9112254098748979E-4</v>
      </c>
      <c r="AD46" s="10">
        <f t="shared" si="11"/>
        <v>3.1717633266217495E-2</v>
      </c>
      <c r="AE46" s="11">
        <f t="shared" si="12"/>
        <v>3.77033541384032E-2</v>
      </c>
      <c r="AH46" s="11">
        <f t="shared" si="13"/>
        <v>0.20428474551395201</v>
      </c>
    </row>
    <row r="47" spans="1:35" s="11" customFormat="1" x14ac:dyDescent="0.2">
      <c r="A47" s="10"/>
      <c r="B47" s="9">
        <v>29.44</v>
      </c>
      <c r="C47" s="12">
        <v>74.099999999999994</v>
      </c>
      <c r="D47" s="10">
        <v>38</v>
      </c>
      <c r="E47" s="10">
        <v>13</v>
      </c>
      <c r="F47" s="9">
        <v>3</v>
      </c>
      <c r="G47" s="9">
        <v>1.3740000000000001</v>
      </c>
      <c r="H47" s="10">
        <v>4.2999999999999997E-2</v>
      </c>
      <c r="I47" s="10">
        <v>2122</v>
      </c>
      <c r="J47" s="10">
        <v>1747</v>
      </c>
      <c r="K47" s="10">
        <f t="shared" si="0"/>
        <v>960</v>
      </c>
      <c r="L47" s="10">
        <f t="shared" si="1"/>
        <v>0.26551373346897256</v>
      </c>
      <c r="M47" s="10">
        <v>2161</v>
      </c>
      <c r="N47" s="10">
        <v>1762</v>
      </c>
      <c r="O47" s="10">
        <f t="shared" si="14"/>
        <v>0.13300000000000001</v>
      </c>
      <c r="P47" s="10">
        <f t="shared" si="15"/>
        <v>1.8796992481203008</v>
      </c>
      <c r="Q47" s="10">
        <f t="shared" si="2"/>
        <v>0.57293929776892849</v>
      </c>
      <c r="R47" s="10">
        <f t="shared" si="3"/>
        <v>1.1711791703356458</v>
      </c>
      <c r="S47" s="17">
        <f t="shared" si="4"/>
        <v>2.0642804186825547E-3</v>
      </c>
      <c r="T47" s="10">
        <f t="shared" si="5"/>
        <v>1.0626980195896321</v>
      </c>
      <c r="U47" s="10"/>
      <c r="V47" s="10"/>
      <c r="W47" s="19">
        <f t="shared" si="6"/>
        <v>1.3439334328682724E-2</v>
      </c>
      <c r="X47" s="10">
        <v>1.966</v>
      </c>
      <c r="Y47" s="10">
        <v>0.52200000000000002</v>
      </c>
      <c r="Z47" s="10">
        <f t="shared" si="16"/>
        <v>0.26551373346897256</v>
      </c>
      <c r="AA47" s="10">
        <f t="shared" si="8"/>
        <v>1.2142537128550767E-2</v>
      </c>
      <c r="AB47" s="10">
        <f t="shared" si="9"/>
        <v>1.5849808162413388E-4</v>
      </c>
      <c r="AC47" s="10">
        <f t="shared" si="10"/>
        <v>5.4709906487992142E-4</v>
      </c>
      <c r="AD47" s="10">
        <f t="shared" si="11"/>
        <v>3.9815731379352612E-2</v>
      </c>
      <c r="AE47" s="11">
        <f t="shared" si="12"/>
        <v>3.7466646822893038E-2</v>
      </c>
      <c r="AH47" s="11">
        <f t="shared" si="13"/>
        <v>0.20428474551395201</v>
      </c>
    </row>
    <row r="48" spans="1:35" s="11" customFormat="1" x14ac:dyDescent="0.2">
      <c r="A48" s="10"/>
      <c r="B48" s="9">
        <v>29.44</v>
      </c>
      <c r="C48" s="12">
        <v>74.099999999999994</v>
      </c>
      <c r="D48" s="10">
        <v>39</v>
      </c>
      <c r="E48" s="10">
        <v>13</v>
      </c>
      <c r="F48" s="9">
        <v>3</v>
      </c>
      <c r="G48" s="9">
        <v>1.3740000000000001</v>
      </c>
      <c r="H48" s="10">
        <v>4.2999999999999997E-2</v>
      </c>
      <c r="I48" s="10">
        <v>1897</v>
      </c>
      <c r="J48" s="10">
        <v>1529</v>
      </c>
      <c r="K48" s="10">
        <f t="shared" si="0"/>
        <v>978.26086956521749</v>
      </c>
      <c r="L48" s="10">
        <f t="shared" si="1"/>
        <v>0.26551373346897256</v>
      </c>
      <c r="M48" s="10">
        <v>1902</v>
      </c>
      <c r="N48" s="10">
        <v>1565</v>
      </c>
      <c r="O48" s="10">
        <f t="shared" si="14"/>
        <v>0.11233333333333333</v>
      </c>
      <c r="P48" s="10">
        <f t="shared" si="15"/>
        <v>2.2255192878338281</v>
      </c>
      <c r="Q48" s="10">
        <f t="shared" si="2"/>
        <v>0.67834652762552672</v>
      </c>
      <c r="R48" s="10">
        <f t="shared" si="3"/>
        <v>1.1711791703356458</v>
      </c>
      <c r="S48" s="17">
        <f t="shared" si="4"/>
        <v>2.0642804186825547E-3</v>
      </c>
      <c r="T48" s="10">
        <f t="shared" si="5"/>
        <v>0.75809543524710832</v>
      </c>
      <c r="U48" s="10">
        <f>AVERAGE(T46:T48)</f>
        <v>0.88734504750231313</v>
      </c>
      <c r="V48" s="10"/>
      <c r="W48" s="19">
        <f t="shared" si="6"/>
        <v>1.3439334328682724E-2</v>
      </c>
      <c r="X48" s="10">
        <v>1.966</v>
      </c>
      <c r="Y48" s="10">
        <v>0.52200000000000002</v>
      </c>
      <c r="Z48" s="10">
        <f t="shared" si="16"/>
        <v>0.26551373346897256</v>
      </c>
      <c r="AA48" s="10">
        <f t="shared" si="8"/>
        <v>1.2142537128550767E-2</v>
      </c>
      <c r="AB48" s="10">
        <f t="shared" si="9"/>
        <v>1.5849808162413388E-4</v>
      </c>
      <c r="AC48" s="10">
        <f t="shared" si="10"/>
        <v>7.6692335256934913E-4</v>
      </c>
      <c r="AD48" s="10">
        <f t="shared" si="11"/>
        <v>2.866965639643855E-2</v>
      </c>
      <c r="AE48" s="11">
        <f t="shared" si="12"/>
        <v>3.7818004255748362E-2</v>
      </c>
      <c r="AH48" s="11">
        <f t="shared" si="13"/>
        <v>0.20428474551395201</v>
      </c>
    </row>
    <row r="49" spans="1:35" s="13" customFormat="1" x14ac:dyDescent="0.2">
      <c r="A49" s="18"/>
      <c r="B49" s="20">
        <v>29.44</v>
      </c>
      <c r="C49" s="21">
        <v>74.099999999999994</v>
      </c>
      <c r="D49" s="18">
        <v>40</v>
      </c>
      <c r="E49" s="18">
        <v>14</v>
      </c>
      <c r="F49" s="9">
        <v>3</v>
      </c>
      <c r="G49" s="20">
        <v>1.57</v>
      </c>
      <c r="H49" s="18">
        <v>0.05</v>
      </c>
      <c r="I49" s="18">
        <v>1858</v>
      </c>
      <c r="J49" s="18">
        <v>1355</v>
      </c>
      <c r="K49" s="18">
        <f t="shared" si="0"/>
        <v>715.70576540755474</v>
      </c>
      <c r="L49" s="18">
        <f t="shared" si="1"/>
        <v>0.26551373346897256</v>
      </c>
      <c r="M49" s="18">
        <v>1796</v>
      </c>
      <c r="N49" s="18">
        <v>1470</v>
      </c>
      <c r="O49" s="18">
        <f t="shared" si="14"/>
        <v>0.10866666666666666</v>
      </c>
      <c r="P49" s="18">
        <f t="shared" si="15"/>
        <v>2.3006134969325154</v>
      </c>
      <c r="Q49" s="18">
        <f t="shared" si="2"/>
        <v>0.70123552088896468</v>
      </c>
      <c r="R49" s="18">
        <f t="shared" si="3"/>
        <v>1.1711791703356458</v>
      </c>
      <c r="S49" s="31">
        <f t="shared" si="4"/>
        <v>2.6952219340733333E-3</v>
      </c>
      <c r="T49" s="18">
        <f t="shared" si="5"/>
        <v>0.6317932612648649</v>
      </c>
      <c r="U49" s="18"/>
      <c r="V49" s="18"/>
      <c r="W49" s="32">
        <f t="shared" si="6"/>
        <v>1.196887874836954E-2</v>
      </c>
      <c r="X49" s="18">
        <v>1.966</v>
      </c>
      <c r="Y49" s="18">
        <v>0.52200000000000002</v>
      </c>
      <c r="Z49" s="18">
        <f t="shared" si="16"/>
        <v>0.26551373346897256</v>
      </c>
      <c r="AA49" s="18">
        <f t="shared" si="8"/>
        <v>1.2142537128550767E-2</v>
      </c>
      <c r="AB49" s="18">
        <f t="shared" si="9"/>
        <v>2.0645280306289036E-4</v>
      </c>
      <c r="AC49" s="10">
        <f t="shared" si="10"/>
        <v>8.1955209292736261E-4</v>
      </c>
      <c r="AD49" s="18">
        <f t="shared" si="11"/>
        <v>2.1914660103042487E-2</v>
      </c>
      <c r="AE49" s="11">
        <f t="shared" si="12"/>
        <v>3.4686441667910205E-2</v>
      </c>
      <c r="AH49" s="11">
        <f t="shared" si="13"/>
        <v>0.18193306970418055</v>
      </c>
    </row>
    <row r="50" spans="1:35" s="13" customFormat="1" x14ac:dyDescent="0.2">
      <c r="A50" s="18"/>
      <c r="B50" s="20">
        <v>29.44</v>
      </c>
      <c r="C50" s="21">
        <v>74.099999999999994</v>
      </c>
      <c r="D50" s="18">
        <v>41</v>
      </c>
      <c r="E50" s="18">
        <v>14</v>
      </c>
      <c r="F50" s="9">
        <v>3</v>
      </c>
      <c r="G50" s="20">
        <v>1.57</v>
      </c>
      <c r="H50" s="18">
        <v>0.05</v>
      </c>
      <c r="I50" s="18">
        <v>2231</v>
      </c>
      <c r="J50" s="18">
        <v>1729</v>
      </c>
      <c r="K50" s="18">
        <f t="shared" si="0"/>
        <v>717.13147410358567</v>
      </c>
      <c r="L50" s="18">
        <f t="shared" si="1"/>
        <v>0.26551373346897256</v>
      </c>
      <c r="M50" s="18">
        <v>2219</v>
      </c>
      <c r="N50" s="18">
        <v>1850</v>
      </c>
      <c r="O50" s="18">
        <f t="shared" si="14"/>
        <v>0.123</v>
      </c>
      <c r="P50" s="18">
        <f t="shared" si="15"/>
        <v>2.0325203252032522</v>
      </c>
      <c r="Q50" s="18">
        <f t="shared" si="2"/>
        <v>0.61951972848184955</v>
      </c>
      <c r="R50" s="18">
        <f t="shared" si="3"/>
        <v>1.1711791703356458</v>
      </c>
      <c r="S50" s="31">
        <f t="shared" si="4"/>
        <v>2.6952219340733333E-3</v>
      </c>
      <c r="T50" s="18">
        <f t="shared" si="5"/>
        <v>0.80945464871735162</v>
      </c>
      <c r="U50" s="18"/>
      <c r="V50" s="18"/>
      <c r="W50" s="32">
        <f t="shared" si="6"/>
        <v>1.196887874836954E-2</v>
      </c>
      <c r="X50" s="18">
        <v>1.966</v>
      </c>
      <c r="Y50" s="18">
        <v>0.52200000000000002</v>
      </c>
      <c r="Z50" s="18">
        <f t="shared" si="16"/>
        <v>0.26551373346897256</v>
      </c>
      <c r="AA50" s="18">
        <f t="shared" si="8"/>
        <v>1.2142537128550767E-2</v>
      </c>
      <c r="AB50" s="18">
        <f t="shared" si="9"/>
        <v>2.0645280306289036E-4</v>
      </c>
      <c r="AC50" s="10">
        <f t="shared" si="10"/>
        <v>6.3967448996370775E-4</v>
      </c>
      <c r="AD50" s="18">
        <f t="shared" si="11"/>
        <v>2.7856617362094625E-2</v>
      </c>
      <c r="AE50" s="11">
        <f t="shared" si="12"/>
        <v>3.4414055693219821E-2</v>
      </c>
      <c r="AH50" s="11">
        <f t="shared" si="13"/>
        <v>0.18193306970418055</v>
      </c>
    </row>
    <row r="51" spans="1:35" s="13" customFormat="1" x14ac:dyDescent="0.2">
      <c r="A51" s="18"/>
      <c r="B51" s="20">
        <v>29.44</v>
      </c>
      <c r="C51" s="21">
        <v>74.099999999999994</v>
      </c>
      <c r="D51" s="18">
        <v>42</v>
      </c>
      <c r="E51" s="18">
        <v>14</v>
      </c>
      <c r="F51" s="9">
        <v>3</v>
      </c>
      <c r="G51" s="20">
        <v>1.57</v>
      </c>
      <c r="H51" s="18">
        <v>0.05</v>
      </c>
      <c r="I51" s="18">
        <v>1934</v>
      </c>
      <c r="J51" s="18">
        <v>1401</v>
      </c>
      <c r="K51" s="18">
        <f t="shared" si="0"/>
        <v>675.422138836773</v>
      </c>
      <c r="L51" s="18">
        <f t="shared" si="1"/>
        <v>0.26551373346897256</v>
      </c>
      <c r="M51" s="18">
        <v>1943</v>
      </c>
      <c r="N51" s="18">
        <v>1635</v>
      </c>
      <c r="O51" s="18">
        <f t="shared" si="14"/>
        <v>0.10266666666666667</v>
      </c>
      <c r="P51" s="18">
        <f t="shared" si="15"/>
        <v>2.4350649350649349</v>
      </c>
      <c r="Q51" s="18">
        <f t="shared" si="2"/>
        <v>0.7422168175642937</v>
      </c>
      <c r="R51" s="18">
        <f t="shared" si="3"/>
        <v>1.1711791703356458</v>
      </c>
      <c r="S51" s="31">
        <f t="shared" si="4"/>
        <v>2.6952219340733333E-3</v>
      </c>
      <c r="T51" s="18">
        <f t="shared" si="5"/>
        <v>0.56395080673557674</v>
      </c>
      <c r="U51" s="18">
        <f>AVERAGE(T49:T51)</f>
        <v>0.66839957223926438</v>
      </c>
      <c r="V51" s="18"/>
      <c r="W51" s="32">
        <f t="shared" si="6"/>
        <v>1.196887874836954E-2</v>
      </c>
      <c r="X51" s="18">
        <v>1.966</v>
      </c>
      <c r="Y51" s="18">
        <v>0.52200000000000002</v>
      </c>
      <c r="Z51" s="18">
        <f t="shared" si="16"/>
        <v>0.26551373346897256</v>
      </c>
      <c r="AA51" s="18">
        <f t="shared" si="8"/>
        <v>1.2142537128550767E-2</v>
      </c>
      <c r="AB51" s="18">
        <f t="shared" si="9"/>
        <v>2.0645280306289036E-4</v>
      </c>
      <c r="AC51" s="10">
        <f t="shared" si="10"/>
        <v>9.1814300712544678E-4</v>
      </c>
      <c r="AD51" s="18">
        <f t="shared" si="11"/>
        <v>1.9638484879141559E-2</v>
      </c>
      <c r="AE51" s="11">
        <f t="shared" si="12"/>
        <v>3.4823045990161304E-2</v>
      </c>
      <c r="AH51" s="11">
        <f t="shared" si="13"/>
        <v>0.18193306970418055</v>
      </c>
    </row>
    <row r="52" spans="1:35" s="11" customFormat="1" x14ac:dyDescent="0.2">
      <c r="A52" s="10"/>
      <c r="B52" s="9">
        <v>29.44</v>
      </c>
      <c r="C52" s="12">
        <v>74.099999999999994</v>
      </c>
      <c r="D52" s="10">
        <v>43</v>
      </c>
      <c r="E52" s="10">
        <v>15</v>
      </c>
      <c r="F52" s="9">
        <v>3</v>
      </c>
      <c r="G52" s="9">
        <v>1.4950000000000001</v>
      </c>
      <c r="H52" s="10">
        <v>5.1999999999999998E-2</v>
      </c>
      <c r="I52" s="10">
        <v>1769</v>
      </c>
      <c r="J52" s="10">
        <v>1351</v>
      </c>
      <c r="K52" s="10">
        <f t="shared" si="0"/>
        <v>861.2440191387559</v>
      </c>
      <c r="L52" s="10">
        <f t="shared" si="1"/>
        <v>0.26551373346897256</v>
      </c>
      <c r="M52" s="10">
        <v>1768</v>
      </c>
      <c r="N52" s="10">
        <v>1399</v>
      </c>
      <c r="O52" s="10">
        <f t="shared" si="14"/>
        <v>0.123</v>
      </c>
      <c r="P52" s="10">
        <f t="shared" si="15"/>
        <v>2.0325203252032522</v>
      </c>
      <c r="Q52" s="10">
        <f t="shared" si="2"/>
        <v>0.61951972848184955</v>
      </c>
      <c r="R52" s="10">
        <f t="shared" si="3"/>
        <v>1.1711791703356458</v>
      </c>
      <c r="S52" s="17">
        <f t="shared" si="4"/>
        <v>2.4438672575772861E-3</v>
      </c>
      <c r="T52" s="10">
        <f t="shared" si="5"/>
        <v>0.92841635067542239</v>
      </c>
      <c r="U52" s="10"/>
      <c r="V52" s="10"/>
      <c r="W52" s="19">
        <f t="shared" si="6"/>
        <v>1.3727887963638134E-2</v>
      </c>
      <c r="X52" s="10">
        <v>1.966</v>
      </c>
      <c r="Y52" s="10">
        <v>0.52200000000000002</v>
      </c>
      <c r="Z52" s="10">
        <f t="shared" si="16"/>
        <v>0.26551373346897256</v>
      </c>
      <c r="AA52" s="10">
        <f t="shared" si="8"/>
        <v>1.2142537128550767E-2</v>
      </c>
      <c r="AB52" s="10">
        <f t="shared" si="9"/>
        <v>1.8735532742087841E-4</v>
      </c>
      <c r="AC52" s="10">
        <f t="shared" si="10"/>
        <v>6.3967448996370775E-4</v>
      </c>
      <c r="AD52" s="10">
        <f t="shared" si="11"/>
        <v>3.1218675166400742E-2</v>
      </c>
      <c r="AE52" s="11">
        <f t="shared" si="12"/>
        <v>3.3625727448347041E-2</v>
      </c>
      <c r="AH52" s="11">
        <f t="shared" si="13"/>
        <v>0.2086709081349819</v>
      </c>
    </row>
    <row r="53" spans="1:35" s="11" customFormat="1" x14ac:dyDescent="0.2">
      <c r="A53" s="10"/>
      <c r="B53" s="9">
        <v>29.44</v>
      </c>
      <c r="C53" s="12">
        <v>74.099999999999994</v>
      </c>
      <c r="D53" s="10">
        <v>44</v>
      </c>
      <c r="E53" s="10">
        <v>15</v>
      </c>
      <c r="F53" s="9">
        <v>3</v>
      </c>
      <c r="G53" s="9">
        <v>1.4950000000000001</v>
      </c>
      <c r="H53" s="10">
        <v>5.1999999999999998E-2</v>
      </c>
      <c r="I53" s="10">
        <v>1781</v>
      </c>
      <c r="J53" s="10">
        <v>1319</v>
      </c>
      <c r="K53" s="10">
        <f t="shared" si="0"/>
        <v>779.22077922077926</v>
      </c>
      <c r="L53" s="10">
        <f t="shared" si="1"/>
        <v>0.26551373346897256</v>
      </c>
      <c r="M53" s="10">
        <v>1715</v>
      </c>
      <c r="N53" s="10">
        <v>1438</v>
      </c>
      <c r="O53" s="10">
        <f t="shared" si="14"/>
        <v>9.2333333333333337E-2</v>
      </c>
      <c r="P53" s="10">
        <f t="shared" si="15"/>
        <v>2.7075812274368229</v>
      </c>
      <c r="Q53" s="10">
        <f t="shared" si="2"/>
        <v>0.82528079353719297</v>
      </c>
      <c r="R53" s="10">
        <f t="shared" si="3"/>
        <v>1.1711791703356458</v>
      </c>
      <c r="S53" s="17">
        <f t="shared" si="4"/>
        <v>2.4438672575772861E-3</v>
      </c>
      <c r="T53" s="10">
        <f t="shared" si="5"/>
        <v>0.52317813596385532</v>
      </c>
      <c r="U53" s="10"/>
      <c r="V53" s="10"/>
      <c r="W53" s="19">
        <f t="shared" si="6"/>
        <v>1.3727887963638134E-2</v>
      </c>
      <c r="X53" s="10">
        <v>1.966</v>
      </c>
      <c r="Y53" s="10">
        <v>0.52200000000000002</v>
      </c>
      <c r="Z53" s="10">
        <f t="shared" si="16"/>
        <v>0.26551373346897256</v>
      </c>
      <c r="AA53" s="10">
        <f t="shared" si="8"/>
        <v>1.2142537128550767E-2</v>
      </c>
      <c r="AB53" s="10">
        <f t="shared" si="9"/>
        <v>1.8735532742087841E-4</v>
      </c>
      <c r="AC53" s="10">
        <f t="shared" si="10"/>
        <v>1.1351473136356318E-3</v>
      </c>
      <c r="AD53" s="10">
        <f t="shared" si="11"/>
        <v>1.7951077708420159E-2</v>
      </c>
      <c r="AE53" s="11">
        <f t="shared" si="12"/>
        <v>3.4311597665198187E-2</v>
      </c>
      <c r="AH53" s="11">
        <f t="shared" si="13"/>
        <v>0.2086709081349819</v>
      </c>
    </row>
    <row r="54" spans="1:35" s="11" customFormat="1" x14ac:dyDescent="0.2">
      <c r="A54" s="10"/>
      <c r="B54" s="9">
        <v>29.44</v>
      </c>
      <c r="C54" s="12">
        <v>74.099999999999994</v>
      </c>
      <c r="D54" s="10">
        <v>45</v>
      </c>
      <c r="E54" s="10">
        <v>15</v>
      </c>
      <c r="F54" s="9">
        <v>3</v>
      </c>
      <c r="G54" s="9">
        <v>1.4950000000000001</v>
      </c>
      <c r="H54" s="10">
        <v>5.1999999999999998E-2</v>
      </c>
      <c r="I54" s="10">
        <v>1403</v>
      </c>
      <c r="J54" s="10">
        <v>976</v>
      </c>
      <c r="K54" s="10">
        <f t="shared" si="0"/>
        <v>843.09133489461351</v>
      </c>
      <c r="L54" s="10">
        <f t="shared" si="1"/>
        <v>0.26551373346897256</v>
      </c>
      <c r="M54" s="10">
        <v>1460</v>
      </c>
      <c r="N54" s="10">
        <v>1136</v>
      </c>
      <c r="O54" s="10">
        <f t="shared" si="14"/>
        <v>0.108</v>
      </c>
      <c r="P54" s="10">
        <f t="shared" si="15"/>
        <v>2.3148148148148149</v>
      </c>
      <c r="Q54" s="10">
        <f t="shared" si="2"/>
        <v>0.70556413521543981</v>
      </c>
      <c r="R54" s="10">
        <f t="shared" si="3"/>
        <v>1.1711791703356458</v>
      </c>
      <c r="S54" s="17">
        <f t="shared" si="4"/>
        <v>2.4438672575772861E-3</v>
      </c>
      <c r="T54" s="10">
        <f t="shared" si="5"/>
        <v>0.71578083906921308</v>
      </c>
      <c r="U54" s="10">
        <f>AVERAGE(T52:T54)</f>
        <v>0.72245844190283037</v>
      </c>
      <c r="V54" s="10"/>
      <c r="W54" s="19">
        <f t="shared" si="6"/>
        <v>1.3727887963638134E-2</v>
      </c>
      <c r="X54" s="10">
        <v>1.966</v>
      </c>
      <c r="Y54" s="10">
        <v>0.52200000000000002</v>
      </c>
      <c r="Z54" s="10">
        <f t="shared" si="16"/>
        <v>0.26551373346897256</v>
      </c>
      <c r="AA54" s="10">
        <f t="shared" si="8"/>
        <v>1.2142537128550767E-2</v>
      </c>
      <c r="AB54" s="10">
        <f t="shared" si="9"/>
        <v>1.8735532742087841E-4</v>
      </c>
      <c r="AC54" s="10">
        <f t="shared" si="10"/>
        <v>8.2970124817051904E-4</v>
      </c>
      <c r="AD54" s="10">
        <f t="shared" si="11"/>
        <v>2.4273947866120454E-2</v>
      </c>
      <c r="AE54" s="11">
        <f t="shared" si="12"/>
        <v>3.3912542137459006E-2</v>
      </c>
      <c r="AH54" s="11">
        <f t="shared" si="13"/>
        <v>0.2086709081349819</v>
      </c>
    </row>
    <row r="55" spans="1:35" s="13" customFormat="1" x14ac:dyDescent="0.2">
      <c r="A55" s="18"/>
      <c r="B55" s="20">
        <v>29.44</v>
      </c>
      <c r="C55" s="21">
        <v>74.3</v>
      </c>
      <c r="D55" s="18">
        <v>46</v>
      </c>
      <c r="E55" s="18">
        <v>16</v>
      </c>
      <c r="F55" s="9">
        <v>3</v>
      </c>
      <c r="G55" s="20">
        <v>1.5109999999999999</v>
      </c>
      <c r="H55" s="18">
        <v>2.3E-2</v>
      </c>
      <c r="I55" s="18">
        <v>1785</v>
      </c>
      <c r="J55" s="18">
        <v>1148</v>
      </c>
      <c r="K55" s="18">
        <f t="shared" si="0"/>
        <v>565.14913657770796</v>
      </c>
      <c r="L55" s="18">
        <f t="shared" si="1"/>
        <v>0.26551373346897256</v>
      </c>
      <c r="M55" s="18">
        <v>1848</v>
      </c>
      <c r="N55" s="18">
        <v>1410</v>
      </c>
      <c r="O55" s="18">
        <f t="shared" si="14"/>
        <v>0.14599999999999999</v>
      </c>
      <c r="P55" s="18">
        <f t="shared" si="15"/>
        <v>1.7123287671232879</v>
      </c>
      <c r="Q55" s="18">
        <f t="shared" si="2"/>
        <v>0.52192415481690069</v>
      </c>
      <c r="R55" s="18">
        <f t="shared" si="3"/>
        <v>1.1707405018073256</v>
      </c>
      <c r="S55" s="31">
        <f t="shared" si="4"/>
        <v>2.4964573805604448E-3</v>
      </c>
      <c r="T55" s="18">
        <f t="shared" si="5"/>
        <v>0.56660305890230556</v>
      </c>
      <c r="U55" s="18"/>
      <c r="V55" s="18"/>
      <c r="W55" s="32">
        <f t="shared" si="6"/>
        <v>5.9440393410396565E-3</v>
      </c>
      <c r="X55" s="18">
        <v>1.966</v>
      </c>
      <c r="Y55" s="18">
        <v>0.52200000000000002</v>
      </c>
      <c r="Z55" s="18">
        <f t="shared" si="16"/>
        <v>0.26551373346897256</v>
      </c>
      <c r="AA55" s="18">
        <f t="shared" si="8"/>
        <v>1.213784123222549E-2</v>
      </c>
      <c r="AB55" s="18">
        <f t="shared" si="9"/>
        <v>1.9135170379794677E-4</v>
      </c>
      <c r="AC55" s="10">
        <f t="shared" si="10"/>
        <v>4.5400803896889354E-4</v>
      </c>
      <c r="AD55" s="18">
        <f t="shared" si="11"/>
        <v>3.2606420111243171E-2</v>
      </c>
      <c r="AE55" s="11">
        <f t="shared" si="12"/>
        <v>5.7547200988311668E-2</v>
      </c>
      <c r="AH55" s="11">
        <f t="shared" si="13"/>
        <v>9.0352433715236297E-2</v>
      </c>
    </row>
    <row r="56" spans="1:35" s="13" customFormat="1" x14ac:dyDescent="0.2">
      <c r="A56" s="18"/>
      <c r="B56" s="20">
        <v>29.44</v>
      </c>
      <c r="C56" s="21">
        <v>74.3</v>
      </c>
      <c r="D56" s="18">
        <v>47</v>
      </c>
      <c r="E56" s="18">
        <v>16</v>
      </c>
      <c r="F56" s="9">
        <v>3</v>
      </c>
      <c r="G56" s="20">
        <v>1.5109999999999999</v>
      </c>
      <c r="H56" s="18">
        <v>2.3E-2</v>
      </c>
      <c r="I56" s="18">
        <v>2166</v>
      </c>
      <c r="J56" s="18">
        <v>1542</v>
      </c>
      <c r="K56" s="18">
        <f t="shared" si="0"/>
        <v>576.92307692307691</v>
      </c>
      <c r="L56" s="18">
        <f t="shared" si="1"/>
        <v>0.26551373346897256</v>
      </c>
      <c r="M56" s="18">
        <v>2163</v>
      </c>
      <c r="N56" s="18">
        <v>1761</v>
      </c>
      <c r="O56" s="18">
        <f t="shared" si="14"/>
        <v>0.13400000000000001</v>
      </c>
      <c r="P56" s="18">
        <f t="shared" si="15"/>
        <v>1.8656716417910446</v>
      </c>
      <c r="Q56" s="18">
        <f t="shared" si="2"/>
        <v>0.56866363136766784</v>
      </c>
      <c r="R56" s="18">
        <f t="shared" si="3"/>
        <v>1.1707405018073256</v>
      </c>
      <c r="S56" s="31">
        <f t="shared" si="4"/>
        <v>2.4964573805604448E-3</v>
      </c>
      <c r="T56" s="18">
        <f t="shared" si="5"/>
        <v>0.47729051067976164</v>
      </c>
      <c r="U56" s="18"/>
      <c r="V56" s="18"/>
      <c r="W56" s="32">
        <f t="shared" si="6"/>
        <v>5.9440393410396565E-3</v>
      </c>
      <c r="X56" s="18">
        <v>1.966</v>
      </c>
      <c r="Y56" s="18">
        <v>0.52200000000000002</v>
      </c>
      <c r="Z56" s="18">
        <f t="shared" si="16"/>
        <v>0.26551373346897256</v>
      </c>
      <c r="AA56" s="18">
        <f t="shared" si="8"/>
        <v>1.213784123222549E-2</v>
      </c>
      <c r="AB56" s="18">
        <f t="shared" si="9"/>
        <v>1.9135170379794677E-4</v>
      </c>
      <c r="AC56" s="10">
        <f t="shared" si="10"/>
        <v>5.3896387606710465E-4</v>
      </c>
      <c r="AD56" s="18">
        <f t="shared" si="11"/>
        <v>2.7541093976674893E-2</v>
      </c>
      <c r="AE56" s="11">
        <f t="shared" si="12"/>
        <v>5.7702999243480886E-2</v>
      </c>
      <c r="AH56" s="11">
        <f t="shared" si="13"/>
        <v>9.0352433715236297E-2</v>
      </c>
    </row>
    <row r="57" spans="1:35" s="13" customFormat="1" x14ac:dyDescent="0.2">
      <c r="A57" s="18"/>
      <c r="B57" s="20">
        <v>29.44</v>
      </c>
      <c r="C57" s="21">
        <v>74.3</v>
      </c>
      <c r="D57" s="18">
        <v>48</v>
      </c>
      <c r="E57" s="18">
        <v>16</v>
      </c>
      <c r="F57" s="9">
        <v>3</v>
      </c>
      <c r="G57" s="20">
        <v>1.5109999999999999</v>
      </c>
      <c r="H57" s="18">
        <v>2.3E-2</v>
      </c>
      <c r="I57" s="18">
        <v>2412</v>
      </c>
      <c r="J57" s="18">
        <v>1763</v>
      </c>
      <c r="K57" s="18">
        <f t="shared" si="0"/>
        <v>554.69953775038528</v>
      </c>
      <c r="L57" s="18">
        <f t="shared" si="1"/>
        <v>0.26551373346897256</v>
      </c>
      <c r="M57" s="18">
        <v>2418</v>
      </c>
      <c r="N57" s="18">
        <v>2011</v>
      </c>
      <c r="O57" s="18">
        <f t="shared" si="14"/>
        <v>0.13566666666666666</v>
      </c>
      <c r="P57" s="18">
        <f t="shared" si="15"/>
        <v>1.8427518427518428</v>
      </c>
      <c r="Q57" s="18">
        <f t="shared" si="2"/>
        <v>0.56167759167027631</v>
      </c>
      <c r="R57" s="18">
        <f t="shared" si="3"/>
        <v>1.1707405018073256</v>
      </c>
      <c r="S57" s="31">
        <f t="shared" si="4"/>
        <v>2.4964573805604448E-3</v>
      </c>
      <c r="T57" s="18">
        <f t="shared" si="5"/>
        <v>0.48923724538743996</v>
      </c>
      <c r="U57" s="18">
        <f>AVERAGE(T55:T57)</f>
        <v>0.51104360498983581</v>
      </c>
      <c r="V57" s="18"/>
      <c r="W57" s="32">
        <f t="shared" si="6"/>
        <v>5.9440393410396565E-3</v>
      </c>
      <c r="X57" s="18">
        <v>1.966</v>
      </c>
      <c r="Y57" s="18">
        <v>0.52200000000000002</v>
      </c>
      <c r="Z57" s="18">
        <f t="shared" si="16"/>
        <v>0.26551373346897256</v>
      </c>
      <c r="AA57" s="18">
        <f t="shared" si="8"/>
        <v>1.213784123222549E-2</v>
      </c>
      <c r="AB57" s="18">
        <f t="shared" si="9"/>
        <v>1.9135170379794677E-4</v>
      </c>
      <c r="AC57" s="10">
        <f t="shared" si="10"/>
        <v>5.2580286164086946E-4</v>
      </c>
      <c r="AD57" s="18">
        <f t="shared" si="11"/>
        <v>2.8219063631081721E-2</v>
      </c>
      <c r="AE57" s="11">
        <f t="shared" si="12"/>
        <v>5.7679712444489578E-2</v>
      </c>
      <c r="AH57" s="11">
        <f t="shared" si="13"/>
        <v>9.0352433715236297E-2</v>
      </c>
    </row>
    <row r="58" spans="1:35" s="11" customFormat="1" x14ac:dyDescent="0.2">
      <c r="A58" s="10"/>
      <c r="B58" s="9">
        <v>29.44</v>
      </c>
      <c r="C58" s="12">
        <v>74.3</v>
      </c>
      <c r="D58" s="10">
        <v>49</v>
      </c>
      <c r="E58" s="10">
        <v>17</v>
      </c>
      <c r="F58" s="9">
        <v>3</v>
      </c>
      <c r="G58" s="9">
        <v>1.3560000000000001</v>
      </c>
      <c r="H58" s="10">
        <v>4.3999999999999997E-2</v>
      </c>
      <c r="I58" s="10">
        <v>1605</v>
      </c>
      <c r="J58" s="10">
        <v>1263</v>
      </c>
      <c r="K58" s="10">
        <f t="shared" si="0"/>
        <v>1052.6315789473683</v>
      </c>
      <c r="L58" s="10">
        <f t="shared" si="1"/>
        <v>0.26551373346897256</v>
      </c>
      <c r="M58" s="10">
        <v>1677</v>
      </c>
      <c r="N58" s="10">
        <v>1397</v>
      </c>
      <c r="O58" s="10">
        <f t="shared" si="14"/>
        <v>9.3333333333333338E-2</v>
      </c>
      <c r="P58" s="10">
        <f t="shared" si="15"/>
        <v>2.6785714285714284</v>
      </c>
      <c r="Q58" s="10">
        <f t="shared" si="2"/>
        <v>0.8164384993207231</v>
      </c>
      <c r="R58" s="10">
        <f t="shared" si="3"/>
        <v>1.1707405018073256</v>
      </c>
      <c r="S58" s="17">
        <f t="shared" si="4"/>
        <v>2.0105487436286526E-3</v>
      </c>
      <c r="T58" s="10">
        <f t="shared" si="5"/>
        <v>0.55002337493178299</v>
      </c>
      <c r="U58" s="10"/>
      <c r="V58" s="10"/>
      <c r="W58" s="19">
        <f t="shared" si="6"/>
        <v>1.4119394257595079E-2</v>
      </c>
      <c r="X58" s="10">
        <v>1.966</v>
      </c>
      <c r="Y58" s="10">
        <v>0.52200000000000002</v>
      </c>
      <c r="Z58" s="10">
        <f t="shared" si="16"/>
        <v>0.26551373346897256</v>
      </c>
      <c r="AA58" s="10">
        <f t="shared" si="8"/>
        <v>1.213784123222549E-2</v>
      </c>
      <c r="AB58" s="10">
        <f t="shared" si="9"/>
        <v>1.5441134330920514E-4</v>
      </c>
      <c r="AC58" s="10">
        <f t="shared" si="10"/>
        <v>1.1109530386217905E-3</v>
      </c>
      <c r="AD58" s="10">
        <f t="shared" si="11"/>
        <v>2.0758425024961193E-2</v>
      </c>
      <c r="AE58" s="11">
        <f t="shared" si="12"/>
        <v>3.7740986967209837E-2</v>
      </c>
      <c r="AH58" s="11">
        <f t="shared" si="13"/>
        <v>0.21462200375267265</v>
      </c>
    </row>
    <row r="59" spans="1:35" s="11" customFormat="1" x14ac:dyDescent="0.2">
      <c r="A59" s="10"/>
      <c r="B59" s="9">
        <v>29.44</v>
      </c>
      <c r="C59" s="12">
        <v>74.3</v>
      </c>
      <c r="D59" s="10">
        <v>50</v>
      </c>
      <c r="E59" s="10">
        <v>17</v>
      </c>
      <c r="F59" s="9">
        <v>3</v>
      </c>
      <c r="G59" s="9">
        <v>1.3560000000000001</v>
      </c>
      <c r="H59" s="10">
        <v>4.3999999999999997E-2</v>
      </c>
      <c r="I59" s="10">
        <v>1868</v>
      </c>
      <c r="J59" s="10">
        <v>1487</v>
      </c>
      <c r="K59" s="10">
        <f t="shared" si="0"/>
        <v>944.88188976377955</v>
      </c>
      <c r="L59" s="10">
        <f t="shared" si="1"/>
        <v>0.26551373346897256</v>
      </c>
      <c r="M59" s="10">
        <v>1862</v>
      </c>
      <c r="N59" s="10">
        <v>1524</v>
      </c>
      <c r="O59" s="10">
        <f t="shared" si="14"/>
        <v>0.11266666666666666</v>
      </c>
      <c r="P59" s="10">
        <f t="shared" si="15"/>
        <v>2.2189349112426036</v>
      </c>
      <c r="Q59" s="10">
        <f t="shared" si="2"/>
        <v>0.67633958523610205</v>
      </c>
      <c r="R59" s="10">
        <f t="shared" si="3"/>
        <v>1.1707405018073256</v>
      </c>
      <c r="S59" s="17">
        <f t="shared" si="4"/>
        <v>2.0105487436286526E-3</v>
      </c>
      <c r="T59" s="10">
        <f t="shared" si="5"/>
        <v>0.80149069446054344</v>
      </c>
      <c r="U59" s="10"/>
      <c r="V59" s="10"/>
      <c r="W59" s="19">
        <f t="shared" si="6"/>
        <v>1.4119394257595079E-2</v>
      </c>
      <c r="X59" s="10">
        <v>1.966</v>
      </c>
      <c r="Y59" s="10">
        <v>0.52200000000000002</v>
      </c>
      <c r="Z59" s="10">
        <f t="shared" si="16"/>
        <v>0.26551373346897256</v>
      </c>
      <c r="AA59" s="10">
        <f t="shared" si="8"/>
        <v>1.213784123222549E-2</v>
      </c>
      <c r="AB59" s="10">
        <f t="shared" si="9"/>
        <v>1.5441134330920514E-4</v>
      </c>
      <c r="AC59" s="10">
        <f t="shared" si="10"/>
        <v>7.6239205759557086E-4</v>
      </c>
      <c r="AD59" s="10">
        <f t="shared" si="11"/>
        <v>2.9874756600832494E-2</v>
      </c>
      <c r="AE59" s="11">
        <f t="shared" si="12"/>
        <v>3.7273990586927763E-2</v>
      </c>
      <c r="AH59" s="11">
        <f t="shared" si="13"/>
        <v>0.21462200375267265</v>
      </c>
    </row>
    <row r="60" spans="1:35" s="11" customFormat="1" x14ac:dyDescent="0.2">
      <c r="A60" s="10"/>
      <c r="B60" s="9">
        <v>29.44</v>
      </c>
      <c r="C60" s="12">
        <v>74.3</v>
      </c>
      <c r="D60" s="10">
        <v>51</v>
      </c>
      <c r="E60" s="10">
        <v>17</v>
      </c>
      <c r="F60" s="9">
        <v>3</v>
      </c>
      <c r="G60" s="9">
        <v>1.3560000000000001</v>
      </c>
      <c r="H60" s="10">
        <v>4.3999999999999997E-2</v>
      </c>
      <c r="I60" s="10">
        <v>2182</v>
      </c>
      <c r="J60" s="10">
        <v>1791</v>
      </c>
      <c r="K60" s="10">
        <f t="shared" si="0"/>
        <v>920.71611253196932</v>
      </c>
      <c r="L60" s="10">
        <f t="shared" si="1"/>
        <v>0.26551373346897256</v>
      </c>
      <c r="M60" s="10">
        <v>2237</v>
      </c>
      <c r="N60" s="10">
        <v>1947</v>
      </c>
      <c r="O60" s="10">
        <f t="shared" si="14"/>
        <v>9.6666666666666665E-2</v>
      </c>
      <c r="P60" s="10">
        <f t="shared" si="15"/>
        <v>2.5862068965517242</v>
      </c>
      <c r="Q60" s="10">
        <f t="shared" si="2"/>
        <v>0.78828544762000852</v>
      </c>
      <c r="R60" s="10">
        <f t="shared" si="3"/>
        <v>1.1707405018073256</v>
      </c>
      <c r="S60" s="17">
        <f t="shared" si="4"/>
        <v>2.0105487436286526E-3</v>
      </c>
      <c r="T60" s="10">
        <f t="shared" si="5"/>
        <v>0.59001231928269071</v>
      </c>
      <c r="U60" s="10">
        <f>AVERAGE(T58:T60)</f>
        <v>0.64717546289167238</v>
      </c>
      <c r="V60" s="10"/>
      <c r="W60" s="19">
        <f t="shared" si="6"/>
        <v>1.4119394257595079E-2</v>
      </c>
      <c r="X60" s="10">
        <v>1.966</v>
      </c>
      <c r="Y60" s="10">
        <v>0.52200000000000002</v>
      </c>
      <c r="Z60" s="10">
        <f t="shared" si="16"/>
        <v>0.26551373346897256</v>
      </c>
      <c r="AA60" s="10">
        <f t="shared" si="8"/>
        <v>1.213784123222549E-2</v>
      </c>
      <c r="AB60" s="10">
        <f t="shared" si="9"/>
        <v>1.5441134330920514E-4</v>
      </c>
      <c r="AC60" s="10">
        <f t="shared" si="10"/>
        <v>1.0356565782157954E-3</v>
      </c>
      <c r="AD60" s="10">
        <f t="shared" si="11"/>
        <v>2.2212278428111864E-2</v>
      </c>
      <c r="AE60" s="11">
        <f t="shared" si="12"/>
        <v>3.7647143461540786E-2</v>
      </c>
      <c r="AH60" s="11">
        <f t="shared" si="13"/>
        <v>0.21462200375267265</v>
      </c>
    </row>
    <row r="61" spans="1:35" s="13" customFormat="1" x14ac:dyDescent="0.2">
      <c r="A61" s="18"/>
      <c r="B61" s="20">
        <v>29.44</v>
      </c>
      <c r="C61" s="21">
        <v>74.3</v>
      </c>
      <c r="D61" s="18">
        <v>52</v>
      </c>
      <c r="E61" s="18">
        <v>18</v>
      </c>
      <c r="F61" s="9">
        <v>3</v>
      </c>
      <c r="G61" s="20">
        <v>1.482</v>
      </c>
      <c r="H61" s="18">
        <v>0.05</v>
      </c>
      <c r="I61" s="18">
        <v>2095</v>
      </c>
      <c r="J61" s="18">
        <v>1703</v>
      </c>
      <c r="K61" s="18">
        <f t="shared" si="0"/>
        <v>918.36734693877565</v>
      </c>
      <c r="L61" s="18">
        <f t="shared" si="1"/>
        <v>0.26551373346897256</v>
      </c>
      <c r="M61" s="18">
        <v>2166</v>
      </c>
      <c r="N61" s="18">
        <v>1820</v>
      </c>
      <c r="O61" s="18">
        <f t="shared" si="14"/>
        <v>0.11533333333333333</v>
      </c>
      <c r="P61" s="18">
        <f t="shared" si="15"/>
        <v>2.1676300578034682</v>
      </c>
      <c r="Q61" s="18">
        <f t="shared" si="2"/>
        <v>0.66070167575087424</v>
      </c>
      <c r="R61" s="18">
        <f t="shared" si="3"/>
        <v>1.1707405018073256</v>
      </c>
      <c r="S61" s="31">
        <f t="shared" si="4"/>
        <v>2.4015500097901254E-3</v>
      </c>
      <c r="T61" s="18">
        <f t="shared" si="5"/>
        <v>0.79901987298198573</v>
      </c>
      <c r="U61" s="18"/>
      <c r="V61" s="18"/>
      <c r="W61" s="32">
        <f t="shared" si="6"/>
        <v>1.3432485018993596E-2</v>
      </c>
      <c r="X61" s="18">
        <v>1.966</v>
      </c>
      <c r="Y61" s="18">
        <v>0.52200000000000002</v>
      </c>
      <c r="Z61" s="18">
        <f t="shared" si="16"/>
        <v>0.26551373346897256</v>
      </c>
      <c r="AA61" s="18">
        <f t="shared" si="8"/>
        <v>1.213784123222549E-2</v>
      </c>
      <c r="AB61" s="18">
        <f t="shared" si="9"/>
        <v>1.8413932289997647E-4</v>
      </c>
      <c r="AC61" s="10">
        <f t="shared" si="10"/>
        <v>7.2754450723335558E-4</v>
      </c>
      <c r="AD61" s="18">
        <f t="shared" si="11"/>
        <v>2.7585617361140728E-2</v>
      </c>
      <c r="AE61" s="11">
        <f t="shared" si="12"/>
        <v>3.4524319474295052E-2</v>
      </c>
      <c r="AH61" s="11">
        <f t="shared" si="13"/>
        <v>0.20418063250860738</v>
      </c>
    </row>
    <row r="62" spans="1:35" s="13" customFormat="1" x14ac:dyDescent="0.2">
      <c r="A62" s="18"/>
      <c r="B62" s="20">
        <v>29.44</v>
      </c>
      <c r="C62" s="21">
        <v>74.3</v>
      </c>
      <c r="D62" s="18">
        <v>53</v>
      </c>
      <c r="E62" s="18">
        <v>18</v>
      </c>
      <c r="F62" s="9">
        <v>3</v>
      </c>
      <c r="G62" s="20">
        <v>1.482</v>
      </c>
      <c r="H62" s="18">
        <v>0.05</v>
      </c>
      <c r="I62" s="18">
        <v>1931</v>
      </c>
      <c r="J62" s="18">
        <v>1525</v>
      </c>
      <c r="K62" s="18">
        <f t="shared" si="0"/>
        <v>886.69950738916259</v>
      </c>
      <c r="L62" s="18">
        <f t="shared" si="1"/>
        <v>0.26551373346897256</v>
      </c>
      <c r="M62" s="18">
        <v>2010</v>
      </c>
      <c r="N62" s="18">
        <v>1662</v>
      </c>
      <c r="O62" s="18">
        <f t="shared" si="14"/>
        <v>0.11600000000000001</v>
      </c>
      <c r="P62" s="18">
        <f t="shared" si="15"/>
        <v>2.1551724137931032</v>
      </c>
      <c r="Q62" s="18">
        <f t="shared" si="2"/>
        <v>0.65690453968334039</v>
      </c>
      <c r="R62" s="18">
        <f t="shared" si="3"/>
        <v>1.1707405018073256</v>
      </c>
      <c r="S62" s="31">
        <f t="shared" si="4"/>
        <v>2.4015500097901254E-3</v>
      </c>
      <c r="T62" s="18">
        <f t="shared" si="5"/>
        <v>0.80828379412618545</v>
      </c>
      <c r="U62" s="18"/>
      <c r="V62" s="18"/>
      <c r="W62" s="32">
        <f t="shared" si="6"/>
        <v>1.3432485018993596E-2</v>
      </c>
      <c r="X62" s="18">
        <v>1.966</v>
      </c>
      <c r="Y62" s="18">
        <v>0.52200000000000002</v>
      </c>
      <c r="Z62" s="18">
        <f t="shared" si="16"/>
        <v>0.26551373346897256</v>
      </c>
      <c r="AA62" s="18">
        <f t="shared" si="8"/>
        <v>1.213784123222549E-2</v>
      </c>
      <c r="AB62" s="18">
        <f t="shared" si="9"/>
        <v>1.8413932289997647E-4</v>
      </c>
      <c r="AC62" s="10">
        <f t="shared" si="10"/>
        <v>7.1920595709430225E-4</v>
      </c>
      <c r="AD62" s="18">
        <f t="shared" si="11"/>
        <v>2.789521738914949E-2</v>
      </c>
      <c r="AE62" s="11">
        <f t="shared" si="12"/>
        <v>3.4511662354069939E-2</v>
      </c>
      <c r="AH62" s="11">
        <f t="shared" si="13"/>
        <v>0.20418063250860738</v>
      </c>
    </row>
    <row r="63" spans="1:35" s="13" customFormat="1" x14ac:dyDescent="0.2">
      <c r="A63" s="18"/>
      <c r="B63" s="20">
        <v>29.44</v>
      </c>
      <c r="C63" s="21">
        <v>74.3</v>
      </c>
      <c r="D63" s="18">
        <v>54</v>
      </c>
      <c r="E63" s="18">
        <v>18</v>
      </c>
      <c r="F63" s="9">
        <v>3</v>
      </c>
      <c r="G63" s="20">
        <v>1.482</v>
      </c>
      <c r="H63" s="18">
        <v>0.05</v>
      </c>
      <c r="I63" s="18">
        <v>2174</v>
      </c>
      <c r="J63" s="18">
        <v>1776</v>
      </c>
      <c r="K63" s="18">
        <f t="shared" si="0"/>
        <v>904.52261306532671</v>
      </c>
      <c r="L63" s="18">
        <f t="shared" si="1"/>
        <v>0.26551373346897256</v>
      </c>
      <c r="M63" s="18">
        <v>2221</v>
      </c>
      <c r="N63" s="18">
        <v>1884</v>
      </c>
      <c r="O63" s="18">
        <f t="shared" si="14"/>
        <v>0.11233333333333333</v>
      </c>
      <c r="P63" s="18">
        <f t="shared" si="15"/>
        <v>2.2255192878338281</v>
      </c>
      <c r="Q63" s="18">
        <f t="shared" si="2"/>
        <v>0.67834652762552672</v>
      </c>
      <c r="R63" s="18">
        <f t="shared" si="3"/>
        <v>1.1707405018073256</v>
      </c>
      <c r="S63" s="31">
        <f t="shared" si="4"/>
        <v>2.4015500097901254E-3</v>
      </c>
      <c r="T63" s="18">
        <f t="shared" si="5"/>
        <v>0.75799298301556273</v>
      </c>
      <c r="U63" s="18">
        <f>AVERAGE(T61:T63)</f>
        <v>0.78843221670791142</v>
      </c>
      <c r="V63" s="18">
        <f>AVERAGE(T46:T63)</f>
        <v>0.70414239103897114</v>
      </c>
      <c r="W63" s="32">
        <f t="shared" si="6"/>
        <v>1.3432485018993596E-2</v>
      </c>
      <c r="X63" s="18">
        <v>1.966</v>
      </c>
      <c r="Y63" s="18">
        <v>0.52200000000000002</v>
      </c>
      <c r="Z63" s="18">
        <f t="shared" si="16"/>
        <v>0.26551373346897256</v>
      </c>
      <c r="AA63" s="18">
        <f t="shared" si="8"/>
        <v>1.213784123222549E-2</v>
      </c>
      <c r="AB63" s="18">
        <f t="shared" si="9"/>
        <v>1.8413932289997647E-4</v>
      </c>
      <c r="AC63" s="10">
        <f t="shared" si="10"/>
        <v>7.6692335256934913E-4</v>
      </c>
      <c r="AD63" s="18">
        <f t="shared" si="11"/>
        <v>2.6213774151260975E-2</v>
      </c>
      <c r="AE63" s="11">
        <f t="shared" si="12"/>
        <v>3.4583135647210557E-2</v>
      </c>
      <c r="AF63" s="13">
        <f>AVERAGE(AE46:AE63)</f>
        <v>3.9331809277048678E-2</v>
      </c>
      <c r="AG63" s="13">
        <f>STDEV(Q46:Q63)</f>
        <v>8.6275498104205012E-2</v>
      </c>
      <c r="AH63" s="11">
        <f t="shared" si="13"/>
        <v>0.20418063250860738</v>
      </c>
      <c r="AI63" s="13">
        <f>STDEV(AH46:AH63)</f>
        <v>4.4336735936754121E-2</v>
      </c>
    </row>
    <row r="64" spans="1:35" s="11" customFormat="1" x14ac:dyDescent="0.2">
      <c r="A64" s="10"/>
      <c r="B64" s="9">
        <v>29.44</v>
      </c>
      <c r="C64" s="12">
        <v>74.5</v>
      </c>
      <c r="D64" s="10">
        <v>55</v>
      </c>
      <c r="E64" s="10">
        <v>19</v>
      </c>
      <c r="F64" s="9">
        <v>4</v>
      </c>
      <c r="G64" s="9">
        <v>2.2829999999999999</v>
      </c>
      <c r="H64" s="10">
        <v>6.6000000000000003E-2</v>
      </c>
      <c r="I64" s="10">
        <v>1804</v>
      </c>
      <c r="J64" s="10">
        <v>925</v>
      </c>
      <c r="K64" s="10">
        <f t="shared" si="0"/>
        <v>409.55631399317406</v>
      </c>
      <c r="L64" s="10">
        <f t="shared" si="1"/>
        <v>0.18243872168786845</v>
      </c>
      <c r="M64" s="10">
        <v>1661</v>
      </c>
      <c r="N64" s="10">
        <v>1316</v>
      </c>
      <c r="O64" s="10">
        <f t="shared" si="14"/>
        <v>0.115</v>
      </c>
      <c r="P64" s="10">
        <f t="shared" si="15"/>
        <v>2.1739130434782608</v>
      </c>
      <c r="Q64" s="10">
        <f t="shared" si="2"/>
        <v>0.66261675307189116</v>
      </c>
      <c r="R64" s="10">
        <f t="shared" si="3"/>
        <v>1.1703021617650893</v>
      </c>
      <c r="S64" s="17">
        <f t="shared" si="4"/>
        <v>7.0612293728629866E-3</v>
      </c>
      <c r="T64" s="10">
        <f t="shared" si="5"/>
        <v>0.35677256962407122</v>
      </c>
      <c r="U64" s="10"/>
      <c r="V64" s="10"/>
      <c r="W64" s="19">
        <f t="shared" si="6"/>
        <v>6.0303374001350885E-3</v>
      </c>
      <c r="X64" s="10">
        <v>3.2229999999999999</v>
      </c>
      <c r="Y64" s="10">
        <v>0.58799999999999997</v>
      </c>
      <c r="Z64" s="10">
        <f t="shared" si="16"/>
        <v>0.18243872168786845</v>
      </c>
      <c r="AA64" s="10">
        <f t="shared" si="8"/>
        <v>1.2133148962996507E-2</v>
      </c>
      <c r="AB64" s="10">
        <f t="shared" si="9"/>
        <v>7.8027919592986667E-4</v>
      </c>
      <c r="AC64" s="10">
        <f t="shared" si="10"/>
        <v>7.3176826908589272E-4</v>
      </c>
      <c r="AD64" s="10">
        <f t="shared" si="11"/>
        <v>1.0800813546784836E-2</v>
      </c>
      <c r="AE64" s="11">
        <f t="shared" si="12"/>
        <v>3.0273665820681164E-2</v>
      </c>
      <c r="AH64" s="11">
        <f t="shared" si="13"/>
        <v>9.1664208287510526E-2</v>
      </c>
    </row>
    <row r="65" spans="1:38" s="11" customFormat="1" x14ac:dyDescent="0.2">
      <c r="A65" s="10"/>
      <c r="B65" s="9">
        <v>29.44</v>
      </c>
      <c r="C65" s="12">
        <v>74.5</v>
      </c>
      <c r="D65" s="10">
        <v>56</v>
      </c>
      <c r="E65" s="10">
        <v>19</v>
      </c>
      <c r="F65" s="9">
        <v>4</v>
      </c>
      <c r="G65" s="9">
        <v>2.2829999999999999</v>
      </c>
      <c r="H65" s="10">
        <v>6.6000000000000003E-2</v>
      </c>
      <c r="I65" s="10">
        <v>2559</v>
      </c>
      <c r="J65" s="10">
        <v>1797</v>
      </c>
      <c r="K65" s="10">
        <f t="shared" si="0"/>
        <v>472.44094488188978</v>
      </c>
      <c r="L65" s="10">
        <f t="shared" si="1"/>
        <v>0.18243872168786845</v>
      </c>
      <c r="M65" s="10">
        <v>2424</v>
      </c>
      <c r="N65" s="10">
        <v>1976</v>
      </c>
      <c r="O65" s="10">
        <f t="shared" si="14"/>
        <v>0.14933333333333335</v>
      </c>
      <c r="P65" s="10">
        <f t="shared" si="15"/>
        <v>1.6741071428571428</v>
      </c>
      <c r="Q65" s="10">
        <f t="shared" si="2"/>
        <v>0.5102740620754519</v>
      </c>
      <c r="R65" s="10">
        <f t="shared" si="3"/>
        <v>1.1703021617650893</v>
      </c>
      <c r="S65" s="17">
        <f t="shared" si="4"/>
        <v>7.0612293728629866E-3</v>
      </c>
      <c r="T65" s="10">
        <f t="shared" si="5"/>
        <v>0.60160203162217674</v>
      </c>
      <c r="U65" s="10"/>
      <c r="V65" s="10"/>
      <c r="W65" s="19">
        <f t="shared" si="6"/>
        <v>6.0303374001350885E-3</v>
      </c>
      <c r="X65" s="10">
        <v>3.2229999999999999</v>
      </c>
      <c r="Y65" s="10">
        <v>0.58799999999999997</v>
      </c>
      <c r="Z65" s="10">
        <f t="shared" si="16"/>
        <v>0.18243872168786845</v>
      </c>
      <c r="AA65" s="10">
        <f t="shared" si="8"/>
        <v>1.2133148962996507E-2</v>
      </c>
      <c r="AB65" s="10">
        <f t="shared" si="9"/>
        <v>7.8027919592986667E-4</v>
      </c>
      <c r="AC65" s="10">
        <f t="shared" si="10"/>
        <v>4.3396603071163689E-4</v>
      </c>
      <c r="AD65" s="10">
        <f t="shared" si="11"/>
        <v>1.7907199954351815E-2</v>
      </c>
      <c r="AE65" s="11">
        <f t="shared" si="12"/>
        <v>2.976585685069303E-2</v>
      </c>
      <c r="AH65" s="11">
        <f t="shared" si="13"/>
        <v>9.1664208287510526E-2</v>
      </c>
    </row>
    <row r="66" spans="1:38" s="11" customFormat="1" x14ac:dyDescent="0.2">
      <c r="A66" s="10"/>
      <c r="B66" s="9">
        <v>29.44</v>
      </c>
      <c r="C66" s="12">
        <v>74.5</v>
      </c>
      <c r="D66" s="10">
        <v>57</v>
      </c>
      <c r="E66" s="10">
        <v>19</v>
      </c>
      <c r="F66" s="9">
        <v>4</v>
      </c>
      <c r="G66" s="9">
        <v>2.2829999999999999</v>
      </c>
      <c r="H66" s="10">
        <v>6.6000000000000003E-2</v>
      </c>
      <c r="I66" s="10">
        <v>2145</v>
      </c>
      <c r="J66" s="10">
        <v>1399</v>
      </c>
      <c r="K66" s="10">
        <f>60/(0.66*((I66-J66)/$J$3))</f>
        <v>365.58615647087493</v>
      </c>
      <c r="L66" s="10">
        <f t="shared" si="1"/>
        <v>0.18243872168786845</v>
      </c>
      <c r="M66" s="10">
        <v>1912</v>
      </c>
      <c r="N66" s="10">
        <v>1596</v>
      </c>
      <c r="O66" s="10">
        <f t="shared" si="14"/>
        <v>0.10533333333333333</v>
      </c>
      <c r="P66" s="10">
        <f t="shared" si="15"/>
        <v>2.3734177215189871</v>
      </c>
      <c r="Q66" s="10">
        <f t="shared" si="2"/>
        <v>0.7234265183854508</v>
      </c>
      <c r="R66" s="10">
        <f t="shared" si="3"/>
        <v>1.1703021617650893</v>
      </c>
      <c r="S66" s="17">
        <f t="shared" si="4"/>
        <v>7.0612293728629866E-3</v>
      </c>
      <c r="T66" s="10">
        <f t="shared" si="5"/>
        <v>0.29931427609646089</v>
      </c>
      <c r="U66" s="10">
        <f>AVERAGE(T64:T66)</f>
        <v>0.41922962578090295</v>
      </c>
      <c r="V66" s="10"/>
      <c r="W66" s="19">
        <f t="shared" si="6"/>
        <v>6.0303374001350885E-3</v>
      </c>
      <c r="X66" s="10">
        <v>3.2229999999999999</v>
      </c>
      <c r="Y66" s="10">
        <v>0.58799999999999997</v>
      </c>
      <c r="Z66" s="10">
        <f t="shared" si="16"/>
        <v>0.18243872168786845</v>
      </c>
      <c r="AA66" s="10">
        <f t="shared" si="8"/>
        <v>1.2133148962996507E-2</v>
      </c>
      <c r="AB66" s="10">
        <f t="shared" si="9"/>
        <v>7.8027919592986667E-4</v>
      </c>
      <c r="AC66" s="10">
        <f t="shared" si="10"/>
        <v>8.7224321250549159E-4</v>
      </c>
      <c r="AD66" s="10">
        <f t="shared" si="11"/>
        <v>9.1220111395180978E-3</v>
      </c>
      <c r="AE66" s="11">
        <f t="shared" si="12"/>
        <v>3.0476365038393027E-2</v>
      </c>
      <c r="AH66" s="11">
        <f t="shared" si="13"/>
        <v>9.1664208287510526E-2</v>
      </c>
      <c r="AL66" s="11" t="s">
        <v>27</v>
      </c>
    </row>
    <row r="67" spans="1:38" s="13" customFormat="1" x14ac:dyDescent="0.2">
      <c r="A67" s="18"/>
      <c r="B67" s="20">
        <v>29.44</v>
      </c>
      <c r="C67" s="21">
        <v>74.5</v>
      </c>
      <c r="D67" s="18">
        <v>58</v>
      </c>
      <c r="E67" s="18">
        <v>20</v>
      </c>
      <c r="F67" s="9">
        <v>4</v>
      </c>
      <c r="G67" s="20">
        <v>2.48</v>
      </c>
      <c r="H67" s="18">
        <v>0.253</v>
      </c>
      <c r="I67" s="18">
        <v>1997</v>
      </c>
      <c r="J67" s="18">
        <v>1463</v>
      </c>
      <c r="K67" s="18">
        <f t="shared" si="0"/>
        <v>674.15730337078651</v>
      </c>
      <c r="L67" s="18">
        <f t="shared" si="1"/>
        <v>0.18243872168786845</v>
      </c>
      <c r="M67" s="18">
        <v>1956</v>
      </c>
      <c r="N67" s="18">
        <v>1726</v>
      </c>
      <c r="O67" s="18">
        <f t="shared" si="14"/>
        <v>7.6666666666666661E-2</v>
      </c>
      <c r="P67" s="18">
        <f t="shared" si="15"/>
        <v>3.2608695652173916</v>
      </c>
      <c r="Q67" s="18">
        <f t="shared" si="2"/>
        <v>0.99392512960783697</v>
      </c>
      <c r="R67" s="18">
        <f t="shared" si="3"/>
        <v>1.1703021617650893</v>
      </c>
      <c r="S67" s="31">
        <f t="shared" si="4"/>
        <v>8.332433528064568E-3</v>
      </c>
      <c r="T67" s="18">
        <f t="shared" si="5"/>
        <v>0.51510288845657926</v>
      </c>
      <c r="U67" s="18"/>
      <c r="V67" s="18"/>
      <c r="W67" s="32">
        <f t="shared" si="6"/>
        <v>1.9589649190276288E-2</v>
      </c>
      <c r="X67" s="18">
        <v>3.2229999999999999</v>
      </c>
      <c r="Y67" s="18">
        <v>0.58799999999999997</v>
      </c>
      <c r="Z67" s="18">
        <f t="shared" si="16"/>
        <v>0.18243872168786845</v>
      </c>
      <c r="AA67" s="18">
        <f t="shared" si="8"/>
        <v>1.2133148962996507E-2</v>
      </c>
      <c r="AB67" s="18">
        <f t="shared" si="9"/>
        <v>9.2016981537485474E-4</v>
      </c>
      <c r="AC67" s="10">
        <f t="shared" si="10"/>
        <v>1.6464786054432589E-3</v>
      </c>
      <c r="AD67" s="18">
        <f t="shared" si="11"/>
        <v>1.0466361020189914E-2</v>
      </c>
      <c r="AE67" s="11">
        <f t="shared" si="12"/>
        <v>2.0318971713691292E-2</v>
      </c>
      <c r="AH67" s="11">
        <f t="shared" si="13"/>
        <v>0.29777267249035216</v>
      </c>
    </row>
    <row r="68" spans="1:38" s="13" customFormat="1" x14ac:dyDescent="0.2">
      <c r="A68" s="18"/>
      <c r="B68" s="20">
        <v>29.44</v>
      </c>
      <c r="C68" s="21">
        <v>74.5</v>
      </c>
      <c r="D68" s="18">
        <v>59</v>
      </c>
      <c r="E68" s="18">
        <v>20</v>
      </c>
      <c r="F68" s="9">
        <v>4</v>
      </c>
      <c r="G68" s="20">
        <v>2.48</v>
      </c>
      <c r="H68" s="18">
        <v>0.253</v>
      </c>
      <c r="I68" s="18">
        <v>2009</v>
      </c>
      <c r="J68" s="18">
        <v>1512</v>
      </c>
      <c r="K68" s="18">
        <f t="shared" si="0"/>
        <v>724.34607645875258</v>
      </c>
      <c r="L68" s="18">
        <f t="shared" si="1"/>
        <v>0.18243872168786845</v>
      </c>
      <c r="M68" s="18">
        <v>1974</v>
      </c>
      <c r="N68" s="18">
        <v>1735</v>
      </c>
      <c r="O68" s="18">
        <f t="shared" si="14"/>
        <v>7.9666666666666663E-2</v>
      </c>
      <c r="P68" s="18">
        <f t="shared" si="15"/>
        <v>3.1380753138075317</v>
      </c>
      <c r="Q68" s="18">
        <f t="shared" si="2"/>
        <v>0.95649698665189331</v>
      </c>
      <c r="R68" s="18">
        <f t="shared" si="3"/>
        <v>1.1703021617650893</v>
      </c>
      <c r="S68" s="31">
        <f t="shared" si="4"/>
        <v>8.332433528064568E-3</v>
      </c>
      <c r="T68" s="18">
        <f t="shared" si="5"/>
        <v>0.55620400929164948</v>
      </c>
      <c r="U68" s="18"/>
      <c r="V68" s="18"/>
      <c r="W68" s="32">
        <f t="shared" si="6"/>
        <v>1.9589649190276288E-2</v>
      </c>
      <c r="X68" s="18">
        <v>3.2229999999999999</v>
      </c>
      <c r="Y68" s="18">
        <v>0.58799999999999997</v>
      </c>
      <c r="Z68" s="18">
        <f t="shared" si="16"/>
        <v>0.18243872168786845</v>
      </c>
      <c r="AA68" s="18">
        <f t="shared" si="8"/>
        <v>1.2133148962996507E-2</v>
      </c>
      <c r="AB68" s="18">
        <f t="shared" si="9"/>
        <v>9.2016981537485474E-4</v>
      </c>
      <c r="AC68" s="10">
        <f t="shared" si="10"/>
        <v>1.5248108091235871E-3</v>
      </c>
      <c r="AD68" s="18">
        <f t="shared" si="11"/>
        <v>1.1232101254597258E-2</v>
      </c>
      <c r="AE68" s="11">
        <f t="shared" si="12"/>
        <v>2.019421123717148E-2</v>
      </c>
      <c r="AH68" s="11">
        <f t="shared" si="13"/>
        <v>0.29777267249035216</v>
      </c>
    </row>
    <row r="69" spans="1:38" s="13" customFormat="1" x14ac:dyDescent="0.2">
      <c r="A69" s="18"/>
      <c r="B69" s="20">
        <v>29.44</v>
      </c>
      <c r="C69" s="21">
        <v>74.5</v>
      </c>
      <c r="D69" s="18">
        <v>60</v>
      </c>
      <c r="E69" s="18">
        <v>20</v>
      </c>
      <c r="F69" s="9">
        <v>4</v>
      </c>
      <c r="G69" s="20">
        <v>2.48</v>
      </c>
      <c r="H69" s="18">
        <v>0.253</v>
      </c>
      <c r="I69" s="18">
        <v>2097</v>
      </c>
      <c r="J69" s="18">
        <v>1643</v>
      </c>
      <c r="K69" s="18">
        <f t="shared" si="0"/>
        <v>792.95154185022034</v>
      </c>
      <c r="L69" s="18">
        <f t="shared" si="1"/>
        <v>0.18243872168786845</v>
      </c>
      <c r="M69" s="18">
        <v>2033</v>
      </c>
      <c r="N69" s="18">
        <v>1800</v>
      </c>
      <c r="O69" s="18">
        <f t="shared" si="14"/>
        <v>7.7666666666666662E-2</v>
      </c>
      <c r="P69" s="18">
        <f t="shared" si="15"/>
        <v>3.218884120171674</v>
      </c>
      <c r="Q69" s="18">
        <f t="shared" si="2"/>
        <v>0.98112781034249996</v>
      </c>
      <c r="R69" s="18">
        <f t="shared" si="3"/>
        <v>1.1703021617650893</v>
      </c>
      <c r="S69" s="31">
        <f t="shared" si="4"/>
        <v>8.332433528064568E-3</v>
      </c>
      <c r="T69" s="18">
        <f t="shared" si="5"/>
        <v>0.52862799076406863</v>
      </c>
      <c r="U69" s="18">
        <f>AVERAGE(T67:T69)</f>
        <v>0.53331162950409905</v>
      </c>
      <c r="V69" s="18"/>
      <c r="W69" s="32">
        <f t="shared" si="6"/>
        <v>1.9589649190276288E-2</v>
      </c>
      <c r="X69" s="18">
        <v>3.2229999999999999</v>
      </c>
      <c r="Y69" s="18">
        <v>0.58799999999999997</v>
      </c>
      <c r="Z69" s="18">
        <f t="shared" si="16"/>
        <v>0.18243872168786845</v>
      </c>
      <c r="AA69" s="18">
        <f t="shared" si="8"/>
        <v>1.2133148962996507E-2</v>
      </c>
      <c r="AB69" s="18">
        <f t="shared" si="9"/>
        <v>9.2016981537485474E-4</v>
      </c>
      <c r="AC69" s="10">
        <f t="shared" si="10"/>
        <v>1.6043529670457812E-3</v>
      </c>
      <c r="AD69" s="18">
        <f t="shared" si="11"/>
        <v>1.0718627120832569E-2</v>
      </c>
      <c r="AE69" s="11">
        <f t="shared" si="12"/>
        <v>2.027631398280684E-2</v>
      </c>
      <c r="AG69" s="13" t="s">
        <v>99</v>
      </c>
      <c r="AH69" s="11">
        <f t="shared" si="13"/>
        <v>0.29777267249035216</v>
      </c>
    </row>
    <row r="70" spans="1:38" s="11" customFormat="1" x14ac:dyDescent="0.2">
      <c r="A70" s="10"/>
      <c r="B70" s="9">
        <v>29.44</v>
      </c>
      <c r="C70" s="12">
        <v>74.5</v>
      </c>
      <c r="D70" s="10">
        <v>61</v>
      </c>
      <c r="E70" s="10">
        <v>21</v>
      </c>
      <c r="F70" s="9">
        <v>4</v>
      </c>
      <c r="G70" s="9">
        <v>1.956</v>
      </c>
      <c r="H70" s="10">
        <v>0.214</v>
      </c>
      <c r="I70" s="10">
        <v>2046</v>
      </c>
      <c r="J70" s="10">
        <v>1541</v>
      </c>
      <c r="K70" s="10">
        <f t="shared" si="0"/>
        <v>712.87128712871288</v>
      </c>
      <c r="L70" s="10">
        <f t="shared" si="1"/>
        <v>0.18243872168786845</v>
      </c>
      <c r="M70" s="10">
        <v>1978</v>
      </c>
      <c r="N70" s="10">
        <v>1665</v>
      </c>
      <c r="O70" s="10">
        <f t="shared" si="14"/>
        <v>0.10433333333333333</v>
      </c>
      <c r="P70" s="10">
        <f t="shared" si="15"/>
        <v>2.3961661341853033</v>
      </c>
      <c r="Q70" s="10">
        <f t="shared" si="2"/>
        <v>0.73036031888115804</v>
      </c>
      <c r="R70" s="10">
        <f t="shared" si="3"/>
        <v>1.1703021617650893</v>
      </c>
      <c r="S70" s="17">
        <f t="shared" si="4"/>
        <v>5.1832982249332138E-3</v>
      </c>
      <c r="T70" s="10">
        <f t="shared" si="5"/>
        <v>1.2971371604117157</v>
      </c>
      <c r="U70" s="10"/>
      <c r="V70" s="10"/>
      <c r="W70" s="19">
        <f t="shared" si="6"/>
        <v>2.6637016006413876E-2</v>
      </c>
      <c r="X70" s="10">
        <v>3.2229999999999999</v>
      </c>
      <c r="Y70" s="10">
        <v>0.58799999999999997</v>
      </c>
      <c r="Z70" s="10">
        <f t="shared" si="16"/>
        <v>0.18243872168786845</v>
      </c>
      <c r="AA70" s="10">
        <f t="shared" si="8"/>
        <v>1.2133148962996507E-2</v>
      </c>
      <c r="AB70" s="10">
        <f t="shared" si="9"/>
        <v>5.7352337141033591E-4</v>
      </c>
      <c r="AC70" s="10">
        <f t="shared" si="10"/>
        <v>8.8904365899364476E-4</v>
      </c>
      <c r="AD70" s="10">
        <f t="shared" si="11"/>
        <v>2.5701610503892348E-2</v>
      </c>
      <c r="AE70" s="11">
        <f t="shared" si="12"/>
        <v>1.9814103926939053E-2</v>
      </c>
      <c r="AH70" s="11">
        <f t="shared" si="13"/>
        <v>0.40489624731693719</v>
      </c>
    </row>
    <row r="71" spans="1:38" s="11" customFormat="1" x14ac:dyDescent="0.2">
      <c r="A71" s="10"/>
      <c r="B71" s="9">
        <v>29.44</v>
      </c>
      <c r="C71" s="12">
        <v>74.5</v>
      </c>
      <c r="D71" s="10">
        <v>62</v>
      </c>
      <c r="E71" s="10">
        <v>21</v>
      </c>
      <c r="F71" s="9">
        <v>4</v>
      </c>
      <c r="G71" s="9">
        <v>1.956</v>
      </c>
      <c r="H71" s="10">
        <v>0.214</v>
      </c>
      <c r="I71" s="10">
        <v>1301</v>
      </c>
      <c r="J71" s="10">
        <v>822</v>
      </c>
      <c r="K71" s="10">
        <f t="shared" si="0"/>
        <v>751.56576200417533</v>
      </c>
      <c r="L71" s="10">
        <f t="shared" si="1"/>
        <v>0.18243872168786845</v>
      </c>
      <c r="M71" s="10">
        <v>1242</v>
      </c>
      <c r="N71" s="10">
        <v>1015</v>
      </c>
      <c r="O71" s="10">
        <f t="shared" si="14"/>
        <v>7.566666666666666E-2</v>
      </c>
      <c r="P71" s="10">
        <f t="shared" si="15"/>
        <v>3.3039647577092515</v>
      </c>
      <c r="Q71" s="10">
        <f t="shared" si="2"/>
        <v>1.0070607040079405</v>
      </c>
      <c r="R71" s="10">
        <f t="shared" si="3"/>
        <v>1.1703021617650893</v>
      </c>
      <c r="S71" s="17">
        <f t="shared" si="4"/>
        <v>5.1832982249332138E-3</v>
      </c>
      <c r="T71" s="10">
        <f t="shared" si="5"/>
        <v>0.68225847705759246</v>
      </c>
      <c r="U71" s="10"/>
      <c r="V71" s="10"/>
      <c r="W71" s="19">
        <f t="shared" si="6"/>
        <v>2.6637016006413876E-2</v>
      </c>
      <c r="X71" s="10">
        <v>3.2229999999999999</v>
      </c>
      <c r="Y71" s="10">
        <v>0.58799999999999997</v>
      </c>
      <c r="Z71" s="10">
        <f t="shared" si="16"/>
        <v>0.18243872168786845</v>
      </c>
      <c r="AA71" s="10">
        <f t="shared" si="8"/>
        <v>1.2133148962996507E-2</v>
      </c>
      <c r="AB71" s="10">
        <f t="shared" si="9"/>
        <v>5.7352337141033591E-4</v>
      </c>
      <c r="AC71" s="10">
        <f t="shared" si="10"/>
        <v>1.6902854359282812E-3</v>
      </c>
      <c r="AD71" s="10">
        <f t="shared" si="11"/>
        <v>1.4147610980647127E-2</v>
      </c>
      <c r="AE71" s="11">
        <f t="shared" si="12"/>
        <v>2.0736438544028329E-2</v>
      </c>
      <c r="AH71" s="11">
        <f t="shared" si="13"/>
        <v>0.40489624731693719</v>
      </c>
    </row>
    <row r="72" spans="1:38" s="11" customFormat="1" x14ac:dyDescent="0.2">
      <c r="A72" s="10"/>
      <c r="B72" s="9">
        <v>29.44</v>
      </c>
      <c r="C72" s="12">
        <v>74.5</v>
      </c>
      <c r="D72" s="10">
        <v>63</v>
      </c>
      <c r="E72" s="10">
        <v>21</v>
      </c>
      <c r="F72" s="9">
        <v>4</v>
      </c>
      <c r="G72" s="9">
        <v>1.956</v>
      </c>
      <c r="H72" s="10">
        <v>0.214</v>
      </c>
      <c r="I72" s="10">
        <v>1855</v>
      </c>
      <c r="J72" s="10">
        <v>1510</v>
      </c>
      <c r="K72" s="10">
        <f>60/(0.66*((I72-J72)/$J$3))</f>
        <v>790.51383399209476</v>
      </c>
      <c r="L72" s="10">
        <f t="shared" si="1"/>
        <v>0.18243872168786845</v>
      </c>
      <c r="M72" s="10">
        <v>1842</v>
      </c>
      <c r="N72" s="10">
        <v>1657</v>
      </c>
      <c r="O72" s="10">
        <f t="shared" si="14"/>
        <v>6.1666666666666668E-2</v>
      </c>
      <c r="P72" s="10">
        <f t="shared" si="15"/>
        <v>4.0540540540540544</v>
      </c>
      <c r="Q72" s="10">
        <f t="shared" si="2"/>
        <v>1.2356907016746081</v>
      </c>
      <c r="R72" s="10">
        <f t="shared" si="3"/>
        <v>1.1703021617650893</v>
      </c>
      <c r="S72" s="17">
        <f t="shared" si="4"/>
        <v>5.1832982249332138E-3</v>
      </c>
      <c r="T72" s="10">
        <f t="shared" si="5"/>
        <v>0.45314864207137928</v>
      </c>
      <c r="U72" s="10">
        <f>AVERAGE(T70:T72)</f>
        <v>0.81084809318022921</v>
      </c>
      <c r="V72" s="10"/>
      <c r="W72" s="19">
        <f t="shared" si="6"/>
        <v>2.6637016006413876E-2</v>
      </c>
      <c r="X72" s="10">
        <v>3.2229999999999999</v>
      </c>
      <c r="Y72" s="10">
        <v>0.58799999999999997</v>
      </c>
      <c r="Z72" s="10">
        <f t="shared" si="16"/>
        <v>0.18243872168786845</v>
      </c>
      <c r="AA72" s="10">
        <f t="shared" si="8"/>
        <v>1.2133148962996507E-2</v>
      </c>
      <c r="AB72" s="10">
        <f t="shared" si="9"/>
        <v>5.7352337141033591E-4</v>
      </c>
      <c r="AC72" s="10">
        <f t="shared" si="10"/>
        <v>2.5448858503418089E-3</v>
      </c>
      <c r="AD72" s="10">
        <f t="shared" si="11"/>
        <v>9.7420335442211549E-3</v>
      </c>
      <c r="AE72" s="11">
        <f t="shared" si="12"/>
        <v>2.1498538536250552E-2</v>
      </c>
      <c r="AH72" s="11">
        <f t="shared" si="13"/>
        <v>0.40489624731693719</v>
      </c>
      <c r="AL72" s="11" t="s">
        <v>27</v>
      </c>
    </row>
    <row r="73" spans="1:38" s="13" customFormat="1" x14ac:dyDescent="0.2">
      <c r="A73" s="18"/>
      <c r="B73" s="20">
        <v>29.44</v>
      </c>
      <c r="C73" s="21">
        <v>74.7</v>
      </c>
      <c r="D73" s="18">
        <v>64</v>
      </c>
      <c r="E73" s="18">
        <v>22</v>
      </c>
      <c r="F73" s="9">
        <v>4</v>
      </c>
      <c r="G73" s="20">
        <v>2.3570000000000002</v>
      </c>
      <c r="H73" s="18">
        <v>0.26600000000000001</v>
      </c>
      <c r="I73" s="18">
        <v>2520</v>
      </c>
      <c r="J73" s="18">
        <v>2109</v>
      </c>
      <c r="K73" s="18">
        <f>60/(0.66*((I73-J73)/$J$3))</f>
        <v>663.5700066357</v>
      </c>
      <c r="L73" s="18">
        <f t="shared" si="1"/>
        <v>0.18243872168786845</v>
      </c>
      <c r="M73" s="18">
        <v>2469</v>
      </c>
      <c r="N73" s="18">
        <v>2267</v>
      </c>
      <c r="O73" s="18">
        <f t="shared" si="14"/>
        <v>6.7333333333333328E-2</v>
      </c>
      <c r="P73" s="18">
        <f t="shared" si="15"/>
        <v>3.7128712871287131</v>
      </c>
      <c r="Q73" s="18">
        <f t="shared" si="2"/>
        <v>1.1316969297514974</v>
      </c>
      <c r="R73" s="18">
        <f t="shared" si="3"/>
        <v>1.1698641498401063</v>
      </c>
      <c r="S73" s="31">
        <f t="shared" si="4"/>
        <v>7.5264063330926093E-3</v>
      </c>
      <c r="T73" s="18">
        <f t="shared" si="5"/>
        <v>0.4626461357073644</v>
      </c>
      <c r="U73" s="18"/>
      <c r="V73" s="18"/>
      <c r="W73" s="32">
        <f t="shared" si="6"/>
        <v>2.2801949044261832E-2</v>
      </c>
      <c r="X73" s="18">
        <v>3.2229999999999999</v>
      </c>
      <c r="Y73" s="18">
        <v>0.58799999999999997</v>
      </c>
      <c r="Z73" s="18">
        <f t="shared" si="16"/>
        <v>0.18243872168786845</v>
      </c>
      <c r="AA73" s="18">
        <f t="shared" si="8"/>
        <v>1.2128460316667002E-2</v>
      </c>
      <c r="AB73" s="18">
        <f t="shared" si="9"/>
        <v>8.3147512306412262E-4</v>
      </c>
      <c r="AC73" s="10">
        <f t="shared" si="10"/>
        <v>2.1345632346816096E-3</v>
      </c>
      <c r="AD73" s="18">
        <f t="shared" si="11"/>
        <v>9.4803859415497141E-3</v>
      </c>
      <c r="AE73" s="11">
        <f t="shared" si="12"/>
        <v>2.0491657035143385E-2</v>
      </c>
      <c r="AH73" s="11">
        <f t="shared" si="13"/>
        <v>0.34660127085220738</v>
      </c>
      <c r="AL73" s="13" t="s">
        <v>27</v>
      </c>
    </row>
    <row r="74" spans="1:38" s="13" customFormat="1" x14ac:dyDescent="0.2">
      <c r="A74" s="18"/>
      <c r="B74" s="20">
        <v>29.44</v>
      </c>
      <c r="C74" s="21">
        <v>74.7</v>
      </c>
      <c r="D74" s="18">
        <v>65</v>
      </c>
      <c r="E74" s="18">
        <v>22</v>
      </c>
      <c r="F74" s="9">
        <v>4</v>
      </c>
      <c r="G74" s="20">
        <v>2.3570000000000002</v>
      </c>
      <c r="H74" s="18">
        <v>0.26600000000000001</v>
      </c>
      <c r="I74" s="18">
        <v>1717</v>
      </c>
      <c r="J74" s="18">
        <v>1351</v>
      </c>
      <c r="K74" s="18">
        <f>60/(0.66*((I74-J74)/$J$3))</f>
        <v>745.15648286140083</v>
      </c>
      <c r="L74" s="18">
        <f t="shared" si="1"/>
        <v>0.18243872168786845</v>
      </c>
      <c r="M74" s="18">
        <v>1720</v>
      </c>
      <c r="N74" s="18">
        <v>1547</v>
      </c>
      <c r="O74" s="18">
        <f t="shared" si="14"/>
        <v>5.7666666666666665E-2</v>
      </c>
      <c r="P74" s="18">
        <f t="shared" si="15"/>
        <v>4.3352601156069364</v>
      </c>
      <c r="Q74" s="18">
        <f t="shared" si="2"/>
        <v>1.3214033515017485</v>
      </c>
      <c r="R74" s="18">
        <f t="shared" si="3"/>
        <v>1.1698641498401063</v>
      </c>
      <c r="S74" s="31">
        <f t="shared" si="4"/>
        <v>7.5264063330926093E-3</v>
      </c>
      <c r="T74" s="18">
        <f t="shared" si="5"/>
        <v>0.33934261826256523</v>
      </c>
      <c r="U74" s="18"/>
      <c r="V74" s="18"/>
      <c r="W74" s="32">
        <f t="shared" si="6"/>
        <v>2.2801949044261832E-2</v>
      </c>
      <c r="X74" s="18">
        <v>3.2229999999999999</v>
      </c>
      <c r="Y74" s="18">
        <v>0.58799999999999997</v>
      </c>
      <c r="Z74" s="18">
        <f t="shared" ref="Z74:Z99" si="17">Y74/X74</f>
        <v>0.18243872168786845</v>
      </c>
      <c r="AA74" s="18">
        <f t="shared" si="8"/>
        <v>1.2128460316667002E-2</v>
      </c>
      <c r="AB74" s="18">
        <f t="shared" si="9"/>
        <v>8.3147512306412262E-4</v>
      </c>
      <c r="AC74" s="10">
        <f t="shared" si="10"/>
        <v>2.9101780289334223E-3</v>
      </c>
      <c r="AD74" s="18">
        <f t="shared" si="11"/>
        <v>7.1682774637039127E-3</v>
      </c>
      <c r="AE74" s="11">
        <f t="shared" si="12"/>
        <v>2.1124011774310888E-2</v>
      </c>
      <c r="AH74" s="11">
        <f t="shared" si="13"/>
        <v>0.34660127085220738</v>
      </c>
      <c r="AL74" s="13" t="s">
        <v>27</v>
      </c>
    </row>
    <row r="75" spans="1:38" s="13" customFormat="1" x14ac:dyDescent="0.2">
      <c r="A75" s="18"/>
      <c r="B75" s="20">
        <v>29.44</v>
      </c>
      <c r="C75" s="21">
        <v>74.7</v>
      </c>
      <c r="D75" s="18">
        <v>66</v>
      </c>
      <c r="E75" s="18">
        <v>22</v>
      </c>
      <c r="F75" s="9">
        <v>4</v>
      </c>
      <c r="G75" s="20">
        <v>2.3570000000000002</v>
      </c>
      <c r="H75" s="18">
        <v>0.26600000000000001</v>
      </c>
      <c r="I75" s="18">
        <v>1719</v>
      </c>
      <c r="J75" s="18">
        <v>1350</v>
      </c>
      <c r="K75" s="18">
        <f>60/(0.66*((I75-J75)/$J$3))</f>
        <v>739.09830007390985</v>
      </c>
      <c r="L75" s="18">
        <f t="shared" ref="L75:L99" si="18">Y75/X75</f>
        <v>0.18243872168786845</v>
      </c>
      <c r="M75" s="18">
        <v>1678</v>
      </c>
      <c r="N75" s="18">
        <v>1537</v>
      </c>
      <c r="O75" s="18">
        <f t="shared" ref="O75:O99" si="19">(M75-N75)/3000</f>
        <v>4.7E-2</v>
      </c>
      <c r="P75" s="18">
        <f t="shared" ref="P75:P99" si="20">(3/12)/O75</f>
        <v>5.3191489361702127</v>
      </c>
      <c r="Q75" s="18">
        <f t="shared" ref="Q75:Q99" si="21">P75/3.2808</f>
        <v>1.6212963107078189</v>
      </c>
      <c r="R75" s="18">
        <f t="shared" ref="R75:R99" si="22">(B75*$O$2)/($O$3*((C75-32)*(5/9)+273.15))</f>
        <v>1.1698641498401063</v>
      </c>
      <c r="S75" s="31">
        <f t="shared" ref="S75:S99" si="23">PI()*((1-L75)*((G75/12)/3.2808))^2</f>
        <v>7.5264063330926093E-3</v>
      </c>
      <c r="T75" s="18">
        <f t="shared" ref="T75:T99" si="24">(2*H75*0.001*$O$5)/(Q75^2*R75*S75)</f>
        <v>0.22541583727080955</v>
      </c>
      <c r="U75" s="18">
        <f>AVERAGE(T73:T75)</f>
        <v>0.34246819708024639</v>
      </c>
      <c r="V75" s="18"/>
      <c r="W75" s="32">
        <f t="shared" ref="W75:W98" si="25">H75/(PI()*((1-Z75)*G75)^2)</f>
        <v>2.2801949044261832E-2</v>
      </c>
      <c r="X75" s="18">
        <v>3.2229999999999999</v>
      </c>
      <c r="Y75" s="18">
        <v>0.58799999999999997</v>
      </c>
      <c r="Z75" s="18">
        <f t="shared" si="17"/>
        <v>0.18243872168786845</v>
      </c>
      <c r="AA75" s="18">
        <f t="shared" ref="AA75:AA99" si="26">R75*((1000/(B75*$O$2))+(0.1/(((C75-32)/1.8)+273.15)))</f>
        <v>1.2128460316667002E-2</v>
      </c>
      <c r="AB75" s="18">
        <f t="shared" ref="AB75:AB99" si="27">2*S75*(($W$6/L75)+($W$4/G75))</f>
        <v>8.3147512306412262E-4</v>
      </c>
      <c r="AC75" s="10">
        <f t="shared" ref="AC75:AC99" si="28">Q75*(1/3.2808)*0.25*(1/(600*O75))</f>
        <v>4.3810028785246412E-3</v>
      </c>
      <c r="AD75" s="18">
        <f t="shared" ref="AD75:AD99" si="29">T75*(($W$5/H75)+2*(AC75/Q75)+AA75+AB75)</f>
        <v>4.9870222089282521E-3</v>
      </c>
      <c r="AE75" s="11">
        <f t="shared" ref="AE75:AE99" si="30">AD75/T75</f>
        <v>2.2123654971664457E-2</v>
      </c>
      <c r="AH75" s="11">
        <f t="shared" ref="AH75:AH99" si="31">(H75*0.001)*9.807/S75</f>
        <v>0.34660127085220738</v>
      </c>
      <c r="AL75" s="22" t="s">
        <v>27</v>
      </c>
    </row>
    <row r="76" spans="1:38" s="38" customFormat="1" x14ac:dyDescent="0.2">
      <c r="A76" s="33"/>
      <c r="B76" s="34">
        <v>29.44</v>
      </c>
      <c r="C76" s="35">
        <v>74.7</v>
      </c>
      <c r="D76" s="33">
        <v>67</v>
      </c>
      <c r="E76" s="33">
        <v>23</v>
      </c>
      <c r="F76" s="9">
        <v>4</v>
      </c>
      <c r="G76" s="34">
        <v>2.3140000000000001</v>
      </c>
      <c r="H76" s="33">
        <v>0.27</v>
      </c>
      <c r="I76" s="33">
        <v>1743</v>
      </c>
      <c r="J76" s="33">
        <v>1277</v>
      </c>
      <c r="K76" s="33">
        <f t="shared" ref="K76:K99" si="32">60/(0.5*((I76-J76)/$J$3))</f>
        <v>772.53218884120179</v>
      </c>
      <c r="L76" s="33">
        <f t="shared" si="18"/>
        <v>0.18243872168786845</v>
      </c>
      <c r="M76" s="33">
        <v>1675</v>
      </c>
      <c r="N76" s="33">
        <v>1455</v>
      </c>
      <c r="O76" s="33">
        <f t="shared" si="19"/>
        <v>7.3333333333333334E-2</v>
      </c>
      <c r="P76" s="33">
        <f t="shared" si="20"/>
        <v>3.4090909090909092</v>
      </c>
      <c r="Q76" s="33">
        <f t="shared" si="21"/>
        <v>1.0391035445900112</v>
      </c>
      <c r="R76" s="33">
        <f t="shared" si="22"/>
        <v>1.1698641498401063</v>
      </c>
      <c r="S76" s="36">
        <f t="shared" si="23"/>
        <v>7.2542948815752491E-3</v>
      </c>
      <c r="T76" s="33">
        <f t="shared" si="24"/>
        <v>0.57791789859261744</v>
      </c>
      <c r="U76" s="33"/>
      <c r="V76" s="33"/>
      <c r="W76" s="37">
        <f t="shared" si="25"/>
        <v>2.4013007370065755E-2</v>
      </c>
      <c r="X76" s="33">
        <v>3.2229999999999999</v>
      </c>
      <c r="Y76" s="33">
        <v>0.58799999999999997</v>
      </c>
      <c r="Z76" s="33">
        <f t="shared" si="17"/>
        <v>0.18243872168786845</v>
      </c>
      <c r="AA76" s="33">
        <f t="shared" si="26"/>
        <v>1.2128460316667002E-2</v>
      </c>
      <c r="AB76" s="33">
        <f t="shared" si="27"/>
        <v>8.0152816279952584E-4</v>
      </c>
      <c r="AC76" s="10">
        <f t="shared" si="28"/>
        <v>1.7995602939658759E-3</v>
      </c>
      <c r="AD76" s="33">
        <f t="shared" si="29"/>
        <v>1.1614630222032851E-2</v>
      </c>
      <c r="AE76" s="11">
        <f t="shared" si="30"/>
        <v>2.0097370665136935E-2</v>
      </c>
      <c r="AH76" s="11">
        <f t="shared" si="31"/>
        <v>0.36500997591443629</v>
      </c>
    </row>
    <row r="77" spans="1:38" s="38" customFormat="1" x14ac:dyDescent="0.2">
      <c r="A77" s="33"/>
      <c r="B77" s="34">
        <v>29.44</v>
      </c>
      <c r="C77" s="35">
        <v>74.7</v>
      </c>
      <c r="D77" s="33">
        <v>68</v>
      </c>
      <c r="E77" s="33">
        <v>23</v>
      </c>
      <c r="F77" s="9">
        <v>4</v>
      </c>
      <c r="G77" s="34">
        <v>2.3140000000000001</v>
      </c>
      <c r="H77" s="33">
        <v>0.27</v>
      </c>
      <c r="I77" s="33">
        <v>1788</v>
      </c>
      <c r="J77" s="33">
        <v>1256</v>
      </c>
      <c r="K77" s="33">
        <f t="shared" si="32"/>
        <v>676.69172932330821</v>
      </c>
      <c r="L77" s="33">
        <f t="shared" si="18"/>
        <v>0.18243872168786845</v>
      </c>
      <c r="M77" s="33">
        <v>1725</v>
      </c>
      <c r="N77" s="33">
        <v>1503</v>
      </c>
      <c r="O77" s="33">
        <f t="shared" si="19"/>
        <v>7.3999999999999996E-2</v>
      </c>
      <c r="P77" s="33">
        <f t="shared" si="20"/>
        <v>3.3783783783783785</v>
      </c>
      <c r="Q77" s="33">
        <f t="shared" si="21"/>
        <v>1.0297422513955068</v>
      </c>
      <c r="R77" s="33">
        <f t="shared" si="22"/>
        <v>1.1698641498401063</v>
      </c>
      <c r="S77" s="36">
        <f t="shared" si="23"/>
        <v>7.2542948815752491E-3</v>
      </c>
      <c r="T77" s="33">
        <f t="shared" si="24"/>
        <v>0.58847325855864774</v>
      </c>
      <c r="U77" s="33"/>
      <c r="V77" s="33"/>
      <c r="W77" s="37">
        <f t="shared" si="25"/>
        <v>2.4013007370065755E-2</v>
      </c>
      <c r="X77" s="33">
        <v>3.2229999999999999</v>
      </c>
      <c r="Y77" s="33">
        <v>0.58799999999999997</v>
      </c>
      <c r="Z77" s="33">
        <f t="shared" si="17"/>
        <v>0.18243872168786845</v>
      </c>
      <c r="AA77" s="33">
        <f t="shared" si="26"/>
        <v>1.2128460316667002E-2</v>
      </c>
      <c r="AB77" s="33">
        <f t="shared" si="27"/>
        <v>8.0152816279952584E-4</v>
      </c>
      <c r="AC77" s="10">
        <f t="shared" si="28"/>
        <v>1.767281840515145E-3</v>
      </c>
      <c r="AD77" s="33">
        <f t="shared" si="29"/>
        <v>1.18084023014058E-2</v>
      </c>
      <c r="AE77" s="11">
        <f t="shared" si="30"/>
        <v>2.0066166354488588E-2</v>
      </c>
      <c r="AH77" s="11">
        <f t="shared" si="31"/>
        <v>0.36500997591443629</v>
      </c>
    </row>
    <row r="78" spans="1:38" s="38" customFormat="1" x14ac:dyDescent="0.2">
      <c r="A78" s="33"/>
      <c r="B78" s="34">
        <v>29.44</v>
      </c>
      <c r="C78" s="35">
        <v>74.7</v>
      </c>
      <c r="D78" s="33">
        <v>69</v>
      </c>
      <c r="E78" s="33">
        <v>23</v>
      </c>
      <c r="F78" s="9">
        <v>4</v>
      </c>
      <c r="G78" s="34">
        <v>2.3140000000000001</v>
      </c>
      <c r="H78" s="33">
        <v>0.27</v>
      </c>
      <c r="I78" s="33">
        <v>1709</v>
      </c>
      <c r="J78" s="33">
        <v>1254</v>
      </c>
      <c r="K78" s="33">
        <f t="shared" si="32"/>
        <v>791.20879120879113</v>
      </c>
      <c r="L78" s="33">
        <f t="shared" si="18"/>
        <v>0.18243872168786845</v>
      </c>
      <c r="M78" s="33">
        <v>1612</v>
      </c>
      <c r="N78" s="33">
        <v>1413</v>
      </c>
      <c r="O78" s="33">
        <f t="shared" si="19"/>
        <v>6.6333333333333327E-2</v>
      </c>
      <c r="P78" s="33">
        <f t="shared" si="20"/>
        <v>3.7688442211055282</v>
      </c>
      <c r="Q78" s="33">
        <f t="shared" si="21"/>
        <v>1.1487576874864447</v>
      </c>
      <c r="R78" s="33">
        <f t="shared" si="22"/>
        <v>1.1698641498401063</v>
      </c>
      <c r="S78" s="36">
        <f t="shared" si="23"/>
        <v>7.2542948815752491E-3</v>
      </c>
      <c r="T78" s="33">
        <f t="shared" si="24"/>
        <v>0.47285385748277348</v>
      </c>
      <c r="U78" s="33">
        <f>AVERAGE(T76:T78)</f>
        <v>0.54641500487801287</v>
      </c>
      <c r="V78" s="33"/>
      <c r="W78" s="37">
        <f t="shared" si="25"/>
        <v>2.4013007370065755E-2</v>
      </c>
      <c r="X78" s="33">
        <v>3.2229999999999999</v>
      </c>
      <c r="Y78" s="33">
        <v>0.58799999999999997</v>
      </c>
      <c r="Z78" s="33">
        <f t="shared" si="17"/>
        <v>0.18243872168786845</v>
      </c>
      <c r="AA78" s="33">
        <f t="shared" si="26"/>
        <v>1.2128460316667002E-2</v>
      </c>
      <c r="AB78" s="33">
        <f t="shared" si="27"/>
        <v>8.0152816279952584E-4</v>
      </c>
      <c r="AC78" s="10">
        <f t="shared" si="28"/>
        <v>2.1994070409320069E-3</v>
      </c>
      <c r="AD78" s="33">
        <f t="shared" si="29"/>
        <v>9.6759538591296192E-3</v>
      </c>
      <c r="AE78" s="11">
        <f t="shared" si="30"/>
        <v>2.0462884474791714E-2</v>
      </c>
      <c r="AH78" s="11">
        <f t="shared" si="31"/>
        <v>0.36500997591443629</v>
      </c>
    </row>
    <row r="79" spans="1:38" s="13" customFormat="1" x14ac:dyDescent="0.2">
      <c r="A79" s="18"/>
      <c r="B79" s="20">
        <v>29.44</v>
      </c>
      <c r="C79" s="21">
        <v>74.7</v>
      </c>
      <c r="D79" s="18">
        <v>70</v>
      </c>
      <c r="E79" s="18">
        <v>24</v>
      </c>
      <c r="F79" s="9">
        <v>4</v>
      </c>
      <c r="G79" s="20">
        <v>2.484</v>
      </c>
      <c r="H79" s="18">
        <v>0.34799999999999998</v>
      </c>
      <c r="I79" s="18">
        <v>1886</v>
      </c>
      <c r="J79" s="18">
        <v>1508</v>
      </c>
      <c r="K79" s="18">
        <f>60/(0.5*((I79-J79)/$J$3))</f>
        <v>952.38095238095241</v>
      </c>
      <c r="L79" s="18">
        <f t="shared" si="18"/>
        <v>0.18243872168786845</v>
      </c>
      <c r="M79" s="18">
        <v>1827</v>
      </c>
      <c r="N79" s="18">
        <v>1657</v>
      </c>
      <c r="O79" s="18">
        <f t="shared" si="19"/>
        <v>5.6666666666666664E-2</v>
      </c>
      <c r="P79" s="18">
        <f t="shared" si="20"/>
        <v>4.4117647058823533</v>
      </c>
      <c r="Q79" s="18">
        <f t="shared" si="21"/>
        <v>1.3447222341753087</v>
      </c>
      <c r="R79" s="18">
        <f t="shared" si="22"/>
        <v>1.1698641498401063</v>
      </c>
      <c r="S79" s="31">
        <f t="shared" si="23"/>
        <v>8.3593340223630276E-3</v>
      </c>
      <c r="T79" s="18">
        <f t="shared" si="24"/>
        <v>0.38597362811998742</v>
      </c>
      <c r="U79" s="18"/>
      <c r="V79" s="18"/>
      <c r="W79" s="32">
        <f t="shared" si="25"/>
        <v>2.6858735363402272E-2</v>
      </c>
      <c r="X79" s="18">
        <v>3.2229999999999999</v>
      </c>
      <c r="Y79" s="18">
        <v>0.58799999999999997</v>
      </c>
      <c r="Z79" s="18">
        <f t="shared" si="17"/>
        <v>0.18243872168786845</v>
      </c>
      <c r="AA79" s="18">
        <f t="shared" si="26"/>
        <v>1.2128460316667002E-2</v>
      </c>
      <c r="AB79" s="18">
        <f t="shared" si="27"/>
        <v>9.2312964316989036E-4</v>
      </c>
      <c r="AC79" s="10">
        <f t="shared" si="28"/>
        <v>3.013796478475723E-3</v>
      </c>
      <c r="AD79" s="18">
        <f t="shared" si="29"/>
        <v>7.8767802156946235E-3</v>
      </c>
      <c r="AE79" s="11">
        <f t="shared" si="30"/>
        <v>2.0407560625478726E-2</v>
      </c>
      <c r="AH79" s="11">
        <f t="shared" si="31"/>
        <v>0.40826649477935983</v>
      </c>
    </row>
    <row r="80" spans="1:38" s="13" customFormat="1" x14ac:dyDescent="0.2">
      <c r="A80" s="18"/>
      <c r="B80" s="20">
        <v>29.44</v>
      </c>
      <c r="C80" s="21">
        <v>74.7</v>
      </c>
      <c r="D80" s="18">
        <v>71</v>
      </c>
      <c r="E80" s="18">
        <v>24</v>
      </c>
      <c r="F80" s="9">
        <v>4</v>
      </c>
      <c r="G80" s="20">
        <v>2.484</v>
      </c>
      <c r="H80" s="18">
        <v>0.34799999999999998</v>
      </c>
      <c r="I80" s="18">
        <v>1876</v>
      </c>
      <c r="J80" s="18">
        <v>1466</v>
      </c>
      <c r="K80" s="18">
        <f t="shared" si="32"/>
        <v>878.04878048780495</v>
      </c>
      <c r="L80" s="18">
        <f t="shared" si="18"/>
        <v>0.18243872168786845</v>
      </c>
      <c r="M80" s="18">
        <v>1797</v>
      </c>
      <c r="N80" s="18">
        <v>1605</v>
      </c>
      <c r="O80" s="18">
        <f t="shared" si="19"/>
        <v>6.4000000000000001E-2</v>
      </c>
      <c r="P80" s="18">
        <f t="shared" si="20"/>
        <v>3.90625</v>
      </c>
      <c r="Q80" s="18">
        <f t="shared" si="21"/>
        <v>1.1906394781760545</v>
      </c>
      <c r="R80" s="18">
        <f t="shared" si="22"/>
        <v>1.1698641498401063</v>
      </c>
      <c r="S80" s="31">
        <f t="shared" si="23"/>
        <v>8.3593340223630276E-3</v>
      </c>
      <c r="T80" s="18">
        <f t="shared" si="24"/>
        <v>0.49233674141921169</v>
      </c>
      <c r="U80" s="18"/>
      <c r="V80" s="18"/>
      <c r="W80" s="32">
        <f t="shared" si="25"/>
        <v>2.6858735363402272E-2</v>
      </c>
      <c r="X80" s="18">
        <v>3.2229999999999999</v>
      </c>
      <c r="Y80" s="18">
        <v>0.58799999999999997</v>
      </c>
      <c r="Z80" s="18">
        <f t="shared" si="17"/>
        <v>0.18243872168786845</v>
      </c>
      <c r="AA80" s="18">
        <f t="shared" si="26"/>
        <v>1.2128460316667002E-2</v>
      </c>
      <c r="AB80" s="18">
        <f t="shared" si="27"/>
        <v>9.2312964316989036E-4</v>
      </c>
      <c r="AC80" s="10">
        <f t="shared" si="28"/>
        <v>2.3627039449855792E-3</v>
      </c>
      <c r="AD80" s="18">
        <f t="shared" si="29"/>
        <v>9.7945232253379925E-3</v>
      </c>
      <c r="AE80" s="11">
        <f t="shared" si="30"/>
        <v>1.9893951438814547E-2</v>
      </c>
      <c r="AH80" s="11">
        <f t="shared" si="31"/>
        <v>0.40826649477935983</v>
      </c>
    </row>
    <row r="81" spans="1:38" s="13" customFormat="1" x14ac:dyDescent="0.2">
      <c r="A81" s="18"/>
      <c r="B81" s="20">
        <v>29.44</v>
      </c>
      <c r="C81" s="21">
        <v>74.7</v>
      </c>
      <c r="D81" s="18">
        <v>72</v>
      </c>
      <c r="E81" s="18">
        <v>24</v>
      </c>
      <c r="F81" s="9">
        <v>4</v>
      </c>
      <c r="G81" s="20">
        <v>2.484</v>
      </c>
      <c r="H81" s="18">
        <v>0.34799999999999998</v>
      </c>
      <c r="I81" s="18">
        <v>1806</v>
      </c>
      <c r="J81" s="18">
        <v>1471</v>
      </c>
      <c r="K81" s="18">
        <f>60/(0.66*((I81-J81)/$J$3))</f>
        <v>814.11126187245588</v>
      </c>
      <c r="L81" s="18">
        <f t="shared" si="18"/>
        <v>0.18243872168786845</v>
      </c>
      <c r="M81" s="18">
        <v>1744</v>
      </c>
      <c r="N81" s="18">
        <v>1576</v>
      </c>
      <c r="O81" s="18">
        <f t="shared" si="19"/>
        <v>5.6000000000000001E-2</v>
      </c>
      <c r="P81" s="18">
        <f t="shared" si="20"/>
        <v>4.4642857142857144</v>
      </c>
      <c r="Q81" s="18">
        <f t="shared" si="21"/>
        <v>1.3607308322012053</v>
      </c>
      <c r="R81" s="18">
        <f t="shared" si="22"/>
        <v>1.1698641498401063</v>
      </c>
      <c r="S81" s="31">
        <f t="shared" si="23"/>
        <v>8.3593340223630276E-3</v>
      </c>
      <c r="T81" s="18">
        <f t="shared" si="24"/>
        <v>0.3769453176490839</v>
      </c>
      <c r="U81" s="18">
        <f>AVERAGE(T79:T81)</f>
        <v>0.41841856239609437</v>
      </c>
      <c r="V81" s="18">
        <f>AVERAGE(T64:T81)</f>
        <v>0.51178185213659744</v>
      </c>
      <c r="W81" s="32">
        <f t="shared" si="25"/>
        <v>2.6858735363402272E-2</v>
      </c>
      <c r="X81" s="18">
        <v>3.2229999999999999</v>
      </c>
      <c r="Y81" s="18">
        <v>0.58799999999999997</v>
      </c>
      <c r="Z81" s="18">
        <f t="shared" si="17"/>
        <v>0.18243872168786845</v>
      </c>
      <c r="AA81" s="18">
        <f t="shared" si="26"/>
        <v>1.2128460316667002E-2</v>
      </c>
      <c r="AB81" s="18">
        <f t="shared" si="27"/>
        <v>9.2312964316989036E-4</v>
      </c>
      <c r="AC81" s="10">
        <f t="shared" si="28"/>
        <v>3.0859806628383076E-3</v>
      </c>
      <c r="AD81" s="18">
        <f t="shared" si="29"/>
        <v>7.7126489759739751E-3</v>
      </c>
      <c r="AE81" s="11">
        <f t="shared" si="30"/>
        <v>2.046092261889838E-2</v>
      </c>
      <c r="AF81" s="13">
        <f>AVERAGE(AE64:AE81)</f>
        <v>2.2137924756076802E-2</v>
      </c>
      <c r="AG81" s="13">
        <f>STDEV(Q64:Q81)</f>
        <v>0.27895755654924842</v>
      </c>
      <c r="AH81" s="11">
        <f t="shared" si="31"/>
        <v>0.40826649477935983</v>
      </c>
      <c r="AI81" s="13">
        <f>STDEV(AH64:AH81)</f>
        <v>0.11142729730401778</v>
      </c>
      <c r="AL81" s="22" t="s">
        <v>27</v>
      </c>
    </row>
    <row r="82" spans="1:38" s="38" customFormat="1" x14ac:dyDescent="0.2">
      <c r="A82" s="33"/>
      <c r="B82" s="34">
        <v>29.44</v>
      </c>
      <c r="C82" s="35">
        <v>74.7</v>
      </c>
      <c r="D82" s="33">
        <v>73</v>
      </c>
      <c r="E82" s="33">
        <v>25</v>
      </c>
      <c r="F82" s="34">
        <v>5</v>
      </c>
      <c r="G82" s="34">
        <v>0.999</v>
      </c>
      <c r="H82" s="33">
        <v>0.03</v>
      </c>
      <c r="I82" s="33">
        <v>1394</v>
      </c>
      <c r="J82" s="33">
        <v>1152</v>
      </c>
      <c r="K82" s="33">
        <f t="shared" si="32"/>
        <v>1487.6033057851241</v>
      </c>
      <c r="L82" s="33">
        <f t="shared" si="18"/>
        <v>0.23151125401929259</v>
      </c>
      <c r="M82" s="33">
        <v>1387</v>
      </c>
      <c r="N82" s="33">
        <v>1123</v>
      </c>
      <c r="O82" s="33">
        <f t="shared" si="19"/>
        <v>8.7999999999999995E-2</v>
      </c>
      <c r="P82" s="33">
        <f t="shared" si="20"/>
        <v>2.8409090909090913</v>
      </c>
      <c r="Q82" s="33">
        <f t="shared" si="21"/>
        <v>0.86591962049167615</v>
      </c>
      <c r="R82" s="33">
        <f t="shared" si="22"/>
        <v>1.1698641498401063</v>
      </c>
      <c r="S82" s="36">
        <f t="shared" si="23"/>
        <v>1.194631242287085E-3</v>
      </c>
      <c r="T82" s="33">
        <f t="shared" si="24"/>
        <v>0.5614970317642054</v>
      </c>
      <c r="U82" s="33"/>
      <c r="V82" s="33"/>
      <c r="W82" s="37">
        <f t="shared" si="25"/>
        <v>1.6201878899690242E-2</v>
      </c>
      <c r="X82" s="33">
        <v>1.244</v>
      </c>
      <c r="Y82" s="33">
        <v>0.28799999999999998</v>
      </c>
      <c r="Z82" s="33">
        <f t="shared" si="17"/>
        <v>0.23151125401929259</v>
      </c>
      <c r="AA82" s="33">
        <f t="shared" si="26"/>
        <v>1.2128460316667002E-2</v>
      </c>
      <c r="AB82" s="33">
        <f t="shared" si="27"/>
        <v>1.0559451979184717E-4</v>
      </c>
      <c r="AC82" s="10">
        <f t="shared" si="28"/>
        <v>1.2496946485874138E-3</v>
      </c>
      <c r="AD82" s="33">
        <f t="shared" si="29"/>
        <v>2.720665752476056E-2</v>
      </c>
      <c r="AE82" s="11">
        <f t="shared" si="30"/>
        <v>4.8453786904764443E-2</v>
      </c>
      <c r="AH82" s="11">
        <f t="shared" si="31"/>
        <v>0.24627683387615412</v>
      </c>
    </row>
    <row r="83" spans="1:38" s="38" customFormat="1" x14ac:dyDescent="0.2">
      <c r="A83" s="33"/>
      <c r="B83" s="34">
        <v>29.44</v>
      </c>
      <c r="C83" s="35">
        <v>74.7</v>
      </c>
      <c r="D83" s="33">
        <v>74</v>
      </c>
      <c r="E83" s="33">
        <v>25</v>
      </c>
      <c r="F83" s="34">
        <v>5</v>
      </c>
      <c r="G83" s="34">
        <v>0.999</v>
      </c>
      <c r="H83" s="33">
        <v>0.03</v>
      </c>
      <c r="I83" s="33">
        <v>1884</v>
      </c>
      <c r="J83" s="33">
        <v>1662</v>
      </c>
      <c r="K83" s="33">
        <f t="shared" si="32"/>
        <v>1621.6216216216217</v>
      </c>
      <c r="L83" s="33">
        <f t="shared" si="18"/>
        <v>0.23151125401929259</v>
      </c>
      <c r="M83" s="33">
        <v>1919</v>
      </c>
      <c r="N83" s="33">
        <v>1633</v>
      </c>
      <c r="O83" s="33">
        <f t="shared" si="19"/>
        <v>9.5333333333333339E-2</v>
      </c>
      <c r="P83" s="33">
        <f t="shared" si="20"/>
        <v>2.6223776223776221</v>
      </c>
      <c r="Q83" s="33">
        <f t="shared" si="21"/>
        <v>0.79931041891539323</v>
      </c>
      <c r="R83" s="33">
        <f t="shared" si="22"/>
        <v>1.1698641498401063</v>
      </c>
      <c r="S83" s="36">
        <f t="shared" si="23"/>
        <v>1.194631242287085E-3</v>
      </c>
      <c r="T83" s="33">
        <f t="shared" si="24"/>
        <v>0.65897915533438023</v>
      </c>
      <c r="U83" s="33"/>
      <c r="V83" s="33"/>
      <c r="W83" s="37">
        <f t="shared" si="25"/>
        <v>1.6201878899690242E-2</v>
      </c>
      <c r="X83" s="33">
        <v>1.244</v>
      </c>
      <c r="Y83" s="33">
        <v>0.28799999999999998</v>
      </c>
      <c r="Z83" s="33">
        <f t="shared" si="17"/>
        <v>0.23151125401929259</v>
      </c>
      <c r="AA83" s="33">
        <f t="shared" si="26"/>
        <v>1.2128460316667002E-2</v>
      </c>
      <c r="AB83" s="33">
        <f t="shared" si="27"/>
        <v>1.0559451979184717E-4</v>
      </c>
      <c r="AC83" s="10">
        <f t="shared" si="28"/>
        <v>1.064828576311169E-3</v>
      </c>
      <c r="AD83" s="33">
        <f t="shared" si="29"/>
        <v>3.1783721982612936E-2</v>
      </c>
      <c r="AE83" s="11">
        <f t="shared" si="30"/>
        <v>4.8231756232843495E-2</v>
      </c>
      <c r="AH83" s="11">
        <f t="shared" si="31"/>
        <v>0.24627683387615412</v>
      </c>
    </row>
    <row r="84" spans="1:38" s="38" customFormat="1" x14ac:dyDescent="0.2">
      <c r="A84" s="33"/>
      <c r="B84" s="34">
        <v>29.44</v>
      </c>
      <c r="C84" s="35">
        <v>74.7</v>
      </c>
      <c r="D84" s="33">
        <v>75</v>
      </c>
      <c r="E84" s="33">
        <v>25</v>
      </c>
      <c r="F84" s="34">
        <v>5</v>
      </c>
      <c r="G84" s="34">
        <v>0.999</v>
      </c>
      <c r="H84" s="33">
        <v>0.03</v>
      </c>
      <c r="I84" s="33">
        <v>1700</v>
      </c>
      <c r="J84" s="33">
        <v>1428</v>
      </c>
      <c r="K84" s="33">
        <f t="shared" si="32"/>
        <v>1323.5294117647059</v>
      </c>
      <c r="L84" s="33">
        <f t="shared" si="18"/>
        <v>0.23151125401929259</v>
      </c>
      <c r="M84" s="33">
        <v>1726</v>
      </c>
      <c r="N84" s="33">
        <v>1478</v>
      </c>
      <c r="O84" s="33">
        <f t="shared" si="19"/>
        <v>8.2666666666666666E-2</v>
      </c>
      <c r="P84" s="33">
        <f t="shared" si="20"/>
        <v>3.024193548387097</v>
      </c>
      <c r="Q84" s="33">
        <f t="shared" si="21"/>
        <v>0.92178540245888096</v>
      </c>
      <c r="R84" s="33">
        <f t="shared" si="22"/>
        <v>1.1698641498401063</v>
      </c>
      <c r="S84" s="36">
        <f t="shared" si="23"/>
        <v>1.194631242287085E-3</v>
      </c>
      <c r="T84" s="33">
        <f t="shared" si="24"/>
        <v>0.4954992171950427</v>
      </c>
      <c r="U84" s="33">
        <f>AVERAGE(T82:T84)</f>
        <v>0.57199180143120942</v>
      </c>
      <c r="V84" s="33"/>
      <c r="W84" s="37">
        <f t="shared" si="25"/>
        <v>1.6201878899690242E-2</v>
      </c>
      <c r="X84" s="33">
        <v>1.244</v>
      </c>
      <c r="Y84" s="33">
        <v>0.28799999999999998</v>
      </c>
      <c r="Z84" s="33">
        <f t="shared" si="17"/>
        <v>0.23151125401929259</v>
      </c>
      <c r="AA84" s="33">
        <f t="shared" si="26"/>
        <v>1.2128460316667002E-2</v>
      </c>
      <c r="AB84" s="33">
        <f t="shared" si="27"/>
        <v>1.0559451979184717E-4</v>
      </c>
      <c r="AC84" s="10">
        <f t="shared" si="28"/>
        <v>1.4161472136438018E-3</v>
      </c>
      <c r="AD84" s="33">
        <f t="shared" si="29"/>
        <v>2.410108498555532E-2</v>
      </c>
      <c r="AE84" s="11">
        <f t="shared" si="30"/>
        <v>4.8640006177988457E-2</v>
      </c>
      <c r="AH84" s="11">
        <f t="shared" si="31"/>
        <v>0.24627683387615412</v>
      </c>
    </row>
    <row r="85" spans="1:38" s="13" customFormat="1" x14ac:dyDescent="0.2">
      <c r="A85" s="18"/>
      <c r="B85" s="20">
        <v>29.44</v>
      </c>
      <c r="C85" s="21">
        <v>74.7</v>
      </c>
      <c r="D85" s="18">
        <v>76</v>
      </c>
      <c r="E85" s="18">
        <v>26</v>
      </c>
      <c r="F85" s="34">
        <v>5</v>
      </c>
      <c r="G85" s="20">
        <v>0.96099999999999997</v>
      </c>
      <c r="H85" s="18">
        <v>0.03</v>
      </c>
      <c r="I85" s="18">
        <v>1810</v>
      </c>
      <c r="J85" s="18">
        <v>1592</v>
      </c>
      <c r="K85" s="18">
        <f t="shared" si="32"/>
        <v>1651.3761467889908</v>
      </c>
      <c r="L85" s="18">
        <f t="shared" si="18"/>
        <v>0.23151125401929259</v>
      </c>
      <c r="M85" s="18">
        <v>1807</v>
      </c>
      <c r="N85" s="18">
        <v>1579</v>
      </c>
      <c r="O85" s="18">
        <f t="shared" si="19"/>
        <v>7.5999999999999998E-2</v>
      </c>
      <c r="P85" s="18">
        <f t="shared" si="20"/>
        <v>3.2894736842105265</v>
      </c>
      <c r="Q85" s="18">
        <f t="shared" si="21"/>
        <v>1.0026437710956249</v>
      </c>
      <c r="R85" s="18">
        <f t="shared" si="22"/>
        <v>1.1698641498401063</v>
      </c>
      <c r="S85" s="31">
        <f t="shared" si="23"/>
        <v>1.1054768878069367E-3</v>
      </c>
      <c r="T85" s="18">
        <f t="shared" si="24"/>
        <v>0.4525780701044545</v>
      </c>
      <c r="U85" s="18"/>
      <c r="V85" s="18"/>
      <c r="W85" s="32">
        <f t="shared" si="25"/>
        <v>1.7508525895750898E-2</v>
      </c>
      <c r="X85" s="18">
        <v>1.244</v>
      </c>
      <c r="Y85" s="18">
        <v>0.28799999999999998</v>
      </c>
      <c r="Z85" s="18">
        <f t="shared" si="17"/>
        <v>0.23151125401929259</v>
      </c>
      <c r="AA85" s="18">
        <f t="shared" si="26"/>
        <v>1.2128460316667002E-2</v>
      </c>
      <c r="AB85" s="18">
        <f t="shared" si="27"/>
        <v>9.7801600337598827E-5</v>
      </c>
      <c r="AC85" s="10">
        <f t="shared" si="28"/>
        <v>1.6754908861947597E-3</v>
      </c>
      <c r="AD85" s="18">
        <f t="shared" si="29"/>
        <v>2.2131855636220384E-2</v>
      </c>
      <c r="AE85" s="11">
        <f t="shared" si="30"/>
        <v>4.8901741153990021E-2</v>
      </c>
      <c r="AH85" s="11">
        <f t="shared" si="31"/>
        <v>0.2661385355451969</v>
      </c>
    </row>
    <row r="86" spans="1:38" s="13" customFormat="1" x14ac:dyDescent="0.2">
      <c r="A86" s="18"/>
      <c r="B86" s="20">
        <v>29.44</v>
      </c>
      <c r="C86" s="21">
        <v>74.7</v>
      </c>
      <c r="D86" s="18">
        <v>77</v>
      </c>
      <c r="E86" s="18">
        <v>26</v>
      </c>
      <c r="F86" s="34">
        <v>5</v>
      </c>
      <c r="G86" s="20">
        <v>0.96099999999999997</v>
      </c>
      <c r="H86" s="18">
        <v>0.03</v>
      </c>
      <c r="I86" s="18">
        <v>1284</v>
      </c>
      <c r="J86" s="18">
        <v>1073</v>
      </c>
      <c r="K86" s="18">
        <f t="shared" si="32"/>
        <v>1706.1611374407582</v>
      </c>
      <c r="L86" s="18">
        <f t="shared" si="18"/>
        <v>0.23151125401929259</v>
      </c>
      <c r="M86" s="18">
        <v>1318</v>
      </c>
      <c r="N86" s="18">
        <v>1066</v>
      </c>
      <c r="O86" s="18">
        <f t="shared" si="19"/>
        <v>8.4000000000000005E-2</v>
      </c>
      <c r="P86" s="18">
        <f t="shared" si="20"/>
        <v>2.9761904761904758</v>
      </c>
      <c r="Q86" s="18">
        <f t="shared" si="21"/>
        <v>0.90715388813413667</v>
      </c>
      <c r="R86" s="18">
        <f t="shared" si="22"/>
        <v>1.1698641498401063</v>
      </c>
      <c r="S86" s="31">
        <f t="shared" si="23"/>
        <v>1.1054768878069367E-3</v>
      </c>
      <c r="T86" s="18">
        <f t="shared" si="24"/>
        <v>0.55287237926887667</v>
      </c>
      <c r="U86" s="18"/>
      <c r="V86" s="18"/>
      <c r="W86" s="32">
        <f t="shared" si="25"/>
        <v>1.7508525895750898E-2</v>
      </c>
      <c r="X86" s="18">
        <v>1.244</v>
      </c>
      <c r="Y86" s="18">
        <v>0.28799999999999998</v>
      </c>
      <c r="Z86" s="18">
        <f t="shared" si="17"/>
        <v>0.23151125401929259</v>
      </c>
      <c r="AA86" s="18">
        <f t="shared" si="26"/>
        <v>1.2128460316667002E-2</v>
      </c>
      <c r="AB86" s="18">
        <f t="shared" si="27"/>
        <v>9.7801600337598827E-5</v>
      </c>
      <c r="AC86" s="10">
        <f t="shared" si="28"/>
        <v>1.3715469612614697E-3</v>
      </c>
      <c r="AD86" s="18">
        <f t="shared" si="29"/>
        <v>2.6860442919567119E-2</v>
      </c>
      <c r="AE86" s="11">
        <f t="shared" si="30"/>
        <v>4.8583441544118387E-2</v>
      </c>
      <c r="AH86" s="11">
        <f t="shared" si="31"/>
        <v>0.2661385355451969</v>
      </c>
    </row>
    <row r="87" spans="1:38" s="13" customFormat="1" x14ac:dyDescent="0.2">
      <c r="A87" s="18"/>
      <c r="B87" s="20">
        <v>29.44</v>
      </c>
      <c r="C87" s="21">
        <v>74.7</v>
      </c>
      <c r="D87" s="18">
        <v>78</v>
      </c>
      <c r="E87" s="18">
        <v>26</v>
      </c>
      <c r="F87" s="34">
        <v>5</v>
      </c>
      <c r="G87" s="20">
        <v>0.96099999999999997</v>
      </c>
      <c r="H87" s="18">
        <v>0.03</v>
      </c>
      <c r="I87" s="18">
        <v>1890</v>
      </c>
      <c r="J87" s="18">
        <v>1678</v>
      </c>
      <c r="K87" s="18">
        <f t="shared" si="32"/>
        <v>1698.1132075471698</v>
      </c>
      <c r="L87" s="18">
        <f t="shared" si="18"/>
        <v>0.23151125401929259</v>
      </c>
      <c r="M87" s="18">
        <v>1911</v>
      </c>
      <c r="N87" s="18">
        <v>1696</v>
      </c>
      <c r="O87" s="18">
        <f t="shared" si="19"/>
        <v>7.166666666666667E-2</v>
      </c>
      <c r="P87" s="18">
        <f t="shared" si="20"/>
        <v>3.4883720930232558</v>
      </c>
      <c r="Q87" s="18">
        <f t="shared" si="21"/>
        <v>1.0632687433014067</v>
      </c>
      <c r="R87" s="18">
        <f t="shared" si="22"/>
        <v>1.1698641498401063</v>
      </c>
      <c r="S87" s="31">
        <f t="shared" si="23"/>
        <v>1.1054768878069367E-3</v>
      </c>
      <c r="T87" s="18">
        <f t="shared" si="24"/>
        <v>0.40243962162546959</v>
      </c>
      <c r="U87" s="18">
        <f>AVERAGE(T85:T87)</f>
        <v>0.46929669033293359</v>
      </c>
      <c r="V87" s="18"/>
      <c r="W87" s="32">
        <f t="shared" si="25"/>
        <v>1.7508525895750898E-2</v>
      </c>
      <c r="X87" s="18">
        <v>1.244</v>
      </c>
      <c r="Y87" s="18">
        <v>0.28799999999999998</v>
      </c>
      <c r="Z87" s="18">
        <f t="shared" si="17"/>
        <v>0.23151125401929259</v>
      </c>
      <c r="AA87" s="18">
        <f t="shared" si="26"/>
        <v>1.2128460316667002E-2</v>
      </c>
      <c r="AB87" s="18">
        <f t="shared" si="27"/>
        <v>9.7801600337598827E-5</v>
      </c>
      <c r="AC87" s="10">
        <f t="shared" si="28"/>
        <v>1.8842340341362551E-3</v>
      </c>
      <c r="AD87" s="18">
        <f t="shared" si="29"/>
        <v>1.9761324509756897E-2</v>
      </c>
      <c r="AE87" s="11">
        <f t="shared" si="30"/>
        <v>4.9103824394675963E-2</v>
      </c>
      <c r="AH87" s="11">
        <f t="shared" si="31"/>
        <v>0.2661385355451969</v>
      </c>
    </row>
    <row r="88" spans="1:38" s="38" customFormat="1" x14ac:dyDescent="0.2">
      <c r="A88" s="33"/>
      <c r="B88" s="34">
        <v>29.44</v>
      </c>
      <c r="C88" s="35">
        <v>74.8</v>
      </c>
      <c r="D88" s="33">
        <v>79</v>
      </c>
      <c r="E88" s="33">
        <v>27</v>
      </c>
      <c r="F88" s="34">
        <v>5</v>
      </c>
      <c r="G88" s="34">
        <v>0.89600000000000002</v>
      </c>
      <c r="H88" s="33">
        <v>2.9000000000000001E-2</v>
      </c>
      <c r="I88" s="33">
        <v>2128</v>
      </c>
      <c r="J88" s="33">
        <v>1927</v>
      </c>
      <c r="K88" s="33">
        <f t="shared" si="32"/>
        <v>1791.044776119403</v>
      </c>
      <c r="L88" s="33">
        <f t="shared" si="18"/>
        <v>0.23151125401929259</v>
      </c>
      <c r="M88" s="33">
        <v>2156</v>
      </c>
      <c r="N88" s="33">
        <v>1860</v>
      </c>
      <c r="O88" s="33">
        <f t="shared" si="19"/>
        <v>9.8666666666666666E-2</v>
      </c>
      <c r="P88" s="33">
        <f t="shared" si="20"/>
        <v>2.5337837837837838</v>
      </c>
      <c r="Q88" s="33">
        <f t="shared" si="21"/>
        <v>0.77230668854662998</v>
      </c>
      <c r="R88" s="33">
        <f t="shared" si="22"/>
        <v>1.1696452668064767</v>
      </c>
      <c r="S88" s="36">
        <f t="shared" si="23"/>
        <v>9.6099009460706806E-4</v>
      </c>
      <c r="T88" s="33">
        <f t="shared" si="24"/>
        <v>0.84839089331116113</v>
      </c>
      <c r="U88" s="33"/>
      <c r="V88" s="33"/>
      <c r="W88" s="37">
        <f t="shared" si="25"/>
        <v>1.9469602373367544E-2</v>
      </c>
      <c r="X88" s="33">
        <v>1.244</v>
      </c>
      <c r="Y88" s="33">
        <v>0.28799999999999998</v>
      </c>
      <c r="Z88" s="33">
        <f t="shared" si="17"/>
        <v>0.23151125401929259</v>
      </c>
      <c r="AA88" s="33">
        <f t="shared" si="26"/>
        <v>1.2126117350779824E-2</v>
      </c>
      <c r="AB88" s="33">
        <f t="shared" si="27"/>
        <v>8.516393368179503E-5</v>
      </c>
      <c r="AC88" s="10">
        <f t="shared" si="28"/>
        <v>9.9409603528976881E-4</v>
      </c>
      <c r="AD88" s="33">
        <f t="shared" si="29"/>
        <v>4.1798858098792496E-2</v>
      </c>
      <c r="AE88" s="11">
        <f t="shared" si="30"/>
        <v>4.9268395533640041E-2</v>
      </c>
      <c r="AH88" s="11">
        <f t="shared" si="31"/>
        <v>0.29594789956319728</v>
      </c>
    </row>
    <row r="89" spans="1:38" s="38" customFormat="1" x14ac:dyDescent="0.2">
      <c r="A89" s="33"/>
      <c r="B89" s="34">
        <v>29.44</v>
      </c>
      <c r="C89" s="35">
        <v>74.8</v>
      </c>
      <c r="D89" s="33">
        <v>80</v>
      </c>
      <c r="E89" s="33">
        <v>27</v>
      </c>
      <c r="F89" s="34">
        <v>5</v>
      </c>
      <c r="G89" s="34">
        <v>0.89600000000000002</v>
      </c>
      <c r="H89" s="33">
        <v>2.9000000000000001E-2</v>
      </c>
      <c r="I89" s="33">
        <v>1426</v>
      </c>
      <c r="J89" s="33">
        <v>1217</v>
      </c>
      <c r="K89" s="33">
        <f t="shared" si="32"/>
        <v>1722.4880382775118</v>
      </c>
      <c r="L89" s="33">
        <f t="shared" si="18"/>
        <v>0.23151125401929259</v>
      </c>
      <c r="M89" s="33">
        <v>1443</v>
      </c>
      <c r="N89" s="33">
        <v>1168</v>
      </c>
      <c r="O89" s="33">
        <f t="shared" si="19"/>
        <v>9.166666666666666E-2</v>
      </c>
      <c r="P89" s="33">
        <f t="shared" si="20"/>
        <v>2.7272727272727275</v>
      </c>
      <c r="Q89" s="33">
        <f t="shared" si="21"/>
        <v>0.83128283567200911</v>
      </c>
      <c r="R89" s="33">
        <f t="shared" si="22"/>
        <v>1.1696452668064767</v>
      </c>
      <c r="S89" s="36">
        <f t="shared" si="23"/>
        <v>9.6099009460706806E-4</v>
      </c>
      <c r="T89" s="33">
        <f t="shared" si="24"/>
        <v>0.73228133339408952</v>
      </c>
      <c r="U89" s="33"/>
      <c r="V89" s="33"/>
      <c r="W89" s="37">
        <f t="shared" si="25"/>
        <v>1.9469602373367544E-2</v>
      </c>
      <c r="X89" s="33">
        <v>1.244</v>
      </c>
      <c r="Y89" s="33">
        <v>0.28799999999999998</v>
      </c>
      <c r="Z89" s="33">
        <f t="shared" si="17"/>
        <v>0.23151125401929259</v>
      </c>
      <c r="AA89" s="33">
        <f t="shared" si="26"/>
        <v>1.2126117350779824E-2</v>
      </c>
      <c r="AB89" s="33">
        <f t="shared" si="27"/>
        <v>8.516393368179503E-5</v>
      </c>
      <c r="AC89" s="10">
        <f t="shared" si="28"/>
        <v>1.1517185881381609E-3</v>
      </c>
      <c r="AD89" s="33">
        <f t="shared" si="29"/>
        <v>3.6222283481079393E-2</v>
      </c>
      <c r="AE89" s="11">
        <f t="shared" si="30"/>
        <v>4.9464982690724635E-2</v>
      </c>
      <c r="AH89" s="11">
        <f t="shared" si="31"/>
        <v>0.29594789956319728</v>
      </c>
    </row>
    <row r="90" spans="1:38" s="38" customFormat="1" x14ac:dyDescent="0.2">
      <c r="A90" s="33"/>
      <c r="B90" s="34">
        <v>29.44</v>
      </c>
      <c r="C90" s="35">
        <v>74.8</v>
      </c>
      <c r="D90" s="33">
        <v>81</v>
      </c>
      <c r="E90" s="33">
        <v>27</v>
      </c>
      <c r="F90" s="34">
        <v>5</v>
      </c>
      <c r="G90" s="34">
        <v>0.89600000000000002</v>
      </c>
      <c r="H90" s="33">
        <v>2.9000000000000001E-2</v>
      </c>
      <c r="I90" s="33">
        <v>1578</v>
      </c>
      <c r="J90" s="33">
        <v>1388</v>
      </c>
      <c r="K90" s="33">
        <f t="shared" si="32"/>
        <v>1894.7368421052629</v>
      </c>
      <c r="L90" s="33">
        <f t="shared" si="18"/>
        <v>0.23151125401929259</v>
      </c>
      <c r="M90" s="33">
        <v>1536</v>
      </c>
      <c r="N90" s="33">
        <v>1293</v>
      </c>
      <c r="O90" s="33">
        <f t="shared" si="19"/>
        <v>8.1000000000000003E-2</v>
      </c>
      <c r="P90" s="33">
        <f t="shared" si="20"/>
        <v>3.0864197530864197</v>
      </c>
      <c r="Q90" s="33">
        <f t="shared" si="21"/>
        <v>0.94075218028725294</v>
      </c>
      <c r="R90" s="33">
        <f t="shared" si="22"/>
        <v>1.1696452668064767</v>
      </c>
      <c r="S90" s="36">
        <f t="shared" si="23"/>
        <v>9.6099009460706806E-4</v>
      </c>
      <c r="T90" s="33">
        <f t="shared" si="24"/>
        <v>0.57177494817305929</v>
      </c>
      <c r="U90" s="33">
        <f>AVERAGE(T88:T90)</f>
        <v>0.71748239162610339</v>
      </c>
      <c r="V90" s="33"/>
      <c r="W90" s="37">
        <f t="shared" si="25"/>
        <v>1.9469602373367544E-2</v>
      </c>
      <c r="X90" s="33">
        <v>1.244</v>
      </c>
      <c r="Y90" s="33">
        <v>0.28799999999999998</v>
      </c>
      <c r="Z90" s="33">
        <f t="shared" si="17"/>
        <v>0.23151125401929259</v>
      </c>
      <c r="AA90" s="33">
        <f t="shared" si="26"/>
        <v>1.2126117350779824E-2</v>
      </c>
      <c r="AB90" s="33">
        <f t="shared" si="27"/>
        <v>8.516393368179503E-5</v>
      </c>
      <c r="AC90" s="10">
        <f t="shared" si="28"/>
        <v>1.4750244411920336E-3</v>
      </c>
      <c r="AD90" s="33">
        <f t="shared" si="29"/>
        <v>2.8491477343850088E-2</v>
      </c>
      <c r="AE90" s="11">
        <f t="shared" si="30"/>
        <v>4.9829880506108787E-2</v>
      </c>
      <c r="AH90" s="11">
        <f t="shared" si="31"/>
        <v>0.29594789956319728</v>
      </c>
    </row>
    <row r="91" spans="1:38" s="13" customFormat="1" x14ac:dyDescent="0.2">
      <c r="A91" s="18"/>
      <c r="B91" s="20">
        <v>29.44</v>
      </c>
      <c r="C91" s="21">
        <v>74.8</v>
      </c>
      <c r="D91" s="18">
        <v>82</v>
      </c>
      <c r="E91" s="18">
        <v>28</v>
      </c>
      <c r="F91" s="34">
        <v>5</v>
      </c>
      <c r="G91" s="20">
        <v>0.98299999999999998</v>
      </c>
      <c r="H91" s="18">
        <v>3.9E-2</v>
      </c>
      <c r="I91" s="18">
        <v>1833</v>
      </c>
      <c r="J91" s="18">
        <v>1603</v>
      </c>
      <c r="K91" s="18">
        <f t="shared" si="32"/>
        <v>1565.217391304348</v>
      </c>
      <c r="L91" s="18">
        <f t="shared" si="18"/>
        <v>0.23151125401929259</v>
      </c>
      <c r="M91" s="18">
        <v>1810</v>
      </c>
      <c r="N91" s="18">
        <v>1510</v>
      </c>
      <c r="O91" s="18">
        <f t="shared" si="19"/>
        <v>0.1</v>
      </c>
      <c r="P91" s="18">
        <f t="shared" si="20"/>
        <v>2.5</v>
      </c>
      <c r="Q91" s="18">
        <f t="shared" si="21"/>
        <v>0.76200926603267494</v>
      </c>
      <c r="R91" s="18">
        <f t="shared" si="22"/>
        <v>1.1696452668064767</v>
      </c>
      <c r="S91" s="31">
        <f t="shared" si="23"/>
        <v>1.1566712142356023E-3</v>
      </c>
      <c r="T91" s="18">
        <f t="shared" si="24"/>
        <v>0.97371234966587095</v>
      </c>
      <c r="U91" s="18"/>
      <c r="V91" s="18"/>
      <c r="W91" s="32">
        <f t="shared" si="25"/>
        <v>2.1753676950581755E-2</v>
      </c>
      <c r="X91" s="18">
        <v>1.244</v>
      </c>
      <c r="Y91" s="18">
        <v>0.28799999999999998</v>
      </c>
      <c r="Z91" s="18">
        <f t="shared" si="17"/>
        <v>0.23151125401929259</v>
      </c>
      <c r="AA91" s="18">
        <f t="shared" si="26"/>
        <v>1.2126117350779824E-2</v>
      </c>
      <c r="AB91" s="18">
        <f t="shared" si="27"/>
        <v>1.0227689037529814E-4</v>
      </c>
      <c r="AC91" s="10">
        <f t="shared" si="28"/>
        <v>9.6776353586609321E-4</v>
      </c>
      <c r="AD91" s="18">
        <f t="shared" si="29"/>
        <v>3.9347181256947819E-2</v>
      </c>
      <c r="AE91" s="11">
        <f t="shared" si="30"/>
        <v>4.0409450768956343E-2</v>
      </c>
      <c r="AH91" s="11">
        <f t="shared" si="31"/>
        <v>0.33066699965621699</v>
      </c>
    </row>
    <row r="92" spans="1:38" s="13" customFormat="1" x14ac:dyDescent="0.2">
      <c r="A92" s="18"/>
      <c r="B92" s="20">
        <v>29.44</v>
      </c>
      <c r="C92" s="21">
        <v>74.8</v>
      </c>
      <c r="D92" s="18">
        <v>83</v>
      </c>
      <c r="E92" s="18">
        <v>28</v>
      </c>
      <c r="F92" s="34">
        <v>5</v>
      </c>
      <c r="G92" s="20">
        <v>0.98299999999999998</v>
      </c>
      <c r="H92" s="18">
        <v>3.9E-2</v>
      </c>
      <c r="I92" s="18">
        <v>1231</v>
      </c>
      <c r="J92" s="18">
        <v>993</v>
      </c>
      <c r="K92" s="18">
        <f t="shared" si="32"/>
        <v>1512.6050420168067</v>
      </c>
      <c r="L92" s="18">
        <f t="shared" si="18"/>
        <v>0.23151125401929259</v>
      </c>
      <c r="M92" s="18">
        <v>1219</v>
      </c>
      <c r="N92" s="18">
        <v>988</v>
      </c>
      <c r="O92" s="18">
        <f t="shared" si="19"/>
        <v>7.6999999999999999E-2</v>
      </c>
      <c r="P92" s="18">
        <f t="shared" si="20"/>
        <v>3.2467532467532467</v>
      </c>
      <c r="Q92" s="18">
        <f t="shared" si="21"/>
        <v>0.98962242341905837</v>
      </c>
      <c r="R92" s="18">
        <f t="shared" si="22"/>
        <v>1.1696452668064767</v>
      </c>
      <c r="S92" s="31">
        <f t="shared" si="23"/>
        <v>1.1566712142356023E-3</v>
      </c>
      <c r="T92" s="18">
        <f t="shared" si="24"/>
        <v>0.5773140521168949</v>
      </c>
      <c r="U92" s="18"/>
      <c r="V92" s="18"/>
      <c r="W92" s="32">
        <f t="shared" si="25"/>
        <v>2.1753676950581755E-2</v>
      </c>
      <c r="X92" s="18">
        <v>1.244</v>
      </c>
      <c r="Y92" s="18">
        <v>0.28799999999999998</v>
      </c>
      <c r="Z92" s="18">
        <f t="shared" si="17"/>
        <v>0.23151125401929259</v>
      </c>
      <c r="AA92" s="18">
        <f t="shared" si="26"/>
        <v>1.2126117350779824E-2</v>
      </c>
      <c r="AB92" s="18">
        <f t="shared" si="27"/>
        <v>1.0227689037529814E-4</v>
      </c>
      <c r="AC92" s="10">
        <f t="shared" si="28"/>
        <v>1.6322542348896833E-3</v>
      </c>
      <c r="AD92" s="18">
        <f t="shared" si="29"/>
        <v>2.376695801459721E-2</v>
      </c>
      <c r="AE92" s="11">
        <f t="shared" si="30"/>
        <v>4.1168161293577629E-2</v>
      </c>
      <c r="AH92" s="11">
        <f t="shared" si="31"/>
        <v>0.33066699965621699</v>
      </c>
    </row>
    <row r="93" spans="1:38" s="13" customFormat="1" x14ac:dyDescent="0.2">
      <c r="A93" s="18"/>
      <c r="B93" s="20">
        <v>29.44</v>
      </c>
      <c r="C93" s="21">
        <v>74.8</v>
      </c>
      <c r="D93" s="18">
        <v>84</v>
      </c>
      <c r="E93" s="18">
        <v>28</v>
      </c>
      <c r="F93" s="34">
        <v>5</v>
      </c>
      <c r="G93" s="20">
        <v>0.98299999999999998</v>
      </c>
      <c r="H93" s="18">
        <v>3.9E-2</v>
      </c>
      <c r="I93" s="18">
        <v>1614</v>
      </c>
      <c r="J93" s="18">
        <v>1377</v>
      </c>
      <c r="K93" s="18">
        <f t="shared" si="32"/>
        <v>1518.9873417721519</v>
      </c>
      <c r="L93" s="18">
        <f t="shared" si="18"/>
        <v>0.23151125401929259</v>
      </c>
      <c r="M93" s="18">
        <v>1587</v>
      </c>
      <c r="N93" s="18">
        <v>1346</v>
      </c>
      <c r="O93" s="18">
        <f t="shared" si="19"/>
        <v>8.033333333333334E-2</v>
      </c>
      <c r="P93" s="18">
        <f t="shared" si="20"/>
        <v>3.1120331950207465</v>
      </c>
      <c r="Q93" s="18">
        <f t="shared" si="21"/>
        <v>0.94855925232283178</v>
      </c>
      <c r="R93" s="18">
        <f t="shared" si="22"/>
        <v>1.1696452668064767</v>
      </c>
      <c r="S93" s="31">
        <f t="shared" si="23"/>
        <v>1.1566712142356023E-3</v>
      </c>
      <c r="T93" s="18">
        <f t="shared" si="24"/>
        <v>0.62837985534381624</v>
      </c>
      <c r="U93" s="18">
        <f>AVERAGE(T91:T93)</f>
        <v>0.72646875237552744</v>
      </c>
      <c r="V93" s="18"/>
      <c r="W93" s="32">
        <f t="shared" si="25"/>
        <v>2.1753676950581755E-2</v>
      </c>
      <c r="X93" s="18">
        <v>1.244</v>
      </c>
      <c r="Y93" s="18">
        <v>0.28799999999999998</v>
      </c>
      <c r="Z93" s="18">
        <f t="shared" si="17"/>
        <v>0.23151125401929259</v>
      </c>
      <c r="AA93" s="18">
        <f t="shared" si="26"/>
        <v>1.2126117350779824E-2</v>
      </c>
      <c r="AB93" s="18">
        <f t="shared" si="27"/>
        <v>1.0227689037529814E-4</v>
      </c>
      <c r="AC93" s="10">
        <f t="shared" si="28"/>
        <v>1.4996077586120827E-3</v>
      </c>
      <c r="AD93" s="18">
        <f t="shared" si="29"/>
        <v>2.5783232340051188E-2</v>
      </c>
      <c r="AE93" s="11">
        <f t="shared" si="30"/>
        <v>4.1031284056590206E-2</v>
      </c>
      <c r="AH93" s="11">
        <f t="shared" si="31"/>
        <v>0.33066699965621699</v>
      </c>
    </row>
    <row r="94" spans="1:38" s="38" customFormat="1" x14ac:dyDescent="0.2">
      <c r="A94" s="33"/>
      <c r="B94" s="34">
        <v>29.44</v>
      </c>
      <c r="C94" s="35">
        <v>74.8</v>
      </c>
      <c r="D94" s="33">
        <v>85</v>
      </c>
      <c r="E94" s="33">
        <v>29</v>
      </c>
      <c r="F94" s="34">
        <v>5</v>
      </c>
      <c r="G94" s="34">
        <v>0.90200000000000002</v>
      </c>
      <c r="H94" s="33">
        <v>0.03</v>
      </c>
      <c r="I94" s="33">
        <v>1157</v>
      </c>
      <c r="J94" s="33">
        <v>977</v>
      </c>
      <c r="K94" s="33">
        <f t="shared" si="32"/>
        <v>2000</v>
      </c>
      <c r="L94" s="33">
        <f t="shared" si="18"/>
        <v>0.23151125401929259</v>
      </c>
      <c r="M94" s="33">
        <v>1141</v>
      </c>
      <c r="N94" s="33">
        <v>854</v>
      </c>
      <c r="O94" s="33">
        <f t="shared" si="19"/>
        <v>9.5666666666666664E-2</v>
      </c>
      <c r="P94" s="33">
        <f t="shared" si="20"/>
        <v>2.6132404181184672</v>
      </c>
      <c r="Q94" s="33">
        <f t="shared" si="21"/>
        <v>0.79652536519094952</v>
      </c>
      <c r="R94" s="33">
        <f t="shared" si="22"/>
        <v>1.1696452668064767</v>
      </c>
      <c r="S94" s="36">
        <f t="shared" si="23"/>
        <v>9.7390359052720551E-4</v>
      </c>
      <c r="T94" s="33">
        <f t="shared" si="24"/>
        <v>0.81414651938383753</v>
      </c>
      <c r="U94" s="33"/>
      <c r="V94" s="33"/>
      <c r="W94" s="37">
        <f t="shared" si="25"/>
        <v>1.9873908367915794E-2</v>
      </c>
      <c r="X94" s="33">
        <v>1.244</v>
      </c>
      <c r="Y94" s="33">
        <v>0.28799999999999998</v>
      </c>
      <c r="Z94" s="33">
        <f t="shared" si="17"/>
        <v>0.23151125401929259</v>
      </c>
      <c r="AA94" s="33">
        <f t="shared" si="26"/>
        <v>1.2126117350779824E-2</v>
      </c>
      <c r="AB94" s="33">
        <f t="shared" si="27"/>
        <v>8.62938805351283E-5</v>
      </c>
      <c r="AC94" s="10">
        <f t="shared" si="28"/>
        <v>1.0574210956542922E-3</v>
      </c>
      <c r="AD94" s="33">
        <f t="shared" si="29"/>
        <v>3.9242537255624238E-2</v>
      </c>
      <c r="AE94" s="11">
        <f t="shared" si="30"/>
        <v>4.8200829115284775E-2</v>
      </c>
      <c r="AH94" s="11">
        <f t="shared" si="31"/>
        <v>0.30209355716692105</v>
      </c>
    </row>
    <row r="95" spans="1:38" s="38" customFormat="1" x14ac:dyDescent="0.2">
      <c r="A95" s="33"/>
      <c r="B95" s="34">
        <v>29.44</v>
      </c>
      <c r="C95" s="35">
        <v>74.8</v>
      </c>
      <c r="D95" s="33">
        <v>86</v>
      </c>
      <c r="E95" s="33">
        <v>29</v>
      </c>
      <c r="F95" s="34">
        <v>5</v>
      </c>
      <c r="G95" s="34">
        <v>0.90200000000000002</v>
      </c>
      <c r="H95" s="33">
        <v>0.03</v>
      </c>
      <c r="I95" s="33">
        <v>1023</v>
      </c>
      <c r="J95" s="33">
        <v>800</v>
      </c>
      <c r="K95" s="33">
        <f t="shared" si="32"/>
        <v>1614.3497757847533</v>
      </c>
      <c r="L95" s="33">
        <f t="shared" si="18"/>
        <v>0.23151125401929259</v>
      </c>
      <c r="M95" s="33">
        <v>988</v>
      </c>
      <c r="N95" s="33">
        <v>728</v>
      </c>
      <c r="O95" s="33">
        <f t="shared" si="19"/>
        <v>8.666666666666667E-2</v>
      </c>
      <c r="P95" s="33">
        <f t="shared" si="20"/>
        <v>2.8846153846153846</v>
      </c>
      <c r="Q95" s="33">
        <f t="shared" si="21"/>
        <v>0.87924146080693255</v>
      </c>
      <c r="R95" s="33">
        <f t="shared" si="22"/>
        <v>1.1696452668064767</v>
      </c>
      <c r="S95" s="36">
        <f t="shared" si="23"/>
        <v>9.7390359052720551E-4</v>
      </c>
      <c r="T95" s="33">
        <f t="shared" si="24"/>
        <v>0.66816769306835633</v>
      </c>
      <c r="U95" s="33"/>
      <c r="V95" s="33"/>
      <c r="W95" s="37">
        <f t="shared" si="25"/>
        <v>1.9873908367915794E-2</v>
      </c>
      <c r="X95" s="33">
        <v>1.244</v>
      </c>
      <c r="Y95" s="33">
        <v>0.28799999999999998</v>
      </c>
      <c r="Z95" s="33">
        <f t="shared" si="17"/>
        <v>0.23151125401929259</v>
      </c>
      <c r="AA95" s="33">
        <f t="shared" si="26"/>
        <v>1.2126117350779824E-2</v>
      </c>
      <c r="AB95" s="33">
        <f t="shared" si="27"/>
        <v>8.62938805351283E-5</v>
      </c>
      <c r="AC95" s="10">
        <f t="shared" si="28"/>
        <v>1.2884425773365146E-3</v>
      </c>
      <c r="AD95" s="33">
        <f t="shared" si="29"/>
        <v>3.239046420323307E-2</v>
      </c>
      <c r="AE95" s="11">
        <f t="shared" si="30"/>
        <v>4.8476549434004722E-2</v>
      </c>
      <c r="AH95" s="11">
        <f t="shared" si="31"/>
        <v>0.30209355716692105</v>
      </c>
    </row>
    <row r="96" spans="1:38" s="38" customFormat="1" x14ac:dyDescent="0.2">
      <c r="A96" s="33"/>
      <c r="B96" s="34">
        <v>29.44</v>
      </c>
      <c r="C96" s="35">
        <v>74.8</v>
      </c>
      <c r="D96" s="33">
        <v>87</v>
      </c>
      <c r="E96" s="33">
        <v>29</v>
      </c>
      <c r="F96" s="34">
        <v>5</v>
      </c>
      <c r="G96" s="34">
        <v>0.90200000000000002</v>
      </c>
      <c r="H96" s="33">
        <v>0.03</v>
      </c>
      <c r="I96" s="33">
        <v>1495</v>
      </c>
      <c r="J96" s="33">
        <v>1276</v>
      </c>
      <c r="K96" s="33">
        <f t="shared" si="32"/>
        <v>1643.8356164383563</v>
      </c>
      <c r="L96" s="33">
        <f t="shared" si="18"/>
        <v>0.23151125401929259</v>
      </c>
      <c r="M96" s="33">
        <v>1565</v>
      </c>
      <c r="N96" s="33">
        <v>1248</v>
      </c>
      <c r="O96" s="33">
        <f t="shared" si="19"/>
        <v>0.10566666666666667</v>
      </c>
      <c r="P96" s="33">
        <f t="shared" si="20"/>
        <v>2.3659305993690851</v>
      </c>
      <c r="Q96" s="33">
        <f t="shared" si="21"/>
        <v>0.72114441580379329</v>
      </c>
      <c r="R96" s="33">
        <f t="shared" si="22"/>
        <v>1.1696452668064767</v>
      </c>
      <c r="S96" s="36">
        <f t="shared" si="23"/>
        <v>9.7390359052720551E-4</v>
      </c>
      <c r="T96" s="33">
        <f t="shared" si="24"/>
        <v>0.99324709036606584</v>
      </c>
      <c r="U96" s="33">
        <f>AVERAGE(T94:T96)</f>
        <v>0.82518710093941994</v>
      </c>
      <c r="V96" s="33"/>
      <c r="W96" s="37">
        <f t="shared" si="25"/>
        <v>1.9873908367915794E-2</v>
      </c>
      <c r="X96" s="33">
        <v>1.244</v>
      </c>
      <c r="Y96" s="33">
        <v>0.28799999999999998</v>
      </c>
      <c r="Z96" s="33">
        <f t="shared" si="17"/>
        <v>0.23151125401929259</v>
      </c>
      <c r="AA96" s="33">
        <f t="shared" si="26"/>
        <v>1.2126117350779824E-2</v>
      </c>
      <c r="AB96" s="33">
        <f t="shared" si="27"/>
        <v>8.62938805351283E-5</v>
      </c>
      <c r="AC96" s="10">
        <f t="shared" si="28"/>
        <v>8.6674878074165717E-4</v>
      </c>
      <c r="AD96" s="33">
        <f t="shared" si="29"/>
        <v>4.7625760243162472E-2</v>
      </c>
      <c r="AE96" s="11">
        <f t="shared" si="30"/>
        <v>4.7949559283994254E-2</v>
      </c>
      <c r="AH96" s="11">
        <f t="shared" si="31"/>
        <v>0.30209355716692105</v>
      </c>
    </row>
    <row r="97" spans="1:35" s="13" customFormat="1" x14ac:dyDescent="0.2">
      <c r="A97" s="18"/>
      <c r="B97" s="20">
        <v>29.41</v>
      </c>
      <c r="C97" s="21">
        <v>74.8</v>
      </c>
      <c r="D97" s="18">
        <v>88</v>
      </c>
      <c r="E97" s="18">
        <v>30</v>
      </c>
      <c r="F97" s="34">
        <v>5</v>
      </c>
      <c r="G97" s="20">
        <v>0.94799999999999995</v>
      </c>
      <c r="H97" s="18">
        <v>2.9000000000000001E-2</v>
      </c>
      <c r="I97" s="18">
        <v>1490</v>
      </c>
      <c r="J97" s="18">
        <v>1242</v>
      </c>
      <c r="K97" s="18">
        <f t="shared" si="32"/>
        <v>1451.6129032258063</v>
      </c>
      <c r="L97" s="18">
        <f t="shared" si="18"/>
        <v>0.23151125401929259</v>
      </c>
      <c r="M97" s="18">
        <v>1433</v>
      </c>
      <c r="N97" s="18">
        <v>1163</v>
      </c>
      <c r="O97" s="18">
        <f t="shared" si="19"/>
        <v>0.09</v>
      </c>
      <c r="P97" s="18">
        <f t="shared" si="20"/>
        <v>2.7777777777777777</v>
      </c>
      <c r="Q97" s="18">
        <f t="shared" si="21"/>
        <v>0.84667696225852762</v>
      </c>
      <c r="R97" s="18">
        <f t="shared" si="22"/>
        <v>1.1684533728525299</v>
      </c>
      <c r="S97" s="31">
        <f t="shared" si="23"/>
        <v>1.0757703408797912E-3</v>
      </c>
      <c r="T97" s="18">
        <f t="shared" si="24"/>
        <v>0.63122214997162096</v>
      </c>
      <c r="U97" s="18"/>
      <c r="V97" s="18"/>
      <c r="W97" s="32">
        <f t="shared" si="25"/>
        <v>1.739227632121081E-2</v>
      </c>
      <c r="X97" s="18">
        <v>1.244</v>
      </c>
      <c r="Y97" s="18">
        <v>0.28799999999999998</v>
      </c>
      <c r="Z97" s="18">
        <f t="shared" si="17"/>
        <v>0.23151125401929259</v>
      </c>
      <c r="AA97" s="18">
        <f t="shared" si="26"/>
        <v>1.2125715942072677E-2</v>
      </c>
      <c r="AB97" s="18">
        <f t="shared" si="27"/>
        <v>9.5204162129407398E-5</v>
      </c>
      <c r="AC97" s="10">
        <f t="shared" si="28"/>
        <v>1.1947697973655471E-3</v>
      </c>
      <c r="AD97" s="18">
        <f t="shared" si="29"/>
        <v>3.1261867337804249E-2</v>
      </c>
      <c r="AE97" s="11">
        <f t="shared" si="30"/>
        <v>4.9525935265753503E-2</v>
      </c>
      <c r="AH97" s="11">
        <f t="shared" si="31"/>
        <v>0.26437148264136778</v>
      </c>
    </row>
    <row r="98" spans="1:35" s="13" customFormat="1" x14ac:dyDescent="0.2">
      <c r="A98" s="18"/>
      <c r="B98" s="20">
        <v>29.41</v>
      </c>
      <c r="C98" s="21">
        <v>74.8</v>
      </c>
      <c r="D98" s="18">
        <v>89</v>
      </c>
      <c r="E98" s="18">
        <v>30</v>
      </c>
      <c r="F98" s="34">
        <v>5</v>
      </c>
      <c r="G98" s="20">
        <v>0.94799999999999995</v>
      </c>
      <c r="H98" s="18">
        <v>2.9000000000000001E-2</v>
      </c>
      <c r="I98" s="18">
        <v>1724</v>
      </c>
      <c r="J98" s="18">
        <v>1493</v>
      </c>
      <c r="K98" s="18">
        <f t="shared" si="32"/>
        <v>1558.4415584415585</v>
      </c>
      <c r="L98" s="18">
        <f t="shared" si="18"/>
        <v>0.23151125401929259</v>
      </c>
      <c r="M98" s="18">
        <v>1696</v>
      </c>
      <c r="N98" s="18">
        <v>1453</v>
      </c>
      <c r="O98" s="18">
        <f t="shared" si="19"/>
        <v>8.1000000000000003E-2</v>
      </c>
      <c r="P98" s="18">
        <f t="shared" si="20"/>
        <v>3.0864197530864197</v>
      </c>
      <c r="Q98" s="18">
        <f t="shared" si="21"/>
        <v>0.94075218028725294</v>
      </c>
      <c r="R98" s="18">
        <f t="shared" si="22"/>
        <v>1.1684533728525299</v>
      </c>
      <c r="S98" s="31">
        <f t="shared" si="23"/>
        <v>1.0757703408797912E-3</v>
      </c>
      <c r="T98" s="18">
        <f t="shared" si="24"/>
        <v>0.51128994147701301</v>
      </c>
      <c r="U98" s="18"/>
      <c r="V98" s="18"/>
      <c r="W98" s="32">
        <f t="shared" si="25"/>
        <v>1.739227632121081E-2</v>
      </c>
      <c r="X98" s="18">
        <v>1.244</v>
      </c>
      <c r="Y98" s="18">
        <v>0.28799999999999998</v>
      </c>
      <c r="Z98" s="18">
        <f t="shared" si="17"/>
        <v>0.23151125401929259</v>
      </c>
      <c r="AA98" s="18">
        <f t="shared" si="26"/>
        <v>1.2125715942072677E-2</v>
      </c>
      <c r="AB98" s="18">
        <f t="shared" si="27"/>
        <v>9.5204162129407398E-5</v>
      </c>
      <c r="AC98" s="10">
        <f t="shared" si="28"/>
        <v>1.4750244411920336E-3</v>
      </c>
      <c r="AD98" s="18">
        <f t="shared" si="29"/>
        <v>2.5482444919355921E-2</v>
      </c>
      <c r="AE98" s="11">
        <f t="shared" si="30"/>
        <v>4.9839519325849249E-2</v>
      </c>
      <c r="AH98" s="11">
        <f t="shared" si="31"/>
        <v>0.26437148264136778</v>
      </c>
    </row>
    <row r="99" spans="1:35" s="13" customFormat="1" x14ac:dyDescent="0.2">
      <c r="A99" s="18"/>
      <c r="B99" s="20">
        <v>29.41</v>
      </c>
      <c r="C99" s="21">
        <v>74.8</v>
      </c>
      <c r="D99" s="18">
        <v>90</v>
      </c>
      <c r="E99" s="18">
        <v>30</v>
      </c>
      <c r="F99" s="34">
        <v>5</v>
      </c>
      <c r="G99" s="20">
        <v>0.94799999999999995</v>
      </c>
      <c r="H99" s="18">
        <v>2.9000000000000001E-2</v>
      </c>
      <c r="I99" s="18">
        <v>1628</v>
      </c>
      <c r="J99" s="18">
        <v>1402</v>
      </c>
      <c r="K99" s="18">
        <f t="shared" si="32"/>
        <v>1592.9203539823009</v>
      </c>
      <c r="L99" s="18">
        <f t="shared" si="18"/>
        <v>0.23151125401929259</v>
      </c>
      <c r="M99" s="18">
        <v>1597</v>
      </c>
      <c r="N99" s="18">
        <v>1316</v>
      </c>
      <c r="O99" s="18">
        <f t="shared" si="19"/>
        <v>9.3666666666666662E-2</v>
      </c>
      <c r="P99" s="18">
        <f t="shared" si="20"/>
        <v>2.6690391459074734</v>
      </c>
      <c r="Q99" s="18">
        <f t="shared" si="21"/>
        <v>0.81353302423417251</v>
      </c>
      <c r="R99" s="18">
        <f t="shared" si="22"/>
        <v>1.1684533728525299</v>
      </c>
      <c r="S99" s="31">
        <f t="shared" si="23"/>
        <v>1.0757703408797912E-3</v>
      </c>
      <c r="T99" s="18">
        <f t="shared" si="24"/>
        <v>0.68370277344182651</v>
      </c>
      <c r="U99" s="18">
        <f>AVERAGE(T97:T99)</f>
        <v>0.60873828829682008</v>
      </c>
      <c r="V99" s="20">
        <f>AVERAGE(T82:T99)</f>
        <v>0.65319417083366893</v>
      </c>
      <c r="W99" s="32">
        <f>H99/(PI()*((1-Z99)*G99)^2)</f>
        <v>1.739227632121081E-2</v>
      </c>
      <c r="X99" s="18">
        <v>1.244</v>
      </c>
      <c r="Y99" s="18">
        <v>0.28799999999999998</v>
      </c>
      <c r="Z99" s="18">
        <f t="shared" si="17"/>
        <v>0.23151125401929259</v>
      </c>
      <c r="AA99" s="18">
        <f t="shared" si="26"/>
        <v>1.2125715942072677E-2</v>
      </c>
      <c r="AB99" s="18">
        <f t="shared" si="27"/>
        <v>9.5204162129407398E-5</v>
      </c>
      <c r="AC99" s="10">
        <f t="shared" si="28"/>
        <v>1.1030599691993315E-3</v>
      </c>
      <c r="AD99" s="18">
        <f t="shared" si="29"/>
        <v>3.3785483957329249E-2</v>
      </c>
      <c r="AE99" s="11">
        <f t="shared" si="30"/>
        <v>4.9415455472338984E-2</v>
      </c>
      <c r="AF99" s="13">
        <f>AVERAGE(AE82:AE99)</f>
        <v>4.7583031064177994E-2</v>
      </c>
      <c r="AG99" s="13">
        <f>STDEV(Q82:Q99)</f>
        <v>9.3137238159342911E-2</v>
      </c>
      <c r="AH99" s="11">
        <f t="shared" si="31"/>
        <v>0.26437148264136778</v>
      </c>
      <c r="AI99" s="13">
        <f>STDEV(AH82:AH99)</f>
        <v>2.9028119782237339E-2</v>
      </c>
    </row>
    <row r="102" spans="1:35" x14ac:dyDescent="0.2">
      <c r="I102" t="s">
        <v>90</v>
      </c>
    </row>
    <row r="103" spans="1:35" x14ac:dyDescent="0.2">
      <c r="I103" t="s">
        <v>91</v>
      </c>
      <c r="J103" t="s">
        <v>92</v>
      </c>
      <c r="M103" t="s">
        <v>93</v>
      </c>
      <c r="N103" t="s">
        <v>94</v>
      </c>
    </row>
    <row r="104" spans="1:35" x14ac:dyDescent="0.2">
      <c r="A104" s="8">
        <v>43600</v>
      </c>
      <c r="B104" s="9">
        <v>29.44</v>
      </c>
      <c r="C104" s="10">
        <v>73.599999999999994</v>
      </c>
      <c r="D104" s="10">
        <v>1</v>
      </c>
      <c r="E104" s="10">
        <v>1</v>
      </c>
      <c r="F104" s="10">
        <v>1</v>
      </c>
      <c r="G104" s="10">
        <v>1.532</v>
      </c>
      <c r="H104" s="10">
        <v>0.04</v>
      </c>
      <c r="I104" s="43">
        <v>1722</v>
      </c>
      <c r="J104" s="44">
        <v>1546</v>
      </c>
      <c r="K104" s="18">
        <f t="shared" ref="K104:K121" si="33">60/(1*((I104-J104)/$J$3))</f>
        <v>1022.7272727272727</v>
      </c>
      <c r="M104">
        <v>1684</v>
      </c>
      <c r="N104">
        <v>1586</v>
      </c>
      <c r="O104" s="18">
        <f t="shared" ref="O104:O121" si="34">(M104-N104)/$J$3</f>
        <v>3.2666666666666663E-2</v>
      </c>
      <c r="P104" s="18">
        <f t="shared" ref="P104:P121" si="35">(1/12)/O104</f>
        <v>2.5510204081632653</v>
      </c>
      <c r="Q104" s="18">
        <f t="shared" ref="Q104:Q121" si="36">P104/3.2808</f>
        <v>0.77756047554354579</v>
      </c>
      <c r="R104" s="10">
        <f>(B104*$O$2)/($O$3*((C104-32)*(5/9)+273.15))</f>
        <v>1.1722772812085016</v>
      </c>
      <c r="S104" s="17">
        <f>PI()*((1-L104)*((G104/12)/3.2808))^2</f>
        <v>4.7571341504844258E-3</v>
      </c>
      <c r="T104" s="10">
        <f t="shared" ref="T104:T121" si="37">(2*H104*0.001*$O$5)/(Q104^2*R104*S104)</f>
        <v>0.2326840220211667</v>
      </c>
    </row>
    <row r="105" spans="1:35" x14ac:dyDescent="0.2">
      <c r="A105" s="10"/>
      <c r="B105" s="9">
        <v>29.44</v>
      </c>
      <c r="C105" s="10">
        <v>73.599999999999994</v>
      </c>
      <c r="D105" s="10">
        <v>2</v>
      </c>
      <c r="E105" s="10">
        <v>1</v>
      </c>
      <c r="F105" s="10">
        <v>1</v>
      </c>
      <c r="G105" s="10">
        <v>1.532</v>
      </c>
      <c r="H105" s="10">
        <v>0.04</v>
      </c>
      <c r="I105" s="43">
        <v>1614</v>
      </c>
      <c r="J105" s="44">
        <v>1448</v>
      </c>
      <c r="K105" s="18">
        <f t="shared" si="33"/>
        <v>1084.3373493975903</v>
      </c>
      <c r="M105">
        <v>1590</v>
      </c>
      <c r="N105">
        <v>1477</v>
      </c>
      <c r="O105" s="18">
        <f t="shared" si="34"/>
        <v>3.7666666666666668E-2</v>
      </c>
      <c r="P105" s="18">
        <f t="shared" si="35"/>
        <v>2.2123893805309733</v>
      </c>
      <c r="Q105" s="18">
        <f t="shared" si="36"/>
        <v>0.67434448321475648</v>
      </c>
      <c r="R105" s="10">
        <f t="shared" ref="R105:R121" si="38">(B105*$O$2)/($O$3*((C105-32)*(5/9)+273.15))</f>
        <v>1.1722772812085016</v>
      </c>
      <c r="S105" s="17">
        <f t="shared" ref="S105:S109" si="39">PI()*((1-L105)*((G105/12)/3.2808))^2</f>
        <v>4.7571341504844258E-3</v>
      </c>
      <c r="T105" s="10">
        <f t="shared" si="37"/>
        <v>0.3093650850883255</v>
      </c>
    </row>
    <row r="106" spans="1:35" x14ac:dyDescent="0.2">
      <c r="A106" s="10"/>
      <c r="B106" s="9">
        <v>29.44</v>
      </c>
      <c r="C106" s="10">
        <v>73.599999999999994</v>
      </c>
      <c r="D106" s="10">
        <v>3</v>
      </c>
      <c r="E106" s="10">
        <v>1</v>
      </c>
      <c r="F106" s="10">
        <v>1</v>
      </c>
      <c r="G106" s="10">
        <v>1.532</v>
      </c>
      <c r="H106" s="10">
        <v>0.04</v>
      </c>
      <c r="I106" s="43">
        <v>2149</v>
      </c>
      <c r="J106" s="44">
        <v>1958</v>
      </c>
      <c r="K106" s="18">
        <f t="shared" si="33"/>
        <v>942.40837696335086</v>
      </c>
      <c r="M106">
        <v>2056</v>
      </c>
      <c r="N106">
        <v>1940</v>
      </c>
      <c r="O106" s="18">
        <f t="shared" si="34"/>
        <v>3.8666666666666669E-2</v>
      </c>
      <c r="P106" s="18">
        <f t="shared" si="35"/>
        <v>2.1551724137931032</v>
      </c>
      <c r="Q106" s="18">
        <f t="shared" si="36"/>
        <v>0.65690453968334039</v>
      </c>
      <c r="R106" s="10">
        <f t="shared" si="38"/>
        <v>1.1722772812085016</v>
      </c>
      <c r="S106" s="17">
        <f t="shared" si="39"/>
        <v>4.7571341504844258E-3</v>
      </c>
      <c r="T106" s="10">
        <f>(2*H106*0.001*$O$5)/(Q106^2*R106*S106)</f>
        <v>0.32600960019958553</v>
      </c>
    </row>
    <row r="107" spans="1:35" x14ac:dyDescent="0.2">
      <c r="A107" s="18"/>
      <c r="B107" s="20">
        <v>29.44</v>
      </c>
      <c r="C107" s="18">
        <v>73.8</v>
      </c>
      <c r="D107" s="18">
        <v>4</v>
      </c>
      <c r="E107" s="18">
        <v>2</v>
      </c>
      <c r="F107" s="10">
        <v>1</v>
      </c>
      <c r="G107" s="18">
        <v>1.3620000000000001</v>
      </c>
      <c r="H107" s="18">
        <v>3.1E-2</v>
      </c>
      <c r="I107" s="44">
        <v>1597</v>
      </c>
      <c r="J107" s="44">
        <v>1411</v>
      </c>
      <c r="K107" s="18">
        <f t="shared" si="33"/>
        <v>967.74193548387098</v>
      </c>
      <c r="M107">
        <v>1592</v>
      </c>
      <c r="N107">
        <v>1474</v>
      </c>
      <c r="O107" s="18">
        <f t="shared" si="34"/>
        <v>3.9333333333333331E-2</v>
      </c>
      <c r="P107" s="18">
        <f t="shared" si="35"/>
        <v>2.1186440677966103</v>
      </c>
      <c r="Q107" s="18">
        <f t="shared" si="36"/>
        <v>0.64577056443447034</v>
      </c>
      <c r="R107" s="18">
        <f t="shared" si="38"/>
        <v>1.1718377898477095</v>
      </c>
      <c r="S107" s="31">
        <f t="shared" si="39"/>
        <v>3.7599501168506279E-3</v>
      </c>
      <c r="T107" s="10">
        <f t="shared" si="37"/>
        <v>0.33090725769850843</v>
      </c>
    </row>
    <row r="108" spans="1:35" x14ac:dyDescent="0.2">
      <c r="A108" s="18"/>
      <c r="B108" s="20">
        <v>29.44</v>
      </c>
      <c r="C108" s="18">
        <v>73.8</v>
      </c>
      <c r="D108" s="18">
        <v>5</v>
      </c>
      <c r="E108" s="18">
        <v>2</v>
      </c>
      <c r="F108" s="10">
        <v>1</v>
      </c>
      <c r="G108" s="18">
        <v>1.3620000000000001</v>
      </c>
      <c r="H108" s="18">
        <v>3.1E-2</v>
      </c>
      <c r="I108" s="44">
        <v>1745</v>
      </c>
      <c r="J108" s="44">
        <v>1555</v>
      </c>
      <c r="K108" s="18">
        <f t="shared" si="33"/>
        <v>947.36842105263145</v>
      </c>
      <c r="M108">
        <v>1704</v>
      </c>
      <c r="N108">
        <v>1583</v>
      </c>
      <c r="O108" s="18">
        <f t="shared" si="34"/>
        <v>4.0333333333333332E-2</v>
      </c>
      <c r="P108" s="18">
        <f t="shared" si="35"/>
        <v>2.0661157024793386</v>
      </c>
      <c r="Q108" s="18">
        <f t="shared" si="36"/>
        <v>0.6297597239939462</v>
      </c>
      <c r="R108" s="18">
        <f t="shared" si="38"/>
        <v>1.1718377898477095</v>
      </c>
      <c r="S108" s="31">
        <f t="shared" si="39"/>
        <v>3.7599501168506279E-3</v>
      </c>
      <c r="T108" s="10">
        <f t="shared" si="37"/>
        <v>0.3479469376589962</v>
      </c>
    </row>
    <row r="109" spans="1:35" x14ac:dyDescent="0.2">
      <c r="A109" s="18"/>
      <c r="B109" s="20">
        <v>29.44</v>
      </c>
      <c r="C109" s="18">
        <v>73.8</v>
      </c>
      <c r="D109" s="18">
        <v>6</v>
      </c>
      <c r="E109" s="18">
        <v>2</v>
      </c>
      <c r="F109" s="10">
        <v>1</v>
      </c>
      <c r="G109" s="18">
        <v>1.3620000000000001</v>
      </c>
      <c r="H109" s="18">
        <v>3.1E-2</v>
      </c>
      <c r="I109" s="44">
        <v>1371</v>
      </c>
      <c r="J109" s="44">
        <v>1182</v>
      </c>
      <c r="K109" s="18">
        <f t="shared" si="33"/>
        <v>952.38095238095241</v>
      </c>
      <c r="M109">
        <v>1279</v>
      </c>
      <c r="N109">
        <v>1171</v>
      </c>
      <c r="O109" s="18">
        <f t="shared" si="34"/>
        <v>3.5999999999999997E-2</v>
      </c>
      <c r="P109" s="18">
        <f t="shared" si="35"/>
        <v>2.3148148148148149</v>
      </c>
      <c r="Q109" s="18">
        <f t="shared" si="36"/>
        <v>0.70556413521543981</v>
      </c>
      <c r="R109" s="18">
        <f t="shared" si="38"/>
        <v>1.1718377898477095</v>
      </c>
      <c r="S109" s="31">
        <f t="shared" si="39"/>
        <v>3.7599501168506279E-3</v>
      </c>
      <c r="T109" s="10">
        <f t="shared" si="37"/>
        <v>0.27719780621914697</v>
      </c>
    </row>
    <row r="110" spans="1:35" x14ac:dyDescent="0.2">
      <c r="A110" s="10"/>
      <c r="B110" s="9">
        <v>29.44</v>
      </c>
      <c r="C110" s="10">
        <v>73.8</v>
      </c>
      <c r="D110" s="10">
        <v>7</v>
      </c>
      <c r="E110" s="10">
        <v>3</v>
      </c>
      <c r="F110" s="10">
        <v>1</v>
      </c>
      <c r="G110" s="10">
        <v>1.6</v>
      </c>
      <c r="H110" s="10">
        <v>4.1000000000000002E-2</v>
      </c>
      <c r="I110" s="44">
        <v>1651</v>
      </c>
      <c r="J110" s="44">
        <v>1463</v>
      </c>
      <c r="K110" s="18">
        <f t="shared" si="33"/>
        <v>957.44680851063833</v>
      </c>
      <c r="M110">
        <v>1605</v>
      </c>
      <c r="N110">
        <v>1486</v>
      </c>
      <c r="O110" s="18">
        <f t="shared" si="34"/>
        <v>3.966666666666667E-2</v>
      </c>
      <c r="P110" s="18">
        <f t="shared" si="35"/>
        <v>2.1008403361344534</v>
      </c>
      <c r="Q110" s="18">
        <f t="shared" si="36"/>
        <v>0.64034392103586113</v>
      </c>
      <c r="R110" s="10">
        <f t="shared" si="38"/>
        <v>1.1718377898477095</v>
      </c>
      <c r="S110" s="17">
        <f>PI()*((1-L110)*((G110/12)/3.2808))^2</f>
        <v>5.1888107770692278E-3</v>
      </c>
      <c r="T110" s="10">
        <f t="shared" si="37"/>
        <v>0.32253185429603054</v>
      </c>
    </row>
    <row r="111" spans="1:35" x14ac:dyDescent="0.2">
      <c r="A111" s="10"/>
      <c r="B111" s="9">
        <v>29.44</v>
      </c>
      <c r="C111" s="10">
        <v>73.8</v>
      </c>
      <c r="D111" s="10">
        <v>8</v>
      </c>
      <c r="E111" s="10">
        <v>3</v>
      </c>
      <c r="F111" s="10">
        <v>1</v>
      </c>
      <c r="G111" s="10">
        <v>1.6</v>
      </c>
      <c r="H111" s="10">
        <v>4.1000000000000002E-2</v>
      </c>
      <c r="I111" s="44">
        <v>1761</v>
      </c>
      <c r="J111" s="44">
        <v>1562</v>
      </c>
      <c r="K111" s="18">
        <f t="shared" si="33"/>
        <v>904.52261306532671</v>
      </c>
      <c r="M111">
        <v>1592</v>
      </c>
      <c r="N111">
        <v>1484</v>
      </c>
      <c r="O111" s="18">
        <f t="shared" si="34"/>
        <v>3.5999999999999997E-2</v>
      </c>
      <c r="P111" s="18">
        <f t="shared" si="35"/>
        <v>2.3148148148148149</v>
      </c>
      <c r="Q111" s="18">
        <f t="shared" si="36"/>
        <v>0.70556413521543981</v>
      </c>
      <c r="R111" s="10">
        <f t="shared" si="38"/>
        <v>1.1718377898477095</v>
      </c>
      <c r="S111" s="17">
        <f t="shared" ref="S111:S121" si="40">PI()*((1-L111)*((G111/12)/3.2808))^2</f>
        <v>5.1888107770692278E-3</v>
      </c>
      <c r="T111" s="10">
        <f t="shared" si="37"/>
        <v>0.26566002037348335</v>
      </c>
    </row>
    <row r="112" spans="1:35" x14ac:dyDescent="0.2">
      <c r="A112" s="10"/>
      <c r="B112" s="9">
        <v>29.44</v>
      </c>
      <c r="C112" s="10">
        <v>73.8</v>
      </c>
      <c r="D112" s="10">
        <v>9</v>
      </c>
      <c r="E112" s="10">
        <v>3</v>
      </c>
      <c r="F112" s="10">
        <v>1</v>
      </c>
      <c r="G112" s="10">
        <v>1.6</v>
      </c>
      <c r="H112" s="10">
        <v>4.1000000000000002E-2</v>
      </c>
      <c r="I112" s="44">
        <v>1423</v>
      </c>
      <c r="J112" s="44">
        <v>1251</v>
      </c>
      <c r="K112" s="18">
        <f t="shared" si="33"/>
        <v>1046.5116279069769</v>
      </c>
      <c r="M112">
        <v>1416</v>
      </c>
      <c r="N112">
        <v>1283</v>
      </c>
      <c r="O112" s="18">
        <f t="shared" si="34"/>
        <v>4.4333333333333336E-2</v>
      </c>
      <c r="P112" s="18">
        <f t="shared" si="35"/>
        <v>1.8796992481203005</v>
      </c>
      <c r="Q112" s="18">
        <f t="shared" si="36"/>
        <v>0.57293929776892849</v>
      </c>
      <c r="R112" s="10">
        <f t="shared" si="38"/>
        <v>1.1718377898477095</v>
      </c>
      <c r="S112" s="17">
        <f t="shared" si="40"/>
        <v>5.1888107770692278E-3</v>
      </c>
      <c r="T112" s="10">
        <f t="shared" si="37"/>
        <v>0.40288581107566424</v>
      </c>
    </row>
    <row r="113" spans="1:33" x14ac:dyDescent="0.2">
      <c r="A113" s="18"/>
      <c r="B113" s="20">
        <v>29.44</v>
      </c>
      <c r="C113" s="18">
        <v>73.900000000000006</v>
      </c>
      <c r="D113" s="18">
        <v>10</v>
      </c>
      <c r="E113" s="18">
        <v>4</v>
      </c>
      <c r="F113" s="10">
        <v>1</v>
      </c>
      <c r="G113" s="18">
        <v>1.446</v>
      </c>
      <c r="H113" s="18">
        <v>1.4E-2</v>
      </c>
      <c r="I113" s="44">
        <v>1505</v>
      </c>
      <c r="J113" s="44">
        <v>1271</v>
      </c>
      <c r="K113" s="18">
        <f t="shared" si="33"/>
        <v>769.23076923076928</v>
      </c>
      <c r="M113" s="24">
        <v>1288</v>
      </c>
      <c r="N113">
        <v>1169</v>
      </c>
      <c r="O113" s="18">
        <f t="shared" si="34"/>
        <v>3.966666666666667E-2</v>
      </c>
      <c r="P113" s="18">
        <f t="shared" si="35"/>
        <v>2.1008403361344534</v>
      </c>
      <c r="Q113" s="18">
        <f t="shared" si="36"/>
        <v>0.64034392103586113</v>
      </c>
      <c r="R113" s="18">
        <f t="shared" si="38"/>
        <v>1.1716181677194326</v>
      </c>
      <c r="S113" s="31">
        <f t="shared" si="40"/>
        <v>4.2380341698228449E-3</v>
      </c>
      <c r="T113" s="10">
        <f t="shared" si="37"/>
        <v>0.1348657194516665</v>
      </c>
    </row>
    <row r="114" spans="1:33" x14ac:dyDescent="0.2">
      <c r="A114" s="18"/>
      <c r="B114" s="20">
        <v>29.44</v>
      </c>
      <c r="C114" s="18">
        <v>73.900000000000006</v>
      </c>
      <c r="D114" s="18">
        <v>11</v>
      </c>
      <c r="E114" s="18">
        <v>4</v>
      </c>
      <c r="F114" s="10">
        <v>1</v>
      </c>
      <c r="G114" s="18">
        <v>1.446</v>
      </c>
      <c r="H114" s="18">
        <v>1.4E-2</v>
      </c>
      <c r="I114" s="44">
        <v>1403</v>
      </c>
      <c r="J114" s="44">
        <v>1151</v>
      </c>
      <c r="K114" s="18">
        <f t="shared" si="33"/>
        <v>714.28571428571422</v>
      </c>
      <c r="M114" s="24">
        <v>1297</v>
      </c>
      <c r="N114">
        <v>1151</v>
      </c>
      <c r="O114" s="18">
        <f t="shared" si="34"/>
        <v>4.8666666666666664E-2</v>
      </c>
      <c r="P114" s="18">
        <f t="shared" si="35"/>
        <v>1.7123287671232876</v>
      </c>
      <c r="Q114" s="18">
        <f t="shared" si="36"/>
        <v>0.52192415481690058</v>
      </c>
      <c r="R114" s="18">
        <f t="shared" si="38"/>
        <v>1.1716181677194326</v>
      </c>
      <c r="S114" s="31">
        <f t="shared" si="40"/>
        <v>4.2380341698228449E-3</v>
      </c>
      <c r="T114" s="10">
        <f t="shared" si="37"/>
        <v>0.20300809800379377</v>
      </c>
    </row>
    <row r="115" spans="1:33" x14ac:dyDescent="0.2">
      <c r="A115" s="18"/>
      <c r="B115" s="20">
        <v>29.44</v>
      </c>
      <c r="C115" s="18">
        <v>73.900000000000006</v>
      </c>
      <c r="D115" s="18">
        <v>12</v>
      </c>
      <c r="E115" s="18">
        <v>4</v>
      </c>
      <c r="F115" s="10">
        <v>1</v>
      </c>
      <c r="G115" s="18">
        <v>1.446</v>
      </c>
      <c r="H115" s="18">
        <v>1.4E-2</v>
      </c>
      <c r="I115" s="44"/>
      <c r="K115" s="18" t="e">
        <f t="shared" si="33"/>
        <v>#DIV/0!</v>
      </c>
      <c r="M115" t="s">
        <v>95</v>
      </c>
      <c r="O115" s="18" t="e">
        <f t="shared" si="34"/>
        <v>#VALUE!</v>
      </c>
      <c r="P115" s="18" t="e">
        <f t="shared" si="35"/>
        <v>#VALUE!</v>
      </c>
      <c r="Q115" s="18" t="e">
        <f t="shared" si="36"/>
        <v>#VALUE!</v>
      </c>
      <c r="R115" s="18">
        <f t="shared" si="38"/>
        <v>1.1716181677194326</v>
      </c>
      <c r="S115" s="31">
        <f t="shared" si="40"/>
        <v>4.2380341698228449E-3</v>
      </c>
      <c r="T115" s="10" t="e">
        <f t="shared" si="37"/>
        <v>#VALUE!</v>
      </c>
    </row>
    <row r="116" spans="1:33" x14ac:dyDescent="0.2">
      <c r="A116" s="10"/>
      <c r="B116" s="9">
        <v>29.44</v>
      </c>
      <c r="C116" s="10">
        <v>73.900000000000006</v>
      </c>
      <c r="D116" s="10">
        <v>13</v>
      </c>
      <c r="E116" s="10">
        <v>5</v>
      </c>
      <c r="F116" s="10">
        <v>1</v>
      </c>
      <c r="G116" s="10">
        <v>1.42</v>
      </c>
      <c r="H116" s="10">
        <v>0.03</v>
      </c>
      <c r="I116" s="44">
        <v>1343</v>
      </c>
      <c r="J116" s="44">
        <v>1145</v>
      </c>
      <c r="K116" s="18">
        <f t="shared" si="33"/>
        <v>909.09090909090901</v>
      </c>
      <c r="M116">
        <v>1299</v>
      </c>
      <c r="N116">
        <v>1190</v>
      </c>
      <c r="O116" s="18">
        <f t="shared" si="34"/>
        <v>3.6333333333333336E-2</v>
      </c>
      <c r="P116" s="18">
        <f t="shared" si="35"/>
        <v>2.2935779816513757</v>
      </c>
      <c r="Q116" s="18">
        <f t="shared" si="36"/>
        <v>0.69909106975474755</v>
      </c>
      <c r="R116" s="10">
        <f t="shared" si="38"/>
        <v>1.1716181677194326</v>
      </c>
      <c r="S116" s="17">
        <f t="shared" si="40"/>
        <v>4.0869992386259341E-3</v>
      </c>
      <c r="T116" s="10">
        <f t="shared" si="37"/>
        <v>0.2514280706459302</v>
      </c>
    </row>
    <row r="117" spans="1:33" x14ac:dyDescent="0.2">
      <c r="A117" s="10"/>
      <c r="B117" s="9">
        <v>29.44</v>
      </c>
      <c r="C117" s="10">
        <v>73.900000000000006</v>
      </c>
      <c r="D117" s="10">
        <v>14</v>
      </c>
      <c r="E117" s="10">
        <v>5</v>
      </c>
      <c r="F117" s="10">
        <v>1</v>
      </c>
      <c r="G117" s="10">
        <v>1.42</v>
      </c>
      <c r="H117" s="10">
        <v>0.03</v>
      </c>
      <c r="I117" s="44">
        <v>1082</v>
      </c>
      <c r="J117" s="44">
        <v>891</v>
      </c>
      <c r="K117" s="18">
        <f t="shared" si="33"/>
        <v>942.40837696335086</v>
      </c>
      <c r="M117">
        <v>987</v>
      </c>
      <c r="N117">
        <v>866</v>
      </c>
      <c r="O117" s="18">
        <f t="shared" si="34"/>
        <v>4.0333333333333332E-2</v>
      </c>
      <c r="P117" s="18">
        <f t="shared" si="35"/>
        <v>2.0661157024793386</v>
      </c>
      <c r="Q117" s="18">
        <f t="shared" si="36"/>
        <v>0.6297597239939462</v>
      </c>
      <c r="R117" s="10">
        <f t="shared" si="38"/>
        <v>1.1716181677194326</v>
      </c>
      <c r="S117" s="17">
        <f t="shared" si="40"/>
        <v>4.0869992386259341E-3</v>
      </c>
      <c r="T117" s="10">
        <f t="shared" si="37"/>
        <v>0.30983573624501842</v>
      </c>
    </row>
    <row r="118" spans="1:33" x14ac:dyDescent="0.2">
      <c r="A118" s="10"/>
      <c r="B118" s="9">
        <v>29.44</v>
      </c>
      <c r="C118" s="10">
        <v>73.900000000000006</v>
      </c>
      <c r="D118" s="10">
        <v>15</v>
      </c>
      <c r="E118" s="10">
        <v>5</v>
      </c>
      <c r="F118" s="10">
        <v>1</v>
      </c>
      <c r="G118" s="10">
        <v>1.42</v>
      </c>
      <c r="H118" s="10">
        <v>0.03</v>
      </c>
      <c r="I118" s="44">
        <v>1945</v>
      </c>
      <c r="J118" s="44">
        <v>1747</v>
      </c>
      <c r="K118" s="18">
        <f t="shared" si="33"/>
        <v>909.09090909090901</v>
      </c>
      <c r="M118">
        <v>1850</v>
      </c>
      <c r="N118">
        <v>1743</v>
      </c>
      <c r="O118" s="18">
        <f t="shared" si="34"/>
        <v>3.5666666666666666E-2</v>
      </c>
      <c r="P118" s="18">
        <f t="shared" si="35"/>
        <v>2.3364485981308412</v>
      </c>
      <c r="Q118" s="18">
        <f t="shared" si="36"/>
        <v>0.71215819255390178</v>
      </c>
      <c r="R118" s="10">
        <f t="shared" si="38"/>
        <v>1.1716181677194326</v>
      </c>
      <c r="S118" s="17">
        <f t="shared" si="40"/>
        <v>4.0869992386259341E-3</v>
      </c>
      <c r="T118" s="10">
        <f t="shared" si="37"/>
        <v>0.24228600124781202</v>
      </c>
    </row>
    <row r="119" spans="1:33" x14ac:dyDescent="0.2">
      <c r="A119" s="18"/>
      <c r="B119" s="20">
        <v>29.44</v>
      </c>
      <c r="C119" s="21">
        <v>73.900000000000006</v>
      </c>
      <c r="D119" s="18">
        <v>16</v>
      </c>
      <c r="E119" s="18">
        <v>6</v>
      </c>
      <c r="F119" s="10">
        <v>1</v>
      </c>
      <c r="G119" s="18">
        <v>1.4379999999999999</v>
      </c>
      <c r="H119" s="18">
        <v>2.3E-2</v>
      </c>
      <c r="I119" s="44">
        <v>1268</v>
      </c>
      <c r="J119" s="44">
        <v>1025</v>
      </c>
      <c r="K119" s="18">
        <f t="shared" si="33"/>
        <v>740.74074074074076</v>
      </c>
      <c r="M119">
        <v>1197</v>
      </c>
      <c r="N119">
        <v>1066</v>
      </c>
      <c r="O119" s="18">
        <f t="shared" si="34"/>
        <v>4.3666666666666666E-2</v>
      </c>
      <c r="P119" s="18">
        <f t="shared" si="35"/>
        <v>1.9083969465648853</v>
      </c>
      <c r="Q119" s="18">
        <f t="shared" si="36"/>
        <v>0.5816864626203625</v>
      </c>
      <c r="R119" s="18">
        <f t="shared" si="38"/>
        <v>1.1716181677194326</v>
      </c>
      <c r="S119" s="31">
        <f t="shared" si="40"/>
        <v>4.1912700126945073E-3</v>
      </c>
      <c r="T119" s="10">
        <f t="shared" si="37"/>
        <v>0.27149938877040536</v>
      </c>
    </row>
    <row r="120" spans="1:33" x14ac:dyDescent="0.2">
      <c r="A120" s="18"/>
      <c r="B120" s="20">
        <v>29.44</v>
      </c>
      <c r="C120" s="21">
        <v>73.900000000000006</v>
      </c>
      <c r="D120" s="18">
        <v>17</v>
      </c>
      <c r="E120" s="18">
        <v>6</v>
      </c>
      <c r="F120" s="10">
        <v>1</v>
      </c>
      <c r="G120" s="18">
        <v>1.4379999999999999</v>
      </c>
      <c r="H120" s="18">
        <v>2.3E-2</v>
      </c>
      <c r="K120" s="18" t="e">
        <f t="shared" si="33"/>
        <v>#DIV/0!</v>
      </c>
      <c r="M120" t="s">
        <v>95</v>
      </c>
      <c r="O120" s="18" t="e">
        <f t="shared" si="34"/>
        <v>#VALUE!</v>
      </c>
      <c r="P120" s="18" t="e">
        <f t="shared" si="35"/>
        <v>#VALUE!</v>
      </c>
      <c r="Q120" s="18" t="e">
        <f t="shared" si="36"/>
        <v>#VALUE!</v>
      </c>
      <c r="R120" s="18">
        <f t="shared" si="38"/>
        <v>1.1716181677194326</v>
      </c>
      <c r="S120" s="31">
        <f t="shared" si="40"/>
        <v>4.1912700126945073E-3</v>
      </c>
      <c r="T120" s="10" t="e">
        <f t="shared" si="37"/>
        <v>#VALUE!</v>
      </c>
    </row>
    <row r="121" spans="1:33" x14ac:dyDescent="0.2">
      <c r="A121" s="18"/>
      <c r="B121" s="20">
        <v>29.44</v>
      </c>
      <c r="C121" s="21">
        <v>73.900000000000006</v>
      </c>
      <c r="D121" s="18">
        <v>18</v>
      </c>
      <c r="E121" s="18">
        <v>6</v>
      </c>
      <c r="F121" s="10">
        <v>1</v>
      </c>
      <c r="G121" s="18">
        <v>1.4379999999999999</v>
      </c>
      <c r="H121" s="18">
        <v>2.3E-2</v>
      </c>
      <c r="K121" s="18" t="e">
        <f t="shared" si="33"/>
        <v>#DIV/0!</v>
      </c>
      <c r="M121" t="s">
        <v>95</v>
      </c>
      <c r="O121" s="18" t="e">
        <f t="shared" si="34"/>
        <v>#VALUE!</v>
      </c>
      <c r="P121" s="18" t="e">
        <f t="shared" si="35"/>
        <v>#VALUE!</v>
      </c>
      <c r="Q121" s="18" t="e">
        <f t="shared" si="36"/>
        <v>#VALUE!</v>
      </c>
      <c r="R121" s="18">
        <f t="shared" si="38"/>
        <v>1.1716181677194326</v>
      </c>
      <c r="S121" s="31">
        <f t="shared" si="40"/>
        <v>4.1912700126945073E-3</v>
      </c>
      <c r="T121" s="10" t="e">
        <f t="shared" si="37"/>
        <v>#VALUE!</v>
      </c>
      <c r="U121">
        <f>AVERAGE(T104:T114,T116:T119)</f>
        <v>0.28187409393303559</v>
      </c>
      <c r="AG121" s="11">
        <f>STDEV(Q104:Q114,Q116,Q117,Q118,Q119)</f>
        <v>6.3955979021581788E-2</v>
      </c>
    </row>
    <row r="122" spans="1:33" x14ac:dyDescent="0.2">
      <c r="A122" s="10"/>
      <c r="B122" s="9">
        <v>29.44</v>
      </c>
      <c r="C122" s="12">
        <v>73.900000000000006</v>
      </c>
      <c r="D122" s="10">
        <v>19</v>
      </c>
      <c r="E122" s="10">
        <v>7</v>
      </c>
      <c r="F122" s="10">
        <v>2</v>
      </c>
      <c r="G122" s="10">
        <v>1.698</v>
      </c>
      <c r="H122" s="10">
        <v>0.13500000000000001</v>
      </c>
      <c r="I122" s="43">
        <v>1327</v>
      </c>
      <c r="J122" s="44">
        <v>1181</v>
      </c>
      <c r="K122" s="18">
        <f>60/(1*((I122-J122)/$J$3))</f>
        <v>1232.8767123287671</v>
      </c>
      <c r="L122">
        <v>0.15495867768595042</v>
      </c>
      <c r="M122" s="43">
        <v>1288</v>
      </c>
      <c r="N122" s="43">
        <v>1200</v>
      </c>
      <c r="O122" s="18">
        <f>(M122-N122)/$J$3</f>
        <v>2.9333333333333333E-2</v>
      </c>
      <c r="P122" s="18">
        <f>(1/12)/O122</f>
        <v>2.8409090909090908</v>
      </c>
      <c r="Q122" s="18">
        <f t="shared" ref="Q122:Q172" si="41">P122/3.2808</f>
        <v>0.86591962049167603</v>
      </c>
      <c r="R122">
        <v>1.1716181677194326</v>
      </c>
      <c r="S122">
        <v>4.1731032742034577E-3</v>
      </c>
      <c r="T122" s="10">
        <f>(2*H122*0.001*$O$5)/(Q122^2*R122*S122)</f>
        <v>0.72224417720749967</v>
      </c>
    </row>
    <row r="123" spans="1:33" x14ac:dyDescent="0.2">
      <c r="A123" s="10"/>
      <c r="B123" s="9">
        <v>29.44</v>
      </c>
      <c r="C123" s="12">
        <v>73.900000000000006</v>
      </c>
      <c r="D123" s="10">
        <v>20</v>
      </c>
      <c r="E123" s="10">
        <v>7</v>
      </c>
      <c r="F123" s="10">
        <v>2</v>
      </c>
      <c r="G123" s="10">
        <v>1.698</v>
      </c>
      <c r="H123" s="10">
        <v>0.13500000000000001</v>
      </c>
      <c r="I123" s="43">
        <v>1426</v>
      </c>
      <c r="J123" s="44">
        <v>1271</v>
      </c>
      <c r="K123" s="18">
        <f t="shared" ref="K123:K172" si="42">60/(1*((I123-J123)/$J$3))</f>
        <v>1161.2903225806451</v>
      </c>
      <c r="L123">
        <v>0.15495867768595042</v>
      </c>
      <c r="M123">
        <v>1351</v>
      </c>
      <c r="N123">
        <v>1281</v>
      </c>
      <c r="O123" s="18">
        <f t="shared" ref="O123:O172" si="43">(M123-N123)/$J$3</f>
        <v>2.3333333333333334E-2</v>
      </c>
      <c r="P123" s="18">
        <f t="shared" ref="P123:P172" si="44">(1/12)/O123</f>
        <v>3.5714285714285712</v>
      </c>
      <c r="Q123" s="18">
        <f t="shared" si="41"/>
        <v>1.0885846657609641</v>
      </c>
      <c r="R123">
        <v>1.1716181677194326</v>
      </c>
      <c r="S123">
        <v>4.1731032742034577E-3</v>
      </c>
      <c r="T123" s="10">
        <f t="shared" ref="T123:T138" si="45">(2*H123*0.001*$O$5)/(Q123^2*R123*S123)</f>
        <v>0.4569985108880098</v>
      </c>
    </row>
    <row r="124" spans="1:33" x14ac:dyDescent="0.2">
      <c r="A124" s="10"/>
      <c r="B124" s="9">
        <v>29.44</v>
      </c>
      <c r="C124" s="12">
        <v>73.900000000000006</v>
      </c>
      <c r="D124" s="10">
        <v>21</v>
      </c>
      <c r="E124" s="10">
        <v>7</v>
      </c>
      <c r="F124" s="10">
        <v>2</v>
      </c>
      <c r="G124" s="10">
        <v>1.698</v>
      </c>
      <c r="H124" s="10">
        <v>0.13500000000000001</v>
      </c>
      <c r="I124" s="43">
        <v>1563</v>
      </c>
      <c r="J124" s="44">
        <v>1414</v>
      </c>
      <c r="K124" s="18">
        <f t="shared" si="42"/>
        <v>1208.0536912751679</v>
      </c>
      <c r="L124">
        <v>0.15495867768595042</v>
      </c>
      <c r="M124">
        <v>1497</v>
      </c>
      <c r="N124">
        <v>1416</v>
      </c>
      <c r="O124" s="18">
        <f t="shared" si="43"/>
        <v>2.7E-2</v>
      </c>
      <c r="P124" s="18">
        <f t="shared" si="44"/>
        <v>3.0864197530864197</v>
      </c>
      <c r="Q124" s="18">
        <f t="shared" si="41"/>
        <v>0.94075218028725294</v>
      </c>
      <c r="R124">
        <v>1.1716181677194326</v>
      </c>
      <c r="S124">
        <v>4.1731032742034577E-3</v>
      </c>
      <c r="T124" s="10">
        <f t="shared" si="45"/>
        <v>0.61191167957882298</v>
      </c>
    </row>
    <row r="125" spans="1:33" x14ac:dyDescent="0.2">
      <c r="A125" s="18"/>
      <c r="B125" s="20">
        <v>29.44</v>
      </c>
      <c r="C125" s="21">
        <v>73.900000000000006</v>
      </c>
      <c r="D125" s="18">
        <v>22</v>
      </c>
      <c r="E125" s="18">
        <v>8</v>
      </c>
      <c r="F125" s="10">
        <v>2</v>
      </c>
      <c r="G125" s="18">
        <v>1.4470000000000001</v>
      </c>
      <c r="H125" s="18">
        <v>9.9000000000000005E-2</v>
      </c>
      <c r="I125" s="44">
        <v>1440</v>
      </c>
      <c r="J125" s="44">
        <v>1304</v>
      </c>
      <c r="K125" s="18">
        <f t="shared" si="42"/>
        <v>1323.5294117647059</v>
      </c>
      <c r="L125">
        <v>0.15495867768595042</v>
      </c>
      <c r="M125">
        <v>1403</v>
      </c>
      <c r="N125">
        <v>1329</v>
      </c>
      <c r="O125" s="18">
        <f t="shared" si="43"/>
        <v>2.4666666666666667E-2</v>
      </c>
      <c r="P125" s="18">
        <f t="shared" si="44"/>
        <v>3.3783783783783781</v>
      </c>
      <c r="Q125" s="18">
        <f t="shared" si="41"/>
        <v>1.0297422513955066</v>
      </c>
      <c r="R125">
        <v>1.1716181677194326</v>
      </c>
      <c r="S125">
        <v>3.0305455990823635E-3</v>
      </c>
      <c r="T125" s="10">
        <f t="shared" si="45"/>
        <v>0.51572938844878047</v>
      </c>
    </row>
    <row r="126" spans="1:33" x14ac:dyDescent="0.2">
      <c r="A126" s="18"/>
      <c r="B126" s="20">
        <v>29.44</v>
      </c>
      <c r="C126" s="21">
        <v>73.900000000000006</v>
      </c>
      <c r="D126" s="18">
        <v>23</v>
      </c>
      <c r="E126" s="18">
        <v>8</v>
      </c>
      <c r="F126" s="10">
        <v>2</v>
      </c>
      <c r="G126" s="18">
        <v>1.4470000000000001</v>
      </c>
      <c r="H126" s="18">
        <v>9.9000000000000005E-2</v>
      </c>
      <c r="I126" s="44">
        <v>1275</v>
      </c>
      <c r="J126" s="44">
        <v>1141</v>
      </c>
      <c r="K126" s="18">
        <f t="shared" si="42"/>
        <v>1343.2835820895523</v>
      </c>
      <c r="L126">
        <v>0.15495867768595042</v>
      </c>
      <c r="M126">
        <v>1264</v>
      </c>
      <c r="N126">
        <v>1177</v>
      </c>
      <c r="O126" s="18">
        <f t="shared" si="43"/>
        <v>2.9000000000000001E-2</v>
      </c>
      <c r="P126" s="18">
        <f t="shared" si="44"/>
        <v>2.8735632183908044</v>
      </c>
      <c r="Q126" s="18">
        <f t="shared" si="41"/>
        <v>0.87587271957778723</v>
      </c>
      <c r="R126">
        <v>1.1716181677194326</v>
      </c>
      <c r="S126">
        <v>3.0305455990823635E-3</v>
      </c>
      <c r="T126" s="10">
        <f t="shared" si="45"/>
        <v>0.71284801701402822</v>
      </c>
    </row>
    <row r="127" spans="1:33" x14ac:dyDescent="0.2">
      <c r="A127" s="18"/>
      <c r="B127" s="20">
        <v>29.44</v>
      </c>
      <c r="C127" s="21">
        <v>73.900000000000006</v>
      </c>
      <c r="D127" s="18">
        <v>24</v>
      </c>
      <c r="E127" s="18">
        <v>8</v>
      </c>
      <c r="F127" s="10">
        <v>2</v>
      </c>
      <c r="G127" s="18">
        <v>1.4470000000000001</v>
      </c>
      <c r="H127" s="18">
        <v>9.9000000000000005E-2</v>
      </c>
      <c r="I127" s="44">
        <v>1822</v>
      </c>
      <c r="J127" s="44">
        <v>1684</v>
      </c>
      <c r="K127" s="18">
        <f t="shared" si="42"/>
        <v>1304.3478260869565</v>
      </c>
      <c r="L127">
        <v>0.15495867768595042</v>
      </c>
      <c r="M127">
        <v>1759</v>
      </c>
      <c r="N127">
        <v>1675</v>
      </c>
      <c r="O127" s="18">
        <f t="shared" si="43"/>
        <v>2.8000000000000001E-2</v>
      </c>
      <c r="P127" s="18">
        <f t="shared" si="44"/>
        <v>2.9761904761904758</v>
      </c>
      <c r="Q127" s="18">
        <f t="shared" si="41"/>
        <v>0.90715388813413667</v>
      </c>
      <c r="R127">
        <v>1.1716181677194326</v>
      </c>
      <c r="S127">
        <v>3.0305455990823635E-3</v>
      </c>
      <c r="T127" s="10">
        <f t="shared" si="45"/>
        <v>0.66453370432698966</v>
      </c>
    </row>
    <row r="128" spans="1:33" x14ac:dyDescent="0.2">
      <c r="A128" s="10"/>
      <c r="B128" s="9">
        <v>29.44</v>
      </c>
      <c r="C128" s="12">
        <v>74.099999999999994</v>
      </c>
      <c r="D128" s="10">
        <v>25</v>
      </c>
      <c r="E128" s="10">
        <v>9</v>
      </c>
      <c r="F128" s="10">
        <v>2</v>
      </c>
      <c r="G128" s="10">
        <v>1.6579999999999999</v>
      </c>
      <c r="H128" s="10">
        <v>0.109</v>
      </c>
      <c r="I128" s="44">
        <v>1347</v>
      </c>
      <c r="J128" s="44">
        <v>1202</v>
      </c>
      <c r="K128" s="18">
        <f t="shared" si="42"/>
        <v>1241.3793103448277</v>
      </c>
      <c r="L128">
        <v>0.15495867768595042</v>
      </c>
      <c r="M128">
        <v>1285</v>
      </c>
      <c r="N128">
        <v>1205</v>
      </c>
      <c r="O128" s="18">
        <f t="shared" si="43"/>
        <v>2.6666666666666668E-2</v>
      </c>
      <c r="P128" s="18">
        <f t="shared" si="44"/>
        <v>3.1249999999999996</v>
      </c>
      <c r="Q128" s="18">
        <f t="shared" si="41"/>
        <v>0.95251158254084356</v>
      </c>
      <c r="R128">
        <v>1.1716181677194326</v>
      </c>
      <c r="S128">
        <v>3.9788064490294244E-3</v>
      </c>
      <c r="T128" s="10">
        <f t="shared" si="45"/>
        <v>0.50547272667004506</v>
      </c>
    </row>
    <row r="129" spans="1:33" x14ac:dyDescent="0.2">
      <c r="A129" s="10"/>
      <c r="B129" s="9">
        <v>29.44</v>
      </c>
      <c r="C129" s="12">
        <v>74.099999999999994</v>
      </c>
      <c r="D129" s="10">
        <v>26</v>
      </c>
      <c r="E129" s="10">
        <v>9</v>
      </c>
      <c r="F129" s="10">
        <v>2</v>
      </c>
      <c r="G129" s="10">
        <v>1.6579999999999999</v>
      </c>
      <c r="H129" s="10">
        <v>0.109</v>
      </c>
      <c r="I129" s="44">
        <v>1466</v>
      </c>
      <c r="J129" s="44">
        <v>1322</v>
      </c>
      <c r="K129" s="18">
        <f t="shared" si="42"/>
        <v>1250</v>
      </c>
      <c r="L129">
        <v>0.15495867768595042</v>
      </c>
      <c r="M129">
        <v>1455</v>
      </c>
      <c r="N129">
        <v>1361</v>
      </c>
      <c r="O129" s="18">
        <f t="shared" si="43"/>
        <v>3.1333333333333331E-2</v>
      </c>
      <c r="P129" s="18">
        <f t="shared" si="44"/>
        <v>2.6595744680851063</v>
      </c>
      <c r="Q129" s="18">
        <f t="shared" si="41"/>
        <v>0.81064815535390944</v>
      </c>
      <c r="R129">
        <v>1.1716181677194326</v>
      </c>
      <c r="S129">
        <v>3.9788064490294244E-3</v>
      </c>
      <c r="T129" s="10">
        <f t="shared" si="45"/>
        <v>0.69786828325883077</v>
      </c>
    </row>
    <row r="130" spans="1:33" x14ac:dyDescent="0.2">
      <c r="A130" s="10"/>
      <c r="B130" s="9">
        <v>29.44</v>
      </c>
      <c r="C130" s="12">
        <v>74.099999999999994</v>
      </c>
      <c r="D130" s="10">
        <v>27</v>
      </c>
      <c r="E130" s="10">
        <v>9</v>
      </c>
      <c r="F130" s="10">
        <v>2</v>
      </c>
      <c r="G130" s="10">
        <v>1.6579999999999999</v>
      </c>
      <c r="H130" s="10">
        <v>0.109</v>
      </c>
      <c r="I130" s="44">
        <v>892</v>
      </c>
      <c r="J130" s="44">
        <v>750</v>
      </c>
      <c r="K130" s="18">
        <f t="shared" si="42"/>
        <v>1267.605633802817</v>
      </c>
      <c r="L130">
        <v>0.15495867768595042</v>
      </c>
      <c r="M130">
        <v>860</v>
      </c>
      <c r="N130">
        <v>779</v>
      </c>
      <c r="O130" s="18">
        <f t="shared" si="43"/>
        <v>2.7E-2</v>
      </c>
      <c r="P130" s="18">
        <f t="shared" si="44"/>
        <v>3.0864197530864197</v>
      </c>
      <c r="Q130" s="18">
        <f t="shared" si="41"/>
        <v>0.94075218028725294</v>
      </c>
      <c r="R130">
        <v>1.1716181677194326</v>
      </c>
      <c r="S130">
        <v>3.9788064490294244E-3</v>
      </c>
      <c r="T130" s="10">
        <f t="shared" si="45"/>
        <v>0.5181885249503384</v>
      </c>
    </row>
    <row r="131" spans="1:33" x14ac:dyDescent="0.2">
      <c r="A131" s="18"/>
      <c r="B131" s="20">
        <v>29.44</v>
      </c>
      <c r="C131" s="21">
        <v>74.099999999999994</v>
      </c>
      <c r="D131" s="18">
        <v>28</v>
      </c>
      <c r="E131" s="18">
        <v>10</v>
      </c>
      <c r="F131" s="10">
        <v>2</v>
      </c>
      <c r="G131" s="18">
        <v>1.53</v>
      </c>
      <c r="H131" s="18">
        <v>9.6000000000000002E-2</v>
      </c>
      <c r="I131" s="44">
        <v>1587</v>
      </c>
      <c r="J131" s="44">
        <v>1438</v>
      </c>
      <c r="K131" s="18">
        <f t="shared" si="42"/>
        <v>1208.0536912751679</v>
      </c>
      <c r="L131">
        <v>0.15495867768595042</v>
      </c>
      <c r="M131">
        <v>1496</v>
      </c>
      <c r="N131">
        <v>1418</v>
      </c>
      <c r="O131" s="18">
        <f t="shared" si="43"/>
        <v>2.5999999999999999E-2</v>
      </c>
      <c r="P131" s="18">
        <f t="shared" si="44"/>
        <v>3.2051282051282053</v>
      </c>
      <c r="Q131" s="18">
        <f t="shared" si="41"/>
        <v>0.97693495645214734</v>
      </c>
      <c r="R131">
        <v>1.1716181677194326</v>
      </c>
      <c r="S131">
        <v>3.3881811535301965E-3</v>
      </c>
      <c r="T131" s="10">
        <f t="shared" si="45"/>
        <v>0.49697882508074237</v>
      </c>
    </row>
    <row r="132" spans="1:33" x14ac:dyDescent="0.2">
      <c r="A132" s="18"/>
      <c r="B132" s="20">
        <v>29.44</v>
      </c>
      <c r="C132" s="21">
        <v>74.099999999999994</v>
      </c>
      <c r="D132" s="18">
        <v>29</v>
      </c>
      <c r="E132" s="18">
        <v>10</v>
      </c>
      <c r="F132" s="10">
        <v>2</v>
      </c>
      <c r="G132" s="18">
        <v>1.53</v>
      </c>
      <c r="H132" s="18">
        <v>9.6000000000000002E-2</v>
      </c>
      <c r="I132" s="44">
        <v>1443</v>
      </c>
      <c r="J132" s="44">
        <v>1600</v>
      </c>
      <c r="K132" s="18">
        <f t="shared" si="42"/>
        <v>-1146.496815286624</v>
      </c>
      <c r="L132">
        <v>0.15495867768595042</v>
      </c>
      <c r="M132">
        <v>1569</v>
      </c>
      <c r="N132">
        <v>1472</v>
      </c>
      <c r="O132" s="18">
        <f t="shared" si="43"/>
        <v>3.2333333333333332E-2</v>
      </c>
      <c r="P132" s="18">
        <f t="shared" si="44"/>
        <v>2.5773195876288661</v>
      </c>
      <c r="Q132" s="18">
        <f t="shared" si="41"/>
        <v>0.78557656292028344</v>
      </c>
      <c r="R132">
        <v>1.1716181677194326</v>
      </c>
      <c r="S132">
        <v>3.3881811535301965E-3</v>
      </c>
      <c r="T132" s="10">
        <f t="shared" si="45"/>
        <v>0.76858543148992509</v>
      </c>
    </row>
    <row r="133" spans="1:33" x14ac:dyDescent="0.2">
      <c r="A133" s="18"/>
      <c r="B133" s="20">
        <v>29.44</v>
      </c>
      <c r="C133" s="21">
        <v>74.099999999999994</v>
      </c>
      <c r="D133" s="18">
        <v>30</v>
      </c>
      <c r="E133" s="18">
        <v>10</v>
      </c>
      <c r="F133" s="10">
        <v>2</v>
      </c>
      <c r="G133" s="18">
        <v>1.53</v>
      </c>
      <c r="H133" s="18">
        <v>9.6000000000000002E-2</v>
      </c>
      <c r="I133" s="44">
        <v>1277</v>
      </c>
      <c r="J133" s="44">
        <v>1119</v>
      </c>
      <c r="K133" s="18">
        <f t="shared" si="42"/>
        <v>1139.2405063291139</v>
      </c>
      <c r="L133">
        <v>0.15495867768595042</v>
      </c>
      <c r="M133">
        <v>1237</v>
      </c>
      <c r="N133">
        <v>1155</v>
      </c>
      <c r="O133" s="18">
        <f t="shared" si="43"/>
        <v>2.7333333333333334E-2</v>
      </c>
      <c r="P133" s="18">
        <f t="shared" si="44"/>
        <v>3.0487804878048776</v>
      </c>
      <c r="Q133" s="18">
        <f t="shared" si="41"/>
        <v>0.92927959272277416</v>
      </c>
      <c r="R133">
        <v>1.1716181677194326</v>
      </c>
      <c r="S133">
        <v>3.3881811535301965E-3</v>
      </c>
      <c r="T133" s="10">
        <f t="shared" si="45"/>
        <v>0.5492579914271718</v>
      </c>
    </row>
    <row r="134" spans="1:33" x14ac:dyDescent="0.2">
      <c r="A134" s="10"/>
      <c r="B134" s="9">
        <v>29.44</v>
      </c>
      <c r="C134" s="12">
        <v>74.099999999999994</v>
      </c>
      <c r="D134" s="10">
        <v>31</v>
      </c>
      <c r="E134" s="10">
        <v>11</v>
      </c>
      <c r="F134" s="10">
        <v>2</v>
      </c>
      <c r="G134" s="10">
        <v>1.4790000000000001</v>
      </c>
      <c r="H134" s="10">
        <v>0.12</v>
      </c>
      <c r="I134" s="44">
        <v>1556</v>
      </c>
      <c r="J134" s="44">
        <v>1431</v>
      </c>
      <c r="K134" s="18">
        <f t="shared" si="42"/>
        <v>1440</v>
      </c>
      <c r="L134">
        <v>0.15495867768595042</v>
      </c>
      <c r="M134">
        <v>1532</v>
      </c>
      <c r="N134">
        <v>1454</v>
      </c>
      <c r="O134" s="18">
        <f t="shared" si="43"/>
        <v>2.5999999999999999E-2</v>
      </c>
      <c r="P134" s="18">
        <f t="shared" si="44"/>
        <v>3.2051282051282053</v>
      </c>
      <c r="Q134" s="18">
        <f t="shared" si="41"/>
        <v>0.97693495645214734</v>
      </c>
      <c r="R134">
        <v>1.1716181677194326</v>
      </c>
      <c r="S134">
        <v>3.1660670556876618E-3</v>
      </c>
      <c r="T134" s="10">
        <f t="shared" si="45"/>
        <v>0.66480520596413206</v>
      </c>
    </row>
    <row r="135" spans="1:33" x14ac:dyDescent="0.2">
      <c r="A135" s="10"/>
      <c r="B135" s="9">
        <v>29.44</v>
      </c>
      <c r="C135" s="12">
        <v>74.099999999999994</v>
      </c>
      <c r="D135" s="10">
        <v>32</v>
      </c>
      <c r="E135" s="10">
        <v>11</v>
      </c>
      <c r="F135" s="10">
        <v>2</v>
      </c>
      <c r="G135" s="10">
        <v>1.4790000000000001</v>
      </c>
      <c r="H135" s="10">
        <v>0.12</v>
      </c>
      <c r="I135" s="44">
        <v>1486</v>
      </c>
      <c r="J135" s="44">
        <v>1356</v>
      </c>
      <c r="K135" s="18">
        <f t="shared" si="42"/>
        <v>1384.6153846153845</v>
      </c>
      <c r="L135">
        <v>0.15495867768595042</v>
      </c>
      <c r="M135">
        <v>1424</v>
      </c>
      <c r="N135">
        <v>1354</v>
      </c>
      <c r="O135" s="18">
        <f t="shared" si="43"/>
        <v>2.3333333333333334E-2</v>
      </c>
      <c r="P135" s="18">
        <f t="shared" si="44"/>
        <v>3.5714285714285712</v>
      </c>
      <c r="Q135" s="18">
        <f t="shared" si="41"/>
        <v>1.0885846657609641</v>
      </c>
      <c r="R135">
        <v>1.1716181677194326</v>
      </c>
      <c r="S135">
        <v>3.1660670556876618E-3</v>
      </c>
      <c r="T135" s="10">
        <f t="shared" si="45"/>
        <v>0.53542825595401833</v>
      </c>
    </row>
    <row r="136" spans="1:33" x14ac:dyDescent="0.2">
      <c r="A136" s="10"/>
      <c r="B136" s="9">
        <v>29.44</v>
      </c>
      <c r="C136" s="12">
        <v>74.099999999999994</v>
      </c>
      <c r="D136" s="10">
        <v>33</v>
      </c>
      <c r="E136" s="10">
        <v>11</v>
      </c>
      <c r="F136" s="10">
        <v>2</v>
      </c>
      <c r="G136" s="10">
        <v>1.4790000000000001</v>
      </c>
      <c r="H136" s="10">
        <v>0.12</v>
      </c>
      <c r="I136" s="44">
        <v>1305</v>
      </c>
      <c r="J136" s="44">
        <v>1169</v>
      </c>
      <c r="K136" s="18">
        <f t="shared" si="42"/>
        <v>1323.5294117647059</v>
      </c>
      <c r="L136">
        <v>0.15495867768595042</v>
      </c>
      <c r="M136">
        <v>1277</v>
      </c>
      <c r="N136">
        <v>1209</v>
      </c>
      <c r="O136" s="18">
        <f t="shared" si="43"/>
        <v>2.2666666666666668E-2</v>
      </c>
      <c r="P136" s="18">
        <f t="shared" si="44"/>
        <v>3.6764705882352935</v>
      </c>
      <c r="Q136" s="18">
        <f t="shared" si="41"/>
        <v>1.1206018618127571</v>
      </c>
      <c r="R136">
        <v>1.1716181677194326</v>
      </c>
      <c r="S136">
        <v>3.1660670556876618E-3</v>
      </c>
      <c r="T136" s="10">
        <f t="shared" si="45"/>
        <v>0.50526943990436346</v>
      </c>
    </row>
    <row r="137" spans="1:33" x14ac:dyDescent="0.2">
      <c r="A137" s="18"/>
      <c r="B137" s="20">
        <v>29.44</v>
      </c>
      <c r="C137" s="21">
        <v>74.099999999999994</v>
      </c>
      <c r="D137" s="18">
        <v>34</v>
      </c>
      <c r="E137" s="18">
        <v>12</v>
      </c>
      <c r="F137" s="10">
        <v>2</v>
      </c>
      <c r="G137" s="18">
        <v>1.6160000000000001</v>
      </c>
      <c r="H137" s="18">
        <v>0.13900000000000001</v>
      </c>
      <c r="I137" s="44">
        <v>1516</v>
      </c>
      <c r="J137" s="44">
        <v>1377</v>
      </c>
      <c r="K137" s="18">
        <f t="shared" si="42"/>
        <v>1294.9640287769785</v>
      </c>
      <c r="L137">
        <v>0.15495867768595042</v>
      </c>
      <c r="M137">
        <v>1465</v>
      </c>
      <c r="N137">
        <v>1388</v>
      </c>
      <c r="O137" s="18">
        <f t="shared" si="43"/>
        <v>2.5666666666666667E-2</v>
      </c>
      <c r="P137" s="18">
        <f t="shared" si="44"/>
        <v>3.2467532467532463</v>
      </c>
      <c r="Q137" s="18">
        <f t="shared" si="41"/>
        <v>0.98962242341905815</v>
      </c>
      <c r="R137">
        <v>1.1716181677194326</v>
      </c>
      <c r="S137">
        <v>3.7797795730160851E-3</v>
      </c>
      <c r="T137" s="10">
        <f t="shared" si="45"/>
        <v>0.62859923182367416</v>
      </c>
    </row>
    <row r="138" spans="1:33" x14ac:dyDescent="0.2">
      <c r="A138" s="18"/>
      <c r="B138" s="20">
        <v>29.44</v>
      </c>
      <c r="C138" s="21">
        <v>74.099999999999994</v>
      </c>
      <c r="D138" s="18">
        <v>35</v>
      </c>
      <c r="E138" s="18">
        <v>12</v>
      </c>
      <c r="F138" s="10">
        <v>2</v>
      </c>
      <c r="G138" s="18">
        <v>1.6160000000000001</v>
      </c>
      <c r="H138" s="18">
        <v>0.13900000000000001</v>
      </c>
      <c r="I138" s="44">
        <v>1186</v>
      </c>
      <c r="J138" s="44">
        <v>1046</v>
      </c>
      <c r="K138" s="18">
        <f t="shared" si="42"/>
        <v>1285.7142857142856</v>
      </c>
      <c r="L138">
        <v>0.15495867768595042</v>
      </c>
      <c r="M138">
        <v>1126</v>
      </c>
      <c r="N138">
        <v>1050</v>
      </c>
      <c r="O138" s="18">
        <f t="shared" si="43"/>
        <v>2.5333333333333333E-2</v>
      </c>
      <c r="P138" s="18">
        <f t="shared" si="44"/>
        <v>3.2894736842105261</v>
      </c>
      <c r="Q138" s="18">
        <f t="shared" si="41"/>
        <v>1.0026437710956249</v>
      </c>
      <c r="R138">
        <v>1.1716181677194326</v>
      </c>
      <c r="S138">
        <v>3.7797795730160851E-3</v>
      </c>
      <c r="T138" s="10">
        <f t="shared" si="45"/>
        <v>0.61237800017094635</v>
      </c>
    </row>
    <row r="139" spans="1:33" x14ac:dyDescent="0.2">
      <c r="A139" s="18"/>
      <c r="B139" s="20">
        <v>29.44</v>
      </c>
      <c r="C139" s="21">
        <v>74.099999999999994</v>
      </c>
      <c r="D139" s="18">
        <v>36</v>
      </c>
      <c r="E139" s="18">
        <v>12</v>
      </c>
      <c r="F139" s="10">
        <v>2</v>
      </c>
      <c r="G139" s="18">
        <v>1.6160000000000001</v>
      </c>
      <c r="H139" s="18">
        <v>0.13900000000000001</v>
      </c>
      <c r="I139" s="44">
        <v>1030</v>
      </c>
      <c r="J139" s="44">
        <v>889</v>
      </c>
      <c r="K139" s="18">
        <f t="shared" si="42"/>
        <v>1276.5957446808511</v>
      </c>
      <c r="L139">
        <v>0.15495867768595042</v>
      </c>
      <c r="M139">
        <v>960</v>
      </c>
      <c r="N139">
        <v>880</v>
      </c>
      <c r="O139" s="18">
        <f t="shared" si="43"/>
        <v>2.6666666666666668E-2</v>
      </c>
      <c r="P139" s="18">
        <f t="shared" si="44"/>
        <v>3.1249999999999996</v>
      </c>
      <c r="Q139" s="18">
        <f t="shared" si="41"/>
        <v>0.95251158254084356</v>
      </c>
      <c r="R139">
        <v>1.1716181677194299</v>
      </c>
      <c r="S139">
        <v>3.7797795730160851E-3</v>
      </c>
      <c r="T139" s="10">
        <f>(2*H139*0.001*$O$5)/(Q139^2*R139*S139)</f>
        <v>0.67853518024481729</v>
      </c>
      <c r="U139">
        <f>AVERAGE(T122:T139)</f>
        <v>0.60253514302239641</v>
      </c>
      <c r="AG139">
        <f>STDEV(Q122:Q139)</f>
        <v>9.078991851021162E-2</v>
      </c>
    </row>
    <row r="140" spans="1:33" x14ac:dyDescent="0.2">
      <c r="A140" s="10"/>
      <c r="B140" s="9">
        <v>29.44</v>
      </c>
      <c r="C140" s="12">
        <v>74.099999999999994</v>
      </c>
      <c r="D140" s="10">
        <v>37</v>
      </c>
      <c r="E140" s="10">
        <v>13</v>
      </c>
      <c r="F140" s="9">
        <v>3</v>
      </c>
      <c r="G140" s="9">
        <v>1.3740000000000001</v>
      </c>
      <c r="H140" s="10">
        <v>4.2999999999999997E-2</v>
      </c>
      <c r="I140" s="44">
        <v>668</v>
      </c>
      <c r="J140" s="44">
        <v>495</v>
      </c>
      <c r="K140" s="45">
        <f t="shared" si="42"/>
        <v>1040.4624277456649</v>
      </c>
      <c r="M140">
        <v>619</v>
      </c>
      <c r="N140">
        <v>502</v>
      </c>
      <c r="O140" s="45">
        <f t="shared" si="43"/>
        <v>3.9E-2</v>
      </c>
      <c r="P140" s="45">
        <f t="shared" si="44"/>
        <v>2.1367521367521367</v>
      </c>
      <c r="Q140" s="45">
        <f t="shared" si="41"/>
        <v>0.65128997096809826</v>
      </c>
      <c r="R140" s="10">
        <f t="shared" ref="R140:R157" si="46">(B140*$O$2)/($O$3*((C140-32)*(5/9)+273.15))</f>
        <v>1.1711791703356458</v>
      </c>
      <c r="S140">
        <v>2.0642804186825547E-3</v>
      </c>
      <c r="T140" s="10">
        <f>(2*H140*0.001*$O$5)/(Q140^2*R140*S140)</f>
        <v>0.82239093166162414</v>
      </c>
    </row>
    <row r="141" spans="1:33" x14ac:dyDescent="0.2">
      <c r="A141" s="10"/>
      <c r="B141" s="9">
        <v>29.44</v>
      </c>
      <c r="C141" s="12">
        <v>74.099999999999994</v>
      </c>
      <c r="D141" s="10">
        <v>38</v>
      </c>
      <c r="E141" s="10">
        <v>13</v>
      </c>
      <c r="F141" s="9">
        <v>3</v>
      </c>
      <c r="G141" s="9">
        <v>1.3740000000000001</v>
      </c>
      <c r="H141" s="10">
        <v>4.2999999999999997E-2</v>
      </c>
      <c r="I141" s="44">
        <v>1747</v>
      </c>
      <c r="J141" s="44">
        <v>1558</v>
      </c>
      <c r="K141" s="45">
        <f t="shared" si="42"/>
        <v>952.38095238095241</v>
      </c>
      <c r="M141">
        <v>1646</v>
      </c>
      <c r="N141">
        <v>1523</v>
      </c>
      <c r="O141" s="45">
        <f t="shared" si="43"/>
        <v>4.1000000000000002E-2</v>
      </c>
      <c r="P141" s="45">
        <f t="shared" si="44"/>
        <v>2.0325203252032518</v>
      </c>
      <c r="Q141" s="45">
        <f t="shared" si="41"/>
        <v>0.61951972848184944</v>
      </c>
      <c r="R141" s="10">
        <f t="shared" si="46"/>
        <v>1.1711791703356458</v>
      </c>
      <c r="S141">
        <v>2.0642804186825547E-3</v>
      </c>
      <c r="T141" s="10">
        <f t="shared" ref="T141:T193" si="47">(2*H141*0.001*$O$5)/(Q141^2*R141*S141)</f>
        <v>0.90890148331570719</v>
      </c>
    </row>
    <row r="142" spans="1:33" x14ac:dyDescent="0.2">
      <c r="A142" s="10"/>
      <c r="B142" s="9">
        <v>29.44</v>
      </c>
      <c r="C142" s="12">
        <v>74.099999999999994</v>
      </c>
      <c r="D142" s="10">
        <v>39</v>
      </c>
      <c r="E142" s="10">
        <v>13</v>
      </c>
      <c r="F142" s="9">
        <v>3</v>
      </c>
      <c r="G142" s="9">
        <v>1.3740000000000001</v>
      </c>
      <c r="H142" s="10">
        <v>4.2999999999999997E-2</v>
      </c>
      <c r="I142" s="44">
        <v>1529</v>
      </c>
      <c r="J142" s="44">
        <v>1336</v>
      </c>
      <c r="K142" s="45">
        <f t="shared" si="42"/>
        <v>932.64248704663203</v>
      </c>
      <c r="M142">
        <v>1471</v>
      </c>
      <c r="N142">
        <v>1361</v>
      </c>
      <c r="O142" s="45">
        <f t="shared" si="43"/>
        <v>3.6666666666666667E-2</v>
      </c>
      <c r="P142" s="45">
        <f t="shared" si="44"/>
        <v>2.2727272727272725</v>
      </c>
      <c r="Q142" s="45">
        <f t="shared" si="41"/>
        <v>0.69273569639334076</v>
      </c>
      <c r="R142" s="10">
        <f t="shared" si="46"/>
        <v>1.1711791703356458</v>
      </c>
      <c r="S142">
        <v>2.0642804186825547E-3</v>
      </c>
      <c r="T142" s="10">
        <f t="shared" si="47"/>
        <v>0.72692894098222327</v>
      </c>
    </row>
    <row r="143" spans="1:33" x14ac:dyDescent="0.2">
      <c r="A143" s="18"/>
      <c r="B143" s="20">
        <v>29.44</v>
      </c>
      <c r="C143" s="21">
        <v>74.099999999999994</v>
      </c>
      <c r="D143" s="18">
        <v>40</v>
      </c>
      <c r="E143" s="18">
        <v>14</v>
      </c>
      <c r="F143" s="9">
        <v>3</v>
      </c>
      <c r="G143" s="20">
        <v>1.57</v>
      </c>
      <c r="H143" s="18">
        <v>0.05</v>
      </c>
      <c r="I143" s="44">
        <v>1599</v>
      </c>
      <c r="J143" s="44">
        <v>1355</v>
      </c>
      <c r="K143" s="45">
        <f t="shared" si="42"/>
        <v>737.70491803278696</v>
      </c>
      <c r="M143">
        <v>1377</v>
      </c>
      <c r="N143">
        <v>1275</v>
      </c>
      <c r="O143" s="45">
        <f t="shared" si="43"/>
        <v>3.4000000000000002E-2</v>
      </c>
      <c r="P143" s="45">
        <f t="shared" si="44"/>
        <v>2.4509803921568625</v>
      </c>
      <c r="Q143" s="45">
        <f t="shared" si="41"/>
        <v>0.74706790787517141</v>
      </c>
      <c r="R143" s="18">
        <f t="shared" si="46"/>
        <v>1.1711791703356458</v>
      </c>
      <c r="S143">
        <v>2.6952219340733333E-3</v>
      </c>
      <c r="T143" s="10">
        <f t="shared" si="47"/>
        <v>0.55665054962359239</v>
      </c>
    </row>
    <row r="144" spans="1:33" x14ac:dyDescent="0.2">
      <c r="A144" s="18"/>
      <c r="B144" s="20">
        <v>29.44</v>
      </c>
      <c r="C144" s="21">
        <v>74.099999999999994</v>
      </c>
      <c r="D144" s="18">
        <v>41</v>
      </c>
      <c r="E144" s="18">
        <v>14</v>
      </c>
      <c r="F144" s="9">
        <v>3</v>
      </c>
      <c r="G144" s="20">
        <v>1.57</v>
      </c>
      <c r="H144" s="18">
        <v>0.05</v>
      </c>
      <c r="I144" s="44">
        <v>1859</v>
      </c>
      <c r="J144" s="44">
        <v>1599</v>
      </c>
      <c r="K144" s="45">
        <f t="shared" si="42"/>
        <v>692.30769230769226</v>
      </c>
      <c r="M144">
        <v>1749</v>
      </c>
      <c r="N144">
        <v>1621</v>
      </c>
      <c r="O144" s="45">
        <f t="shared" si="43"/>
        <v>4.2666666666666665E-2</v>
      </c>
      <c r="P144" s="45">
        <f t="shared" si="44"/>
        <v>1.953125</v>
      </c>
      <c r="Q144" s="45">
        <f t="shared" si="41"/>
        <v>0.59531973908802727</v>
      </c>
      <c r="R144" s="18">
        <f t="shared" si="46"/>
        <v>1.1711791703356458</v>
      </c>
      <c r="S144">
        <v>2.6952219340733333E-3</v>
      </c>
      <c r="T144" s="10">
        <f t="shared" si="47"/>
        <v>0.87660155757717562</v>
      </c>
    </row>
    <row r="145" spans="1:33" x14ac:dyDescent="0.2">
      <c r="A145" s="18"/>
      <c r="B145" s="20">
        <v>29.44</v>
      </c>
      <c r="C145" s="21">
        <v>74.099999999999994</v>
      </c>
      <c r="D145" s="18">
        <v>42</v>
      </c>
      <c r="E145" s="18">
        <v>14</v>
      </c>
      <c r="F145" s="9">
        <v>3</v>
      </c>
      <c r="G145" s="20">
        <v>1.57</v>
      </c>
      <c r="H145" s="18">
        <v>0.05</v>
      </c>
      <c r="I145" s="44">
        <v>1663</v>
      </c>
      <c r="J145" s="44">
        <v>1403</v>
      </c>
      <c r="K145" s="45">
        <f t="shared" si="42"/>
        <v>692.30769230769226</v>
      </c>
      <c r="M145">
        <v>1551</v>
      </c>
      <c r="N145">
        <v>1451</v>
      </c>
      <c r="O145" s="45">
        <f t="shared" si="43"/>
        <v>3.3333333333333333E-2</v>
      </c>
      <c r="P145" s="45">
        <f t="shared" si="44"/>
        <v>2.5</v>
      </c>
      <c r="Q145" s="45">
        <f t="shared" si="41"/>
        <v>0.76200926603267494</v>
      </c>
      <c r="R145" s="18">
        <f t="shared" si="46"/>
        <v>1.1711791703356458</v>
      </c>
      <c r="S145">
        <v>2.6952219340733333E-3</v>
      </c>
      <c r="T145" s="10">
        <f t="shared" si="47"/>
        <v>0.53503513035716277</v>
      </c>
    </row>
    <row r="146" spans="1:33" x14ac:dyDescent="0.2">
      <c r="A146" s="10"/>
      <c r="B146" s="9">
        <v>29.44</v>
      </c>
      <c r="C146" s="12">
        <v>74.099999999999994</v>
      </c>
      <c r="D146" s="10">
        <v>43</v>
      </c>
      <c r="E146" s="10">
        <v>15</v>
      </c>
      <c r="F146" s="9">
        <v>3</v>
      </c>
      <c r="G146" s="9">
        <v>1.4950000000000001</v>
      </c>
      <c r="H146" s="10">
        <v>5.1999999999999998E-2</v>
      </c>
      <c r="I146" s="44">
        <v>1353</v>
      </c>
      <c r="J146" s="44">
        <v>1133</v>
      </c>
      <c r="K146" s="45">
        <f t="shared" si="42"/>
        <v>818.18181818181813</v>
      </c>
      <c r="M146">
        <v>1282</v>
      </c>
      <c r="N146">
        <v>1153</v>
      </c>
      <c r="O146" s="45">
        <f t="shared" si="43"/>
        <v>4.2999999999999997E-2</v>
      </c>
      <c r="P146" s="45">
        <f t="shared" si="44"/>
        <v>1.9379844961240311</v>
      </c>
      <c r="Q146" s="45">
        <f t="shared" si="41"/>
        <v>0.59070485738967049</v>
      </c>
      <c r="R146" s="10">
        <f t="shared" si="46"/>
        <v>1.1711791703356458</v>
      </c>
      <c r="S146">
        <v>2.4438672575772861E-3</v>
      </c>
      <c r="T146" s="10">
        <f t="shared" si="47"/>
        <v>1.0212027557399501</v>
      </c>
    </row>
    <row r="147" spans="1:33" x14ac:dyDescent="0.2">
      <c r="A147" s="10"/>
      <c r="B147" s="9">
        <v>29.44</v>
      </c>
      <c r="C147" s="12">
        <v>74.099999999999994</v>
      </c>
      <c r="D147" s="10">
        <v>44</v>
      </c>
      <c r="E147" s="10">
        <v>15</v>
      </c>
      <c r="F147" s="9">
        <v>3</v>
      </c>
      <c r="G147" s="9">
        <v>1.4950000000000001</v>
      </c>
      <c r="H147" s="10">
        <v>5.1999999999999998E-2</v>
      </c>
      <c r="I147" s="44">
        <v>1545</v>
      </c>
      <c r="J147" s="44">
        <v>1316</v>
      </c>
      <c r="K147" s="45">
        <f t="shared" si="42"/>
        <v>786.02620087336243</v>
      </c>
      <c r="M147">
        <v>1373</v>
      </c>
      <c r="N147">
        <v>1311</v>
      </c>
      <c r="O147" s="45">
        <f t="shared" si="43"/>
        <v>2.0666666666666667E-2</v>
      </c>
      <c r="P147" s="45">
        <f t="shared" si="44"/>
        <v>4.032258064516129</v>
      </c>
      <c r="Q147" s="45">
        <f t="shared" si="41"/>
        <v>1.229047203278508</v>
      </c>
      <c r="R147" s="10">
        <f t="shared" si="46"/>
        <v>1.1711791703356458</v>
      </c>
      <c r="S147">
        <v>2.4438672575772861E-3</v>
      </c>
      <c r="T147" s="10">
        <f t="shared" si="47"/>
        <v>0.23589347954235731</v>
      </c>
    </row>
    <row r="148" spans="1:33" x14ac:dyDescent="0.2">
      <c r="A148" s="10"/>
      <c r="B148" s="9">
        <v>29.44</v>
      </c>
      <c r="C148" s="12">
        <v>74.099999999999994</v>
      </c>
      <c r="D148" s="10">
        <v>45</v>
      </c>
      <c r="E148" s="10">
        <v>15</v>
      </c>
      <c r="F148" s="9">
        <v>3</v>
      </c>
      <c r="G148" s="9">
        <v>1.4950000000000001</v>
      </c>
      <c r="H148" s="10">
        <v>5.1999999999999998E-2</v>
      </c>
      <c r="I148" s="44">
        <v>1090</v>
      </c>
      <c r="J148" s="44">
        <v>873</v>
      </c>
      <c r="K148" s="45">
        <f t="shared" si="42"/>
        <v>829.49308755760364</v>
      </c>
      <c r="M148">
        <v>1037</v>
      </c>
      <c r="N148">
        <v>928</v>
      </c>
      <c r="O148" s="45">
        <f t="shared" si="43"/>
        <v>3.6333333333333336E-2</v>
      </c>
      <c r="P148" s="45">
        <f t="shared" si="44"/>
        <v>2.2935779816513757</v>
      </c>
      <c r="Q148" s="45">
        <f t="shared" si="41"/>
        <v>0.69909106975474755</v>
      </c>
      <c r="R148" s="10">
        <f t="shared" si="46"/>
        <v>1.1711791703356458</v>
      </c>
      <c r="S148">
        <v>2.4438672575772861E-3</v>
      </c>
      <c r="T148" s="10">
        <f t="shared" si="47"/>
        <v>0.72909740646273369</v>
      </c>
    </row>
    <row r="149" spans="1:33" x14ac:dyDescent="0.2">
      <c r="A149" s="18"/>
      <c r="B149" s="20">
        <v>29.44</v>
      </c>
      <c r="C149" s="21">
        <v>74.3</v>
      </c>
      <c r="D149" s="18">
        <v>46</v>
      </c>
      <c r="E149" s="18">
        <v>16</v>
      </c>
      <c r="F149" s="9">
        <v>3</v>
      </c>
      <c r="G149" s="20">
        <v>1.5109999999999999</v>
      </c>
      <c r="H149" s="18">
        <v>2.3E-2</v>
      </c>
      <c r="I149" s="44">
        <v>1344</v>
      </c>
      <c r="J149" s="44">
        <v>1001</v>
      </c>
      <c r="K149" s="45">
        <f t="shared" si="42"/>
        <v>524.78134110787175</v>
      </c>
      <c r="M149">
        <v>1280</v>
      </c>
      <c r="N149">
        <v>1123</v>
      </c>
      <c r="O149" s="45">
        <f t="shared" si="43"/>
        <v>5.2333333333333336E-2</v>
      </c>
      <c r="P149" s="45">
        <f t="shared" si="44"/>
        <v>1.592356687898089</v>
      </c>
      <c r="Q149" s="45">
        <f t="shared" si="41"/>
        <v>0.4853562204029776</v>
      </c>
      <c r="R149" s="18">
        <f t="shared" si="46"/>
        <v>1.1707405018073256</v>
      </c>
      <c r="S149">
        <v>2.4964573805604448E-3</v>
      </c>
      <c r="T149" s="10">
        <f t="shared" si="47"/>
        <v>0.65519791700520413</v>
      </c>
    </row>
    <row r="150" spans="1:33" x14ac:dyDescent="0.2">
      <c r="A150" s="18"/>
      <c r="B150" s="20">
        <v>29.44</v>
      </c>
      <c r="C150" s="21">
        <v>74.3</v>
      </c>
      <c r="D150" s="18">
        <v>47</v>
      </c>
      <c r="E150" s="18">
        <v>16</v>
      </c>
      <c r="F150" s="9">
        <v>3</v>
      </c>
      <c r="G150" s="20">
        <v>1.5109999999999999</v>
      </c>
      <c r="H150" s="18">
        <v>2.3E-2</v>
      </c>
      <c r="I150" s="44">
        <v>1856</v>
      </c>
      <c r="J150" s="44">
        <v>1547</v>
      </c>
      <c r="K150" s="45">
        <f t="shared" si="42"/>
        <v>582.52427184466023</v>
      </c>
      <c r="M150">
        <v>1636</v>
      </c>
      <c r="N150">
        <v>1497</v>
      </c>
      <c r="O150" s="45">
        <f t="shared" si="43"/>
        <v>4.6333333333333331E-2</v>
      </c>
      <c r="P150" s="45">
        <f t="shared" si="44"/>
        <v>1.7985611510791366</v>
      </c>
      <c r="Q150" s="45">
        <f t="shared" si="41"/>
        <v>0.54820810505947837</v>
      </c>
      <c r="R150" s="18">
        <f t="shared" si="46"/>
        <v>1.1707405018073256</v>
      </c>
      <c r="S150">
        <v>2.4964573805604448E-3</v>
      </c>
      <c r="T150" s="10">
        <f t="shared" si="47"/>
        <v>0.5135737333951701</v>
      </c>
    </row>
    <row r="151" spans="1:33" x14ac:dyDescent="0.2">
      <c r="A151" s="18"/>
      <c r="B151" s="20">
        <v>29.44</v>
      </c>
      <c r="C151" s="21">
        <v>74.3</v>
      </c>
      <c r="D151" s="18">
        <v>48</v>
      </c>
      <c r="E151" s="18">
        <v>16</v>
      </c>
      <c r="F151" s="9">
        <v>3</v>
      </c>
      <c r="G151" s="20">
        <v>1.5109999999999999</v>
      </c>
      <c r="H151" s="18">
        <v>2.3E-2</v>
      </c>
      <c r="I151" s="44">
        <v>2091</v>
      </c>
      <c r="J151" s="44">
        <v>1766</v>
      </c>
      <c r="K151" s="45">
        <f t="shared" si="42"/>
        <v>553.84615384615381</v>
      </c>
      <c r="M151">
        <v>1899</v>
      </c>
      <c r="N151">
        <v>1772</v>
      </c>
      <c r="O151" s="45">
        <f t="shared" si="43"/>
        <v>4.2333333333333334E-2</v>
      </c>
      <c r="P151" s="45">
        <f t="shared" si="44"/>
        <v>1.9685039370078738</v>
      </c>
      <c r="Q151" s="45">
        <f t="shared" si="41"/>
        <v>0.60000729608872039</v>
      </c>
      <c r="R151" s="18">
        <f t="shared" si="46"/>
        <v>1.1707405018073256</v>
      </c>
      <c r="S151">
        <v>2.4964573805604448E-3</v>
      </c>
      <c r="T151" s="10">
        <f t="shared" si="47"/>
        <v>0.42872681258375334</v>
      </c>
    </row>
    <row r="152" spans="1:33" x14ac:dyDescent="0.2">
      <c r="A152" s="10"/>
      <c r="B152" s="9">
        <v>29.44</v>
      </c>
      <c r="C152" s="12">
        <v>74.3</v>
      </c>
      <c r="D152" s="10">
        <v>49</v>
      </c>
      <c r="E152" s="10">
        <v>17</v>
      </c>
      <c r="F152" s="9">
        <v>3</v>
      </c>
      <c r="G152" s="9">
        <v>1.3560000000000001</v>
      </c>
      <c r="H152" s="10">
        <v>4.3999999999999997E-2</v>
      </c>
      <c r="I152" s="44">
        <v>1351</v>
      </c>
      <c r="J152" s="44">
        <v>1174</v>
      </c>
      <c r="K152" s="45">
        <f t="shared" si="42"/>
        <v>1016.949152542373</v>
      </c>
      <c r="M152">
        <v>1304</v>
      </c>
      <c r="N152">
        <v>1191</v>
      </c>
      <c r="O152" s="45">
        <f t="shared" si="43"/>
        <v>3.7666666666666668E-2</v>
      </c>
      <c r="P152" s="45">
        <f t="shared" si="44"/>
        <v>2.2123893805309733</v>
      </c>
      <c r="Q152" s="45">
        <f t="shared" si="41"/>
        <v>0.67434448321475648</v>
      </c>
      <c r="R152" s="10">
        <f t="shared" si="46"/>
        <v>1.1707405018073256</v>
      </c>
      <c r="S152">
        <v>2.0105487436286526E-3</v>
      </c>
      <c r="T152" s="10">
        <f t="shared" si="47"/>
        <v>0.80624025855274817</v>
      </c>
    </row>
    <row r="153" spans="1:33" x14ac:dyDescent="0.2">
      <c r="A153" s="10"/>
      <c r="B153" s="9">
        <v>29.44</v>
      </c>
      <c r="C153" s="12">
        <v>74.3</v>
      </c>
      <c r="D153" s="10">
        <v>50</v>
      </c>
      <c r="E153" s="10">
        <v>17</v>
      </c>
      <c r="F153" s="9">
        <v>3</v>
      </c>
      <c r="G153" s="9">
        <v>1.3560000000000001</v>
      </c>
      <c r="H153" s="10">
        <v>4.3999999999999997E-2</v>
      </c>
      <c r="I153" s="44">
        <v>1492</v>
      </c>
      <c r="J153" s="44">
        <v>1306</v>
      </c>
      <c r="K153" s="45">
        <f t="shared" si="42"/>
        <v>967.74193548387098</v>
      </c>
      <c r="M153">
        <v>1424</v>
      </c>
      <c r="N153">
        <v>1315</v>
      </c>
      <c r="O153" s="45">
        <f t="shared" si="43"/>
        <v>3.6333333333333336E-2</v>
      </c>
      <c r="P153" s="45">
        <f t="shared" si="44"/>
        <v>2.2935779816513757</v>
      </c>
      <c r="Q153" s="45">
        <f t="shared" si="41"/>
        <v>0.69909106975474755</v>
      </c>
      <c r="R153" s="10">
        <f t="shared" si="46"/>
        <v>1.1707405018073256</v>
      </c>
      <c r="S153">
        <v>2.0105487436286526E-3</v>
      </c>
      <c r="T153" s="10">
        <f t="shared" si="47"/>
        <v>0.75017154921021212</v>
      </c>
    </row>
    <row r="154" spans="1:33" x14ac:dyDescent="0.2">
      <c r="A154" s="10"/>
      <c r="B154" s="9">
        <v>29.44</v>
      </c>
      <c r="C154" s="12">
        <v>74.3</v>
      </c>
      <c r="D154" s="10">
        <v>51</v>
      </c>
      <c r="E154" s="10">
        <v>17</v>
      </c>
      <c r="F154" s="9">
        <v>3</v>
      </c>
      <c r="G154" s="9">
        <v>1.3560000000000001</v>
      </c>
      <c r="H154" s="10">
        <v>4.3999999999999997E-2</v>
      </c>
      <c r="I154" s="44">
        <v>1916</v>
      </c>
      <c r="J154" s="44">
        <v>1745</v>
      </c>
      <c r="K154" s="45">
        <f t="shared" si="42"/>
        <v>1052.6315789473683</v>
      </c>
      <c r="M154">
        <v>1864</v>
      </c>
      <c r="N154">
        <v>1758</v>
      </c>
      <c r="O154" s="45">
        <f t="shared" si="43"/>
        <v>3.5333333333333335E-2</v>
      </c>
      <c r="P154" s="45">
        <f t="shared" si="44"/>
        <v>2.3584905660377355</v>
      </c>
      <c r="Q154" s="45">
        <f t="shared" si="41"/>
        <v>0.71887666606856115</v>
      </c>
      <c r="R154" s="10">
        <f t="shared" si="46"/>
        <v>1.1707405018073256</v>
      </c>
      <c r="S154">
        <v>2.0105487436286526E-3</v>
      </c>
      <c r="T154" s="10">
        <f t="shared" si="47"/>
        <v>0.70944596641073521</v>
      </c>
    </row>
    <row r="155" spans="1:33" x14ac:dyDescent="0.2">
      <c r="A155" s="18"/>
      <c r="B155" s="20">
        <v>29.44</v>
      </c>
      <c r="C155" s="21">
        <v>74.3</v>
      </c>
      <c r="D155" s="18">
        <v>52</v>
      </c>
      <c r="E155" s="18">
        <v>18</v>
      </c>
      <c r="F155" s="9">
        <v>3</v>
      </c>
      <c r="G155" s="20">
        <v>1.482</v>
      </c>
      <c r="H155" s="18">
        <v>0.05</v>
      </c>
      <c r="I155" s="44">
        <v>1819</v>
      </c>
      <c r="J155" s="44">
        <v>1608</v>
      </c>
      <c r="K155" s="45">
        <f t="shared" si="42"/>
        <v>853.08056872037912</v>
      </c>
      <c r="M155">
        <v>1709</v>
      </c>
      <c r="N155">
        <v>1613</v>
      </c>
      <c r="O155" s="45">
        <f t="shared" si="43"/>
        <v>3.2000000000000001E-2</v>
      </c>
      <c r="P155" s="45">
        <f t="shared" si="44"/>
        <v>2.6041666666666665</v>
      </c>
      <c r="Q155" s="45">
        <f t="shared" si="41"/>
        <v>0.79375965211736965</v>
      </c>
      <c r="R155" s="18">
        <f t="shared" si="46"/>
        <v>1.1707405018073256</v>
      </c>
      <c r="S155">
        <v>2.4015500097901254E-3</v>
      </c>
      <c r="T155" s="10">
        <f t="shared" si="47"/>
        <v>0.55359270560842189</v>
      </c>
    </row>
    <row r="156" spans="1:33" x14ac:dyDescent="0.2">
      <c r="A156" s="18"/>
      <c r="B156" s="20">
        <v>29.44</v>
      </c>
      <c r="C156" s="21">
        <v>74.3</v>
      </c>
      <c r="D156" s="18">
        <v>53</v>
      </c>
      <c r="E156" s="18">
        <v>18</v>
      </c>
      <c r="F156" s="9">
        <v>3</v>
      </c>
      <c r="G156" s="20">
        <v>1.482</v>
      </c>
      <c r="H156" s="18">
        <v>0.05</v>
      </c>
      <c r="I156" s="44">
        <v>1642</v>
      </c>
      <c r="J156" s="44">
        <v>1434</v>
      </c>
      <c r="K156" s="45">
        <f t="shared" si="42"/>
        <v>865.38461538461547</v>
      </c>
      <c r="M156">
        <v>1560</v>
      </c>
      <c r="N156">
        <v>1453</v>
      </c>
      <c r="O156" s="45">
        <f t="shared" si="43"/>
        <v>3.5666666666666666E-2</v>
      </c>
      <c r="P156" s="45">
        <f t="shared" si="44"/>
        <v>2.3364485981308412</v>
      </c>
      <c r="Q156" s="45">
        <f t="shared" si="41"/>
        <v>0.71215819255390178</v>
      </c>
      <c r="R156" s="18">
        <f t="shared" si="46"/>
        <v>1.1707405018073256</v>
      </c>
      <c r="S156">
        <v>2.4015500097901254E-3</v>
      </c>
      <c r="T156" s="10">
        <f t="shared" si="47"/>
        <v>0.68772600765091385</v>
      </c>
    </row>
    <row r="157" spans="1:33" x14ac:dyDescent="0.2">
      <c r="A157" s="18"/>
      <c r="B157" s="20">
        <v>29.44</v>
      </c>
      <c r="C157" s="21">
        <v>74.3</v>
      </c>
      <c r="D157" s="18">
        <v>54</v>
      </c>
      <c r="E157" s="18">
        <v>18</v>
      </c>
      <c r="F157" s="9">
        <v>3</v>
      </c>
      <c r="G157" s="20">
        <v>1.482</v>
      </c>
      <c r="H157" s="18">
        <v>0.05</v>
      </c>
      <c r="I157" s="44">
        <v>1896</v>
      </c>
      <c r="J157" s="44">
        <v>1697</v>
      </c>
      <c r="K157" s="45">
        <f t="shared" si="42"/>
        <v>904.52261306532671</v>
      </c>
      <c r="M157">
        <v>1772</v>
      </c>
      <c r="N157">
        <v>1666</v>
      </c>
      <c r="O157" s="45">
        <f t="shared" si="43"/>
        <v>3.5333333333333335E-2</v>
      </c>
      <c r="P157" s="45">
        <f t="shared" si="44"/>
        <v>2.3584905660377355</v>
      </c>
      <c r="Q157" s="45">
        <f t="shared" si="41"/>
        <v>0.71887666606856115</v>
      </c>
      <c r="R157" s="18">
        <f t="shared" si="46"/>
        <v>1.1707405018073256</v>
      </c>
      <c r="S157">
        <v>2.4015500097901254E-3</v>
      </c>
      <c r="T157" s="10">
        <f t="shared" si="47"/>
        <v>0.67493138457207347</v>
      </c>
      <c r="U157">
        <f>AVERAGE(T140:T157)</f>
        <v>0.67735047612509769</v>
      </c>
      <c r="AG157">
        <f>STDEV(Q140:Q157)</f>
        <v>0.15472225447326571</v>
      </c>
    </row>
    <row r="158" spans="1:33" x14ac:dyDescent="0.2">
      <c r="A158" s="10"/>
      <c r="B158" s="9">
        <v>29.44</v>
      </c>
      <c r="C158" s="12">
        <v>74.5</v>
      </c>
      <c r="D158" s="10">
        <v>55</v>
      </c>
      <c r="E158" s="10">
        <v>19</v>
      </c>
      <c r="F158" s="9">
        <v>4</v>
      </c>
      <c r="G158" s="9">
        <v>2.2829999999999999</v>
      </c>
      <c r="H158" s="10">
        <v>6.6000000000000003E-2</v>
      </c>
      <c r="I158" s="44">
        <v>1440</v>
      </c>
      <c r="J158" s="44">
        <v>1033</v>
      </c>
      <c r="K158" s="45">
        <f t="shared" si="42"/>
        <v>442.26044226044229</v>
      </c>
      <c r="M158">
        <v>1198</v>
      </c>
      <c r="N158">
        <v>1089</v>
      </c>
      <c r="O158" s="45">
        <f t="shared" si="43"/>
        <v>3.6333333333333336E-2</v>
      </c>
      <c r="P158" s="45">
        <f t="shared" si="44"/>
        <v>2.2935779816513757</v>
      </c>
      <c r="Q158" s="45">
        <f t="shared" si="41"/>
        <v>0.69909106975474755</v>
      </c>
      <c r="R158">
        <v>1.1703021617650893</v>
      </c>
      <c r="S158">
        <v>7.0612293728629866E-3</v>
      </c>
      <c r="T158" s="10">
        <f t="shared" si="47"/>
        <v>0.32051530432541331</v>
      </c>
    </row>
    <row r="159" spans="1:33" x14ac:dyDescent="0.2">
      <c r="A159" s="10"/>
      <c r="B159" s="9">
        <v>29.44</v>
      </c>
      <c r="C159" s="12">
        <v>74.5</v>
      </c>
      <c r="D159" s="10">
        <v>56</v>
      </c>
      <c r="E159" s="10">
        <v>19</v>
      </c>
      <c r="F159" s="9">
        <v>4</v>
      </c>
      <c r="G159" s="9">
        <v>2.2829999999999999</v>
      </c>
      <c r="H159" s="10">
        <v>6.6000000000000003E-2</v>
      </c>
      <c r="I159" s="44">
        <v>2180</v>
      </c>
      <c r="J159" s="44">
        <v>1781</v>
      </c>
      <c r="K159" s="45">
        <f t="shared" si="42"/>
        <v>451.12781954887214</v>
      </c>
      <c r="M159">
        <v>1826</v>
      </c>
      <c r="N159">
        <v>1694</v>
      </c>
      <c r="O159" s="45">
        <f t="shared" si="43"/>
        <v>4.3999999999999997E-2</v>
      </c>
      <c r="P159" s="45">
        <f t="shared" si="44"/>
        <v>1.893939393939394</v>
      </c>
      <c r="Q159" s="45">
        <f t="shared" si="41"/>
        <v>0.57727974699445073</v>
      </c>
      <c r="R159">
        <v>1.1703021617650893</v>
      </c>
      <c r="S159">
        <v>7.0612293728629866E-3</v>
      </c>
      <c r="T159" s="10">
        <f t="shared" si="47"/>
        <v>0.47004954655045866</v>
      </c>
    </row>
    <row r="160" spans="1:33" x14ac:dyDescent="0.2">
      <c r="A160" s="10"/>
      <c r="B160" s="9">
        <v>29.44</v>
      </c>
      <c r="C160" s="12">
        <v>74.5</v>
      </c>
      <c r="D160" s="10">
        <v>57</v>
      </c>
      <c r="E160" s="10">
        <v>19</v>
      </c>
      <c r="F160" s="9">
        <v>4</v>
      </c>
      <c r="G160" s="9">
        <v>2.2829999999999999</v>
      </c>
      <c r="H160" s="10">
        <v>6.6000000000000003E-2</v>
      </c>
      <c r="I160" s="44">
        <v>2008</v>
      </c>
      <c r="J160" s="44">
        <v>1526</v>
      </c>
      <c r="K160" s="45">
        <f t="shared" si="42"/>
        <v>373.44398340248961</v>
      </c>
      <c r="M160">
        <v>1517</v>
      </c>
      <c r="N160">
        <v>1443</v>
      </c>
      <c r="O160" s="45">
        <f t="shared" si="43"/>
        <v>2.4666666666666667E-2</v>
      </c>
      <c r="P160" s="45">
        <f t="shared" si="44"/>
        <v>3.3783783783783781</v>
      </c>
      <c r="Q160" s="45">
        <f t="shared" si="41"/>
        <v>1.0297422513955066</v>
      </c>
      <c r="R160">
        <v>1.1703021617650893</v>
      </c>
      <c r="S160">
        <v>7.0612293728629866E-3</v>
      </c>
      <c r="T160" s="10">
        <f t="shared" si="47"/>
        <v>0.14772677438649634</v>
      </c>
    </row>
    <row r="161" spans="1:33" x14ac:dyDescent="0.2">
      <c r="A161" s="18"/>
      <c r="B161" s="20">
        <v>29.44</v>
      </c>
      <c r="C161" s="21">
        <v>74.5</v>
      </c>
      <c r="D161" s="18">
        <v>58</v>
      </c>
      <c r="E161" s="18">
        <v>20</v>
      </c>
      <c r="F161" s="9">
        <v>4</v>
      </c>
      <c r="G161" s="20">
        <v>2.48</v>
      </c>
      <c r="H161" s="18">
        <v>0.253</v>
      </c>
      <c r="I161" s="44">
        <v>1855</v>
      </c>
      <c r="J161" s="44">
        <v>1604</v>
      </c>
      <c r="K161" s="45">
        <f t="shared" si="42"/>
        <v>717.13147410358567</v>
      </c>
      <c r="M161">
        <v>1661</v>
      </c>
      <c r="N161">
        <v>1589</v>
      </c>
      <c r="O161" s="45">
        <f t="shared" si="43"/>
        <v>2.4E-2</v>
      </c>
      <c r="P161" s="45">
        <f t="shared" si="44"/>
        <v>3.4722222222222219</v>
      </c>
      <c r="Q161" s="45">
        <f t="shared" si="41"/>
        <v>1.0583462028231596</v>
      </c>
      <c r="R161">
        <v>1.1703021617650893</v>
      </c>
      <c r="S161">
        <v>8.332433528064568E-3</v>
      </c>
      <c r="T161" s="10">
        <f t="shared" si="47"/>
        <v>0.45430322048828287</v>
      </c>
    </row>
    <row r="162" spans="1:33" x14ac:dyDescent="0.2">
      <c r="A162" s="18"/>
      <c r="B162" s="20">
        <v>29.44</v>
      </c>
      <c r="C162" s="21">
        <v>74.5</v>
      </c>
      <c r="D162" s="18">
        <v>59</v>
      </c>
      <c r="E162" s="18">
        <v>20</v>
      </c>
      <c r="F162" s="9">
        <v>4</v>
      </c>
      <c r="G162" s="20">
        <v>2.48</v>
      </c>
      <c r="H162" s="18">
        <v>0.253</v>
      </c>
      <c r="I162" s="44">
        <v>1759</v>
      </c>
      <c r="J162" s="44">
        <v>1511</v>
      </c>
      <c r="K162" s="45">
        <f t="shared" si="42"/>
        <v>725.80645161290317</v>
      </c>
      <c r="M162">
        <v>1658</v>
      </c>
      <c r="N162">
        <v>1576</v>
      </c>
      <c r="O162" s="45">
        <f t="shared" si="43"/>
        <v>2.7333333333333334E-2</v>
      </c>
      <c r="P162" s="45">
        <f t="shared" si="44"/>
        <v>3.0487804878048776</v>
      </c>
      <c r="Q162" s="45">
        <f t="shared" si="41"/>
        <v>0.92927959272277416</v>
      </c>
      <c r="R162">
        <v>1.1703021617650893</v>
      </c>
      <c r="S162">
        <v>8.332433528064568E-3</v>
      </c>
      <c r="T162" s="10">
        <f t="shared" si="47"/>
        <v>0.58926212472284245</v>
      </c>
    </row>
    <row r="163" spans="1:33" x14ac:dyDescent="0.2">
      <c r="A163" s="18"/>
      <c r="B163" s="20">
        <v>29.44</v>
      </c>
      <c r="C163" s="21">
        <v>74.5</v>
      </c>
      <c r="D163" s="18">
        <v>60</v>
      </c>
      <c r="E163" s="18">
        <v>20</v>
      </c>
      <c r="F163" s="9">
        <v>4</v>
      </c>
      <c r="G163" s="20">
        <v>2.48</v>
      </c>
      <c r="H163" s="18">
        <v>0.253</v>
      </c>
      <c r="I163" s="44">
        <v>1889</v>
      </c>
      <c r="J163" s="44">
        <v>1645</v>
      </c>
      <c r="K163" s="45">
        <f t="shared" si="42"/>
        <v>737.70491803278696</v>
      </c>
      <c r="M163">
        <v>1737</v>
      </c>
      <c r="N163">
        <v>1666</v>
      </c>
      <c r="O163" s="45">
        <f t="shared" si="43"/>
        <v>2.3666666666666666E-2</v>
      </c>
      <c r="P163" s="45">
        <f t="shared" si="44"/>
        <v>3.52112676056338</v>
      </c>
      <c r="Q163" s="45">
        <f t="shared" si="41"/>
        <v>1.0732524873699647</v>
      </c>
      <c r="R163">
        <v>1.1703021617650893</v>
      </c>
      <c r="S163">
        <v>8.332433528064568E-3</v>
      </c>
      <c r="T163" s="10">
        <f t="shared" si="47"/>
        <v>0.44177132223793092</v>
      </c>
    </row>
    <row r="164" spans="1:33" x14ac:dyDescent="0.2">
      <c r="A164" s="10"/>
      <c r="B164" s="9">
        <v>29.44</v>
      </c>
      <c r="C164" s="12">
        <v>74.5</v>
      </c>
      <c r="D164" s="10">
        <v>61</v>
      </c>
      <c r="E164" s="10">
        <v>21</v>
      </c>
      <c r="F164" s="9">
        <v>4</v>
      </c>
      <c r="G164" s="9">
        <v>1.956</v>
      </c>
      <c r="H164" s="10">
        <v>0.214</v>
      </c>
      <c r="I164" s="44">
        <v>1802</v>
      </c>
      <c r="J164" s="44">
        <v>1532</v>
      </c>
      <c r="K164" s="45">
        <f t="shared" si="42"/>
        <v>666.66666666666674</v>
      </c>
      <c r="M164">
        <v>1589</v>
      </c>
      <c r="N164">
        <v>1503</v>
      </c>
      <c r="O164" s="45">
        <f t="shared" si="43"/>
        <v>2.8666666666666667E-2</v>
      </c>
      <c r="P164" s="45">
        <f t="shared" si="44"/>
        <v>2.9069767441860463</v>
      </c>
      <c r="Q164" s="45">
        <f t="shared" si="41"/>
        <v>0.88605728608450562</v>
      </c>
      <c r="R164">
        <v>1.1703021617650893</v>
      </c>
      <c r="S164">
        <v>5.1832982249332138E-3</v>
      </c>
      <c r="T164" s="10">
        <f t="shared" si="47"/>
        <v>0.88132611280757633</v>
      </c>
    </row>
    <row r="165" spans="1:33" x14ac:dyDescent="0.2">
      <c r="A165" s="10"/>
      <c r="B165" s="9">
        <v>29.44</v>
      </c>
      <c r="C165" s="12">
        <v>74.5</v>
      </c>
      <c r="D165" s="10">
        <v>62</v>
      </c>
      <c r="E165" s="10">
        <v>21</v>
      </c>
      <c r="F165" s="9">
        <v>4</v>
      </c>
      <c r="G165" s="9">
        <v>1.956</v>
      </c>
      <c r="H165" s="10">
        <v>0.214</v>
      </c>
      <c r="I165" s="44">
        <v>1180</v>
      </c>
      <c r="J165" s="44">
        <v>933</v>
      </c>
      <c r="K165" s="45">
        <f t="shared" si="42"/>
        <v>728.74493927125513</v>
      </c>
      <c r="M165">
        <v>958</v>
      </c>
      <c r="N165">
        <v>889</v>
      </c>
      <c r="O165" s="45">
        <f t="shared" si="43"/>
        <v>2.3E-2</v>
      </c>
      <c r="P165" s="45">
        <f t="shared" si="44"/>
        <v>3.6231884057971011</v>
      </c>
      <c r="Q165" s="45">
        <f t="shared" si="41"/>
        <v>1.1043612551198185</v>
      </c>
      <c r="R165">
        <v>1.1703021617650893</v>
      </c>
      <c r="S165">
        <v>5.1832982249332138E-3</v>
      </c>
      <c r="T165" s="10">
        <f t="shared" si="47"/>
        <v>0.56733283167615889</v>
      </c>
    </row>
    <row r="166" spans="1:33" x14ac:dyDescent="0.2">
      <c r="A166" s="10"/>
      <c r="B166" s="9">
        <v>29.44</v>
      </c>
      <c r="C166" s="12">
        <v>74.5</v>
      </c>
      <c r="D166" s="10">
        <v>63</v>
      </c>
      <c r="E166" s="10">
        <v>21</v>
      </c>
      <c r="F166" s="9">
        <v>4</v>
      </c>
      <c r="G166" s="9">
        <v>1.956</v>
      </c>
      <c r="H166" s="10">
        <v>0.214</v>
      </c>
      <c r="I166" s="44">
        <v>1726</v>
      </c>
      <c r="J166" s="44">
        <v>1511</v>
      </c>
      <c r="K166" s="45">
        <f t="shared" si="42"/>
        <v>837.20930232558135</v>
      </c>
      <c r="M166">
        <v>1602</v>
      </c>
      <c r="N166">
        <v>1543</v>
      </c>
      <c r="O166" s="45">
        <f t="shared" si="43"/>
        <v>1.9666666666666666E-2</v>
      </c>
      <c r="P166" s="45">
        <f t="shared" si="44"/>
        <v>4.2372881355932206</v>
      </c>
      <c r="Q166" s="45">
        <f t="shared" si="41"/>
        <v>1.2915411288689407</v>
      </c>
      <c r="R166">
        <v>1.1703021617650893</v>
      </c>
      <c r="S166">
        <v>5.1832982249332138E-3</v>
      </c>
      <c r="T166" s="10">
        <f t="shared" si="47"/>
        <v>0.41480478619296535</v>
      </c>
    </row>
    <row r="167" spans="1:33" x14ac:dyDescent="0.2">
      <c r="A167" s="18"/>
      <c r="B167" s="20">
        <v>29.44</v>
      </c>
      <c r="C167" s="21">
        <v>74.7</v>
      </c>
      <c r="D167" s="18">
        <v>64</v>
      </c>
      <c r="E167" s="18">
        <v>22</v>
      </c>
      <c r="F167" s="9">
        <v>4</v>
      </c>
      <c r="G167" s="20">
        <v>2.3570000000000002</v>
      </c>
      <c r="H167" s="18">
        <v>0.26600000000000001</v>
      </c>
      <c r="I167" s="44">
        <v>2366</v>
      </c>
      <c r="J167" s="44">
        <v>2114</v>
      </c>
      <c r="K167" s="45">
        <f t="shared" si="42"/>
        <v>714.28571428571422</v>
      </c>
      <c r="M167">
        <v>2205</v>
      </c>
      <c r="N167">
        <v>2138</v>
      </c>
      <c r="O167" s="45">
        <f t="shared" si="43"/>
        <v>2.2333333333333334E-2</v>
      </c>
      <c r="P167" s="45">
        <f t="shared" si="44"/>
        <v>3.7313432835820892</v>
      </c>
      <c r="Q167" s="45">
        <f t="shared" si="41"/>
        <v>1.1373272627353357</v>
      </c>
      <c r="R167">
        <v>1.1698641498401063</v>
      </c>
      <c r="S167">
        <v>7.5264063330926093E-3</v>
      </c>
      <c r="T167" s="10">
        <f t="shared" si="47"/>
        <v>0.45807681915285842</v>
      </c>
    </row>
    <row r="168" spans="1:33" x14ac:dyDescent="0.2">
      <c r="A168" s="18"/>
      <c r="B168" s="20">
        <v>29.44</v>
      </c>
      <c r="C168" s="21">
        <v>74.7</v>
      </c>
      <c r="D168" s="18">
        <v>65</v>
      </c>
      <c r="E168" s="18">
        <v>22</v>
      </c>
      <c r="F168" s="9">
        <v>4</v>
      </c>
      <c r="G168" s="20">
        <v>2.3570000000000002</v>
      </c>
      <c r="H168" s="18">
        <v>0.26600000000000001</v>
      </c>
      <c r="I168" s="44">
        <v>1718</v>
      </c>
      <c r="J168" s="44">
        <v>1462</v>
      </c>
      <c r="K168" s="45">
        <f t="shared" si="42"/>
        <v>703.125</v>
      </c>
      <c r="M168">
        <v>1491</v>
      </c>
      <c r="N168">
        <v>1432</v>
      </c>
      <c r="O168" s="45">
        <f t="shared" si="43"/>
        <v>1.9666666666666666E-2</v>
      </c>
      <c r="P168" s="45">
        <f t="shared" si="44"/>
        <v>4.2372881355932206</v>
      </c>
      <c r="Q168" s="45">
        <f t="shared" si="41"/>
        <v>1.2915411288689407</v>
      </c>
      <c r="R168">
        <v>1.1698641498401063</v>
      </c>
      <c r="S168">
        <v>7.5264063330926093E-3</v>
      </c>
      <c r="T168" s="10">
        <f t="shared" si="47"/>
        <v>0.35521617453132087</v>
      </c>
    </row>
    <row r="169" spans="1:33" x14ac:dyDescent="0.2">
      <c r="A169" s="18"/>
      <c r="B169" s="20">
        <v>29.44</v>
      </c>
      <c r="C169" s="21">
        <v>74.7</v>
      </c>
      <c r="D169" s="18">
        <v>66</v>
      </c>
      <c r="E169" s="18">
        <v>22</v>
      </c>
      <c r="F169" s="9">
        <v>4</v>
      </c>
      <c r="G169" s="20">
        <v>2.3570000000000002</v>
      </c>
      <c r="H169" s="18">
        <v>0.26600000000000001</v>
      </c>
      <c r="I169" s="44">
        <v>1652</v>
      </c>
      <c r="J169" s="44">
        <v>1414</v>
      </c>
      <c r="K169" s="45">
        <f t="shared" si="42"/>
        <v>756.30252100840335</v>
      </c>
      <c r="M169">
        <v>1489</v>
      </c>
      <c r="N169">
        <v>1440</v>
      </c>
      <c r="O169" s="45">
        <f t="shared" si="43"/>
        <v>1.6333333333333332E-2</v>
      </c>
      <c r="P169" s="45">
        <f t="shared" si="44"/>
        <v>5.1020408163265305</v>
      </c>
      <c r="Q169" s="45">
        <f t="shared" si="41"/>
        <v>1.5551209510870916</v>
      </c>
      <c r="R169">
        <v>1.1698641498401063</v>
      </c>
      <c r="S169">
        <v>7.5264063330926093E-3</v>
      </c>
      <c r="T169" s="10">
        <f t="shared" si="47"/>
        <v>0.24500834100824528</v>
      </c>
    </row>
    <row r="170" spans="1:33" x14ac:dyDescent="0.2">
      <c r="A170" s="33"/>
      <c r="B170" s="34">
        <v>29.44</v>
      </c>
      <c r="C170" s="35">
        <v>74.7</v>
      </c>
      <c r="D170" s="33">
        <v>67</v>
      </c>
      <c r="E170" s="33">
        <v>23</v>
      </c>
      <c r="F170" s="9">
        <v>4</v>
      </c>
      <c r="G170" s="34">
        <v>2.3140000000000001</v>
      </c>
      <c r="H170" s="33">
        <v>0.27</v>
      </c>
      <c r="I170" s="44">
        <v>1503</v>
      </c>
      <c r="J170" s="44">
        <v>1277</v>
      </c>
      <c r="K170" s="45">
        <f t="shared" si="42"/>
        <v>796.46017699115043</v>
      </c>
      <c r="M170">
        <v>1391</v>
      </c>
      <c r="N170">
        <v>1320</v>
      </c>
      <c r="O170" s="45">
        <f t="shared" si="43"/>
        <v>2.3666666666666666E-2</v>
      </c>
      <c r="P170" s="45">
        <f t="shared" si="44"/>
        <v>3.52112676056338</v>
      </c>
      <c r="Q170" s="45">
        <f t="shared" si="41"/>
        <v>1.0732524873699647</v>
      </c>
      <c r="R170">
        <v>1.1698641498401063</v>
      </c>
      <c r="S170">
        <v>7.2542948815752491E-3</v>
      </c>
      <c r="T170" s="10">
        <f t="shared" si="47"/>
        <v>0.54172638721587718</v>
      </c>
    </row>
    <row r="171" spans="1:33" x14ac:dyDescent="0.2">
      <c r="A171" s="33"/>
      <c r="B171" s="34">
        <v>29.44</v>
      </c>
      <c r="C171" s="35">
        <v>74.7</v>
      </c>
      <c r="D171" s="33">
        <v>68</v>
      </c>
      <c r="E171" s="33">
        <v>23</v>
      </c>
      <c r="F171" s="9">
        <v>4</v>
      </c>
      <c r="G171" s="34">
        <v>2.3140000000000001</v>
      </c>
      <c r="H171" s="33">
        <v>0.27</v>
      </c>
      <c r="I171" s="44">
        <v>1683</v>
      </c>
      <c r="J171" s="44">
        <v>1416</v>
      </c>
      <c r="K171" s="45">
        <f t="shared" si="42"/>
        <v>674.15730337078651</v>
      </c>
      <c r="M171">
        <v>1443</v>
      </c>
      <c r="N171">
        <v>1383</v>
      </c>
      <c r="O171" s="45">
        <f t="shared" si="43"/>
        <v>0.02</v>
      </c>
      <c r="P171" s="45">
        <f t="shared" si="44"/>
        <v>4.1666666666666661</v>
      </c>
      <c r="Q171" s="45">
        <f t="shared" si="41"/>
        <v>1.2700154433877913</v>
      </c>
      <c r="R171">
        <v>1.1698641498401063</v>
      </c>
      <c r="S171">
        <v>7.2542948815752491E-3</v>
      </c>
      <c r="T171" s="10">
        <f t="shared" si="47"/>
        <v>0.3868706593884465</v>
      </c>
    </row>
    <row r="172" spans="1:33" x14ac:dyDescent="0.2">
      <c r="A172" s="33"/>
      <c r="B172" s="34">
        <v>29.44</v>
      </c>
      <c r="C172" s="35">
        <v>74.7</v>
      </c>
      <c r="D172" s="33">
        <v>69</v>
      </c>
      <c r="E172" s="33">
        <v>23</v>
      </c>
      <c r="F172" s="9">
        <v>4</v>
      </c>
      <c r="G172" s="34">
        <v>2.3140000000000001</v>
      </c>
      <c r="H172" s="33">
        <v>0.27</v>
      </c>
      <c r="I172" s="44">
        <v>1475</v>
      </c>
      <c r="J172" s="44">
        <v>1255</v>
      </c>
      <c r="K172" s="45">
        <f t="shared" si="42"/>
        <v>818.18181818181813</v>
      </c>
      <c r="M172">
        <v>1355</v>
      </c>
      <c r="N172">
        <v>1293</v>
      </c>
      <c r="O172" s="45">
        <f t="shared" si="43"/>
        <v>2.0666666666666667E-2</v>
      </c>
      <c r="P172" s="45">
        <f t="shared" si="44"/>
        <v>4.032258064516129</v>
      </c>
      <c r="Q172" s="45">
        <f t="shared" si="41"/>
        <v>1.229047203278508</v>
      </c>
      <c r="R172">
        <v>1.1698641498401063</v>
      </c>
      <c r="S172">
        <v>7.2542948815752491E-3</v>
      </c>
      <c r="T172" s="10">
        <f t="shared" si="47"/>
        <v>0.41309189296921878</v>
      </c>
    </row>
    <row r="173" spans="1:33" x14ac:dyDescent="0.2">
      <c r="A173" s="18"/>
      <c r="B173" s="20">
        <v>29.44</v>
      </c>
      <c r="C173" s="21">
        <v>74.7</v>
      </c>
      <c r="D173" s="18">
        <v>70</v>
      </c>
      <c r="E173" s="18">
        <v>24</v>
      </c>
      <c r="F173" s="9">
        <v>4</v>
      </c>
      <c r="G173" s="20">
        <v>2.484</v>
      </c>
      <c r="H173" s="18">
        <v>0.34799999999999998</v>
      </c>
      <c r="I173" s="44">
        <v>1749</v>
      </c>
      <c r="J173" s="44">
        <v>1546</v>
      </c>
      <c r="K173" s="45">
        <f t="shared" ref="K173:K193" si="48">60/(1*((I173-J173)/$J$3))</f>
        <v>886.69950738916259</v>
      </c>
      <c r="M173">
        <v>1603</v>
      </c>
      <c r="N173">
        <v>1546</v>
      </c>
      <c r="O173" s="45">
        <f t="shared" ref="O173:O193" si="49">(M173-N173)/$J$3</f>
        <v>1.9E-2</v>
      </c>
      <c r="P173" s="45">
        <f t="shared" ref="P173:P178" si="50">(1/12)/O173</f>
        <v>4.3859649122807012</v>
      </c>
      <c r="Q173" s="45">
        <f t="shared" ref="Q173:Q178" si="51">P173/3.2808</f>
        <v>1.3368583614608329</v>
      </c>
      <c r="R173">
        <v>1.1698641498401063</v>
      </c>
      <c r="S173">
        <v>8.3593340223630276E-3</v>
      </c>
      <c r="T173" s="10">
        <f t="shared" si="47"/>
        <v>0.39052784982202615</v>
      </c>
    </row>
    <row r="174" spans="1:33" x14ac:dyDescent="0.2">
      <c r="A174" s="18"/>
      <c r="B174" s="20">
        <v>29.44</v>
      </c>
      <c r="C174" s="21">
        <v>74.7</v>
      </c>
      <c r="D174" s="18">
        <v>71</v>
      </c>
      <c r="E174" s="18">
        <v>24</v>
      </c>
      <c r="F174" s="9">
        <v>4</v>
      </c>
      <c r="G174" s="20">
        <v>2.484</v>
      </c>
      <c r="H174" s="18">
        <v>0.34799999999999998</v>
      </c>
      <c r="I174" s="44">
        <v>1698</v>
      </c>
      <c r="J174" s="44">
        <v>1488</v>
      </c>
      <c r="K174" s="45">
        <f t="shared" si="48"/>
        <v>857.14285714285711</v>
      </c>
      <c r="M174">
        <v>1558</v>
      </c>
      <c r="N174">
        <v>1484</v>
      </c>
      <c r="O174" s="45">
        <f t="shared" si="49"/>
        <v>2.4666666666666667E-2</v>
      </c>
      <c r="P174" s="45">
        <f t="shared" si="50"/>
        <v>3.3783783783783781</v>
      </c>
      <c r="Q174" s="45">
        <f t="shared" si="51"/>
        <v>1.0297422513955066</v>
      </c>
      <c r="R174">
        <v>1.1698641498401063</v>
      </c>
      <c r="S174">
        <v>8.3593340223630276E-3</v>
      </c>
      <c r="T174" s="10">
        <f t="shared" si="47"/>
        <v>0.65821191308877047</v>
      </c>
    </row>
    <row r="175" spans="1:33" x14ac:dyDescent="0.2">
      <c r="A175" s="18"/>
      <c r="B175" s="20">
        <v>29.44</v>
      </c>
      <c r="C175" s="21">
        <v>74.7</v>
      </c>
      <c r="D175" s="18">
        <v>72</v>
      </c>
      <c r="E175" s="18">
        <v>24</v>
      </c>
      <c r="F175" s="9">
        <v>4</v>
      </c>
      <c r="G175" s="20">
        <v>2.484</v>
      </c>
      <c r="H175" s="18">
        <v>0.34799999999999998</v>
      </c>
      <c r="I175" s="44">
        <v>1734</v>
      </c>
      <c r="J175" s="44">
        <v>1515</v>
      </c>
      <c r="K175" s="45">
        <f t="shared" si="48"/>
        <v>821.91780821917814</v>
      </c>
      <c r="M175">
        <v>1530</v>
      </c>
      <c r="N175">
        <v>1481</v>
      </c>
      <c r="O175" s="45">
        <f t="shared" si="49"/>
        <v>1.6333333333333332E-2</v>
      </c>
      <c r="P175" s="45">
        <f t="shared" si="50"/>
        <v>5.1020408163265305</v>
      </c>
      <c r="Q175" s="45">
        <f t="shared" si="51"/>
        <v>1.5551209510870916</v>
      </c>
      <c r="R175">
        <v>1.1698641498401063</v>
      </c>
      <c r="S175">
        <v>8.3593340223630276E-3</v>
      </c>
      <c r="T175" s="10">
        <f t="shared" si="47"/>
        <v>0.28859875882507996</v>
      </c>
      <c r="U175">
        <f>AVERAGE(T158:T175)</f>
        <v>0.44580115663277603</v>
      </c>
      <c r="AG175">
        <f>STDEV(Q158:Q175)</f>
        <v>0.25514687092008181</v>
      </c>
    </row>
    <row r="176" spans="1:33" x14ac:dyDescent="0.2">
      <c r="A176" s="33"/>
      <c r="B176" s="34">
        <v>29.44</v>
      </c>
      <c r="C176" s="35">
        <v>74.7</v>
      </c>
      <c r="D176" s="33">
        <v>73</v>
      </c>
      <c r="E176" s="33">
        <v>25</v>
      </c>
      <c r="F176" s="34">
        <v>5</v>
      </c>
      <c r="G176" s="34">
        <v>0.999</v>
      </c>
      <c r="H176" s="33">
        <v>0.03</v>
      </c>
      <c r="I176" s="44">
        <v>1079</v>
      </c>
      <c r="J176" s="44">
        <v>964</v>
      </c>
      <c r="K176" s="45">
        <f t="shared" si="48"/>
        <v>1565.217391304348</v>
      </c>
      <c r="M176">
        <v>1044</v>
      </c>
      <c r="N176">
        <v>956</v>
      </c>
      <c r="O176" s="45">
        <f t="shared" si="49"/>
        <v>2.9333333333333333E-2</v>
      </c>
      <c r="P176" s="45">
        <f t="shared" si="50"/>
        <v>2.8409090909090908</v>
      </c>
      <c r="Q176" s="45">
        <f t="shared" si="51"/>
        <v>0.86591962049167603</v>
      </c>
      <c r="R176" s="33">
        <f t="shared" ref="R176:R193" si="52">(B176*$O$2)/($O$3*((C176-32)*(5/9)+273.15))</f>
        <v>1.1698641498401063</v>
      </c>
      <c r="S176" s="36">
        <f t="shared" ref="S176:S193" si="53">PI()*((1-L176)*((G176/12)/3.2808))^2</f>
        <v>2.022827478252292E-3</v>
      </c>
      <c r="T176" s="10">
        <f t="shared" si="47"/>
        <v>0.33160608297477467</v>
      </c>
    </row>
    <row r="177" spans="1:20" x14ac:dyDescent="0.2">
      <c r="A177" s="33"/>
      <c r="B177" s="34">
        <v>29.44</v>
      </c>
      <c r="C177" s="35">
        <v>74.7</v>
      </c>
      <c r="D177" s="33">
        <v>74</v>
      </c>
      <c r="E177" s="33">
        <v>25</v>
      </c>
      <c r="F177" s="34">
        <v>5</v>
      </c>
      <c r="G177" s="34">
        <v>0.999</v>
      </c>
      <c r="H177" s="33">
        <v>0.03</v>
      </c>
      <c r="I177" s="44">
        <v>1552</v>
      </c>
      <c r="J177" s="44">
        <v>1442</v>
      </c>
      <c r="K177" s="45">
        <f t="shared" si="48"/>
        <v>1636.3636363636363</v>
      </c>
      <c r="M177">
        <v>1550</v>
      </c>
      <c r="N177">
        <v>1452</v>
      </c>
      <c r="O177" s="45">
        <f t="shared" si="49"/>
        <v>3.2666666666666663E-2</v>
      </c>
      <c r="P177" s="45">
        <f t="shared" si="50"/>
        <v>2.5510204081632653</v>
      </c>
      <c r="Q177" s="45">
        <f t="shared" si="51"/>
        <v>0.77756047554354579</v>
      </c>
      <c r="R177" s="33">
        <f t="shared" si="52"/>
        <v>1.1698641498401063</v>
      </c>
      <c r="S177" s="36">
        <f t="shared" si="53"/>
        <v>2.022827478252292E-3</v>
      </c>
      <c r="T177" s="10">
        <f t="shared" si="47"/>
        <v>0.41125320517687708</v>
      </c>
    </row>
    <row r="178" spans="1:20" x14ac:dyDescent="0.2">
      <c r="A178" s="33"/>
      <c r="B178" s="34">
        <v>29.44</v>
      </c>
      <c r="C178" s="35">
        <v>74.7</v>
      </c>
      <c r="D178" s="33">
        <v>75</v>
      </c>
      <c r="E178" s="33">
        <v>25</v>
      </c>
      <c r="F178" s="34">
        <v>5</v>
      </c>
      <c r="G178" s="34">
        <v>0.999</v>
      </c>
      <c r="H178" s="33">
        <v>0.03</v>
      </c>
      <c r="I178" s="44">
        <v>1427</v>
      </c>
      <c r="J178" s="44">
        <v>1286</v>
      </c>
      <c r="K178" s="45">
        <f t="shared" si="48"/>
        <v>1276.5957446808511</v>
      </c>
      <c r="M178">
        <v>1402</v>
      </c>
      <c r="N178">
        <v>1319</v>
      </c>
      <c r="O178" s="45">
        <f t="shared" si="49"/>
        <v>2.7666666666666666E-2</v>
      </c>
      <c r="P178" s="45">
        <f t="shared" si="50"/>
        <v>3.012048192771084</v>
      </c>
      <c r="Q178" s="45">
        <f t="shared" si="51"/>
        <v>0.91808345305141548</v>
      </c>
      <c r="R178" s="33">
        <f t="shared" si="52"/>
        <v>1.1698641498401063</v>
      </c>
      <c r="S178" s="36">
        <f t="shared" si="53"/>
        <v>2.022827478252292E-3</v>
      </c>
      <c r="T178" s="10">
        <f t="shared" si="47"/>
        <v>0.29499409938187282</v>
      </c>
    </row>
    <row r="179" spans="1:20" x14ac:dyDescent="0.2">
      <c r="A179" s="18"/>
      <c r="B179" s="20">
        <v>29.44</v>
      </c>
      <c r="C179" s="21">
        <v>74.7</v>
      </c>
      <c r="D179" s="18">
        <v>76</v>
      </c>
      <c r="E179" s="18">
        <v>26</v>
      </c>
      <c r="F179" s="34">
        <v>5</v>
      </c>
      <c r="G179" s="20">
        <v>0.96099999999999997</v>
      </c>
      <c r="H179" s="18">
        <v>0.03</v>
      </c>
      <c r="I179" s="44">
        <v>1535</v>
      </c>
      <c r="J179" s="44">
        <v>1436</v>
      </c>
      <c r="K179" s="45">
        <f t="shared" si="48"/>
        <v>1818.181818181818</v>
      </c>
      <c r="M179">
        <v>1510</v>
      </c>
      <c r="N179">
        <v>1430</v>
      </c>
      <c r="O179" s="45">
        <f t="shared" si="49"/>
        <v>2.6666666666666668E-2</v>
      </c>
      <c r="P179" s="45">
        <f t="shared" ref="P179:P211" si="54">(1/12)/O179</f>
        <v>3.1249999999999996</v>
      </c>
      <c r="Q179" s="45">
        <f t="shared" ref="Q179:Q210" si="55">P179/3.2808</f>
        <v>0.95251158254084356</v>
      </c>
      <c r="R179" s="18">
        <f t="shared" si="52"/>
        <v>1.1698641498401063</v>
      </c>
      <c r="S179" s="31">
        <f t="shared" si="53"/>
        <v>1.8718655147069334E-3</v>
      </c>
      <c r="T179" s="10">
        <f t="shared" si="47"/>
        <v>0.29615653445378726</v>
      </c>
    </row>
    <row r="180" spans="1:20" x14ac:dyDescent="0.2">
      <c r="A180" s="18"/>
      <c r="B180" s="20">
        <v>29.44</v>
      </c>
      <c r="C180" s="21">
        <v>74.7</v>
      </c>
      <c r="D180" s="18">
        <v>77</v>
      </c>
      <c r="E180" s="18">
        <v>26</v>
      </c>
      <c r="F180" s="34">
        <v>5</v>
      </c>
      <c r="G180" s="20">
        <v>0.96099999999999997</v>
      </c>
      <c r="H180" s="18">
        <v>0.03</v>
      </c>
      <c r="I180" s="44">
        <v>1027</v>
      </c>
      <c r="J180" s="44">
        <v>919</v>
      </c>
      <c r="K180" s="45">
        <f t="shared" si="48"/>
        <v>1666.6666666666667</v>
      </c>
      <c r="M180">
        <v>991</v>
      </c>
      <c r="N180">
        <v>910</v>
      </c>
      <c r="O180" s="45">
        <f t="shared" si="49"/>
        <v>2.7E-2</v>
      </c>
      <c r="P180" s="45">
        <f t="shared" si="54"/>
        <v>3.0864197530864197</v>
      </c>
      <c r="Q180" s="45">
        <f t="shared" si="55"/>
        <v>0.94075218028725294</v>
      </c>
      <c r="R180" s="18">
        <f t="shared" si="52"/>
        <v>1.1698641498401063</v>
      </c>
      <c r="S180" s="31">
        <f t="shared" si="53"/>
        <v>1.8718655147069334E-3</v>
      </c>
      <c r="T180" s="10">
        <f t="shared" si="47"/>
        <v>0.30360672227364038</v>
      </c>
    </row>
    <row r="181" spans="1:20" x14ac:dyDescent="0.2">
      <c r="A181" s="18"/>
      <c r="B181" s="20">
        <v>29.44</v>
      </c>
      <c r="C181" s="21">
        <v>74.7</v>
      </c>
      <c r="D181" s="18">
        <v>78</v>
      </c>
      <c r="E181" s="18">
        <v>26</v>
      </c>
      <c r="F181" s="34">
        <v>5</v>
      </c>
      <c r="G181" s="20">
        <v>0.96099999999999997</v>
      </c>
      <c r="H181" s="18">
        <v>0.03</v>
      </c>
      <c r="I181" s="44">
        <v>1673</v>
      </c>
      <c r="J181" s="44">
        <v>1566</v>
      </c>
      <c r="K181" s="45">
        <f t="shared" si="48"/>
        <v>1682.2429906542056</v>
      </c>
      <c r="M181">
        <v>1632</v>
      </c>
      <c r="N181">
        <v>1560</v>
      </c>
      <c r="O181" s="45">
        <f t="shared" si="49"/>
        <v>2.4E-2</v>
      </c>
      <c r="P181" s="45">
        <f t="shared" si="54"/>
        <v>3.4722222222222219</v>
      </c>
      <c r="Q181" s="45">
        <f t="shared" si="55"/>
        <v>1.0583462028231596</v>
      </c>
      <c r="R181" s="18">
        <f t="shared" si="52"/>
        <v>1.1698641498401063</v>
      </c>
      <c r="S181" s="31">
        <f t="shared" si="53"/>
        <v>1.8718655147069334E-3</v>
      </c>
      <c r="T181" s="10">
        <f t="shared" si="47"/>
        <v>0.23988679290756765</v>
      </c>
    </row>
    <row r="182" spans="1:20" x14ac:dyDescent="0.2">
      <c r="A182" s="33"/>
      <c r="B182" s="34">
        <v>29.44</v>
      </c>
      <c r="C182" s="35">
        <v>74.8</v>
      </c>
      <c r="D182" s="33">
        <v>79</v>
      </c>
      <c r="E182" s="33">
        <v>27</v>
      </c>
      <c r="F182" s="34">
        <v>5</v>
      </c>
      <c r="G182" s="34">
        <v>0.89600000000000002</v>
      </c>
      <c r="H182" s="33">
        <v>2.9000000000000001E-2</v>
      </c>
      <c r="I182" s="44">
        <v>1765</v>
      </c>
      <c r="J182" s="44">
        <v>1664</v>
      </c>
      <c r="K182" s="45">
        <f t="shared" si="48"/>
        <v>1782.1782178217823</v>
      </c>
      <c r="M182">
        <v>1774</v>
      </c>
      <c r="N182">
        <v>1678</v>
      </c>
      <c r="O182" s="45">
        <f t="shared" si="49"/>
        <v>3.2000000000000001E-2</v>
      </c>
      <c r="P182" s="45">
        <f t="shared" si="54"/>
        <v>2.6041666666666665</v>
      </c>
      <c r="Q182" s="45">
        <f t="shared" si="55"/>
        <v>0.79375965211736965</v>
      </c>
      <c r="R182" s="33">
        <f t="shared" si="52"/>
        <v>1.1696452668064767</v>
      </c>
      <c r="S182" s="36">
        <f t="shared" si="53"/>
        <v>1.62721105968891E-3</v>
      </c>
      <c r="T182" s="10">
        <f t="shared" si="47"/>
        <v>0.47432124291234634</v>
      </c>
    </row>
    <row r="183" spans="1:20" x14ac:dyDescent="0.2">
      <c r="A183" s="33"/>
      <c r="B183" s="34">
        <v>29.44</v>
      </c>
      <c r="C183" s="35">
        <v>74.8</v>
      </c>
      <c r="D183" s="33">
        <v>80</v>
      </c>
      <c r="E183" s="33">
        <v>27</v>
      </c>
      <c r="F183" s="34">
        <v>5</v>
      </c>
      <c r="G183" s="34">
        <v>0.89600000000000002</v>
      </c>
      <c r="H183" s="33">
        <v>2.9000000000000001E-2</v>
      </c>
      <c r="I183" s="44">
        <v>1057</v>
      </c>
      <c r="J183" s="44">
        <v>962</v>
      </c>
      <c r="K183" s="45">
        <f t="shared" si="48"/>
        <v>1894.7368421052629</v>
      </c>
      <c r="M183">
        <v>1088</v>
      </c>
      <c r="N183">
        <v>994</v>
      </c>
      <c r="O183" s="45">
        <f t="shared" si="49"/>
        <v>3.1333333333333331E-2</v>
      </c>
      <c r="P183" s="45">
        <f t="shared" si="54"/>
        <v>2.6595744680851063</v>
      </c>
      <c r="Q183" s="45">
        <f t="shared" si="55"/>
        <v>0.81064815535390944</v>
      </c>
      <c r="R183" s="33">
        <f t="shared" si="52"/>
        <v>1.1696452668064767</v>
      </c>
      <c r="S183" s="36">
        <f t="shared" si="53"/>
        <v>1.62721105968891E-3</v>
      </c>
      <c r="T183" s="10">
        <f t="shared" si="47"/>
        <v>0.45476372638601253</v>
      </c>
    </row>
    <row r="184" spans="1:20" x14ac:dyDescent="0.2">
      <c r="A184" s="33"/>
      <c r="B184" s="34">
        <v>29.44</v>
      </c>
      <c r="C184" s="35">
        <v>74.8</v>
      </c>
      <c r="D184" s="33">
        <v>81</v>
      </c>
      <c r="E184" s="33">
        <v>27</v>
      </c>
      <c r="F184" s="34">
        <v>5</v>
      </c>
      <c r="G184" s="34">
        <v>0.89600000000000002</v>
      </c>
      <c r="H184" s="33">
        <v>2.9000000000000001E-2</v>
      </c>
      <c r="I184" s="44">
        <v>1200</v>
      </c>
      <c r="J184" s="44">
        <v>1110</v>
      </c>
      <c r="K184" s="45">
        <f t="shared" si="48"/>
        <v>2000</v>
      </c>
      <c r="M184">
        <v>1220</v>
      </c>
      <c r="N184">
        <v>1137</v>
      </c>
      <c r="O184" s="45">
        <f t="shared" si="49"/>
        <v>2.7666666666666666E-2</v>
      </c>
      <c r="P184" s="45">
        <f t="shared" si="54"/>
        <v>3.012048192771084</v>
      </c>
      <c r="Q184" s="45">
        <f t="shared" si="55"/>
        <v>0.91808345305141548</v>
      </c>
      <c r="R184" s="33">
        <f t="shared" si="52"/>
        <v>1.1696452668064767</v>
      </c>
      <c r="S184" s="36">
        <f t="shared" si="53"/>
        <v>1.62721105968891E-3</v>
      </c>
      <c r="T184" s="10">
        <f t="shared" si="47"/>
        <v>0.35455718776292899</v>
      </c>
    </row>
    <row r="185" spans="1:20" x14ac:dyDescent="0.2">
      <c r="A185" s="18"/>
      <c r="B185" s="20">
        <v>29.44</v>
      </c>
      <c r="C185" s="21">
        <v>74.8</v>
      </c>
      <c r="D185" s="18">
        <v>82</v>
      </c>
      <c r="E185" s="18">
        <v>28</v>
      </c>
      <c r="F185" s="34">
        <v>5</v>
      </c>
      <c r="G185" s="20">
        <v>0.98299999999999998</v>
      </c>
      <c r="H185" s="18">
        <v>3.9E-2</v>
      </c>
      <c r="I185" s="44">
        <v>1384</v>
      </c>
      <c r="J185" s="44">
        <v>1254</v>
      </c>
      <c r="K185" s="45">
        <f t="shared" si="48"/>
        <v>1384.6153846153845</v>
      </c>
      <c r="M185">
        <v>1412</v>
      </c>
      <c r="N185">
        <v>1300</v>
      </c>
      <c r="O185" s="45">
        <f t="shared" si="49"/>
        <v>3.7333333333333336E-2</v>
      </c>
      <c r="P185" s="45">
        <f t="shared" si="54"/>
        <v>2.2321428571428568</v>
      </c>
      <c r="Q185" s="45">
        <f t="shared" si="55"/>
        <v>0.68036541610060253</v>
      </c>
      <c r="R185" s="18">
        <f t="shared" si="52"/>
        <v>1.1696452668064767</v>
      </c>
      <c r="S185" s="31">
        <f t="shared" si="53"/>
        <v>1.9585510847513468E-3</v>
      </c>
      <c r="T185" s="10">
        <f t="shared" si="47"/>
        <v>0.72134287660726693</v>
      </c>
    </row>
    <row r="186" spans="1:20" x14ac:dyDescent="0.2">
      <c r="A186" s="18"/>
      <c r="B186" s="20">
        <v>29.44</v>
      </c>
      <c r="C186" s="21">
        <v>74.8</v>
      </c>
      <c r="D186" s="18">
        <v>83</v>
      </c>
      <c r="E186" s="18">
        <v>28</v>
      </c>
      <c r="F186" s="34">
        <v>5</v>
      </c>
      <c r="G186" s="20">
        <v>0.98299999999999998</v>
      </c>
      <c r="H186" s="18">
        <v>3.9E-2</v>
      </c>
      <c r="I186" s="44">
        <v>994</v>
      </c>
      <c r="J186" s="44">
        <v>876</v>
      </c>
      <c r="K186" s="45">
        <f t="shared" si="48"/>
        <v>1525.4237288135594</v>
      </c>
      <c r="M186">
        <v>917</v>
      </c>
      <c r="N186">
        <v>840</v>
      </c>
      <c r="O186" s="45">
        <f t="shared" si="49"/>
        <v>2.5666666666666667E-2</v>
      </c>
      <c r="P186" s="45">
        <f t="shared" si="54"/>
        <v>3.2467532467532463</v>
      </c>
      <c r="Q186" s="45">
        <f t="shared" si="55"/>
        <v>0.98962242341905815</v>
      </c>
      <c r="R186" s="18">
        <f t="shared" si="52"/>
        <v>1.1696452668064767</v>
      </c>
      <c r="S186" s="31">
        <f t="shared" si="53"/>
        <v>1.9585510847513468E-3</v>
      </c>
      <c r="T186" s="10">
        <f t="shared" si="47"/>
        <v>0.34094721902140357</v>
      </c>
    </row>
    <row r="187" spans="1:20" x14ac:dyDescent="0.2">
      <c r="A187" s="18"/>
      <c r="B187" s="20">
        <v>29.44</v>
      </c>
      <c r="C187" s="21">
        <v>74.8</v>
      </c>
      <c r="D187" s="18">
        <v>84</v>
      </c>
      <c r="E187" s="18">
        <v>28</v>
      </c>
      <c r="F187" s="34">
        <v>5</v>
      </c>
      <c r="G187" s="20">
        <v>0.98299999999999998</v>
      </c>
      <c r="H187" s="18">
        <v>3.9E-2</v>
      </c>
      <c r="I187" s="44">
        <v>1327</v>
      </c>
      <c r="J187" s="44">
        <v>1207</v>
      </c>
      <c r="K187" s="45">
        <f t="shared" si="48"/>
        <v>1500</v>
      </c>
      <c r="M187">
        <v>1277</v>
      </c>
      <c r="N187">
        <v>1192</v>
      </c>
      <c r="O187" s="45">
        <f t="shared" si="49"/>
        <v>2.8333333333333332E-2</v>
      </c>
      <c r="P187" s="45">
        <f t="shared" si="54"/>
        <v>2.9411764705882351</v>
      </c>
      <c r="Q187" s="45">
        <f t="shared" si="55"/>
        <v>0.89648148945020567</v>
      </c>
      <c r="R187" s="18">
        <f t="shared" si="52"/>
        <v>1.1696452668064767</v>
      </c>
      <c r="S187" s="31">
        <f t="shared" si="53"/>
        <v>1.9585510847513468E-3</v>
      </c>
      <c r="T187" s="10">
        <f t="shared" si="47"/>
        <v>0.41547371520149107</v>
      </c>
    </row>
    <row r="188" spans="1:20" x14ac:dyDescent="0.2">
      <c r="A188" s="33"/>
      <c r="B188" s="34">
        <v>29.44</v>
      </c>
      <c r="C188" s="35">
        <v>74.8</v>
      </c>
      <c r="D188" s="33">
        <v>85</v>
      </c>
      <c r="E188" s="33">
        <v>29</v>
      </c>
      <c r="F188" s="34">
        <v>5</v>
      </c>
      <c r="G188" s="34">
        <v>0.90200000000000002</v>
      </c>
      <c r="H188" s="33">
        <v>0.03</v>
      </c>
      <c r="I188" s="44">
        <v>753</v>
      </c>
      <c r="J188" s="44">
        <v>641</v>
      </c>
      <c r="K188" s="45">
        <f t="shared" si="48"/>
        <v>1607.1428571428571</v>
      </c>
      <c r="M188">
        <v>766</v>
      </c>
      <c r="N188">
        <v>671</v>
      </c>
      <c r="O188" s="45">
        <f t="shared" si="49"/>
        <v>3.1666666666666669E-2</v>
      </c>
      <c r="P188" s="45">
        <f t="shared" si="54"/>
        <v>2.6315789473684208</v>
      </c>
      <c r="Q188" s="45">
        <f t="shared" si="55"/>
        <v>0.80211501687649989</v>
      </c>
      <c r="R188" s="33">
        <f t="shared" si="52"/>
        <v>1.1696452668064767</v>
      </c>
      <c r="S188" s="36">
        <f t="shared" si="53"/>
        <v>1.6490770326041536E-3</v>
      </c>
      <c r="T188" s="10">
        <f t="shared" si="47"/>
        <v>0.47413664349667745</v>
      </c>
    </row>
    <row r="189" spans="1:20" x14ac:dyDescent="0.2">
      <c r="A189" s="33"/>
      <c r="B189" s="34">
        <v>29.44</v>
      </c>
      <c r="C189" s="35">
        <v>74.8</v>
      </c>
      <c r="D189" s="33">
        <v>86</v>
      </c>
      <c r="E189" s="33">
        <v>29</v>
      </c>
      <c r="F189" s="34">
        <v>5</v>
      </c>
      <c r="G189" s="34">
        <v>0.90200000000000002</v>
      </c>
      <c r="H189" s="33">
        <v>0.03</v>
      </c>
      <c r="I189" s="44">
        <v>691</v>
      </c>
      <c r="J189" s="44">
        <v>584</v>
      </c>
      <c r="K189" s="45">
        <f t="shared" si="48"/>
        <v>1682.2429906542056</v>
      </c>
      <c r="M189">
        <v>651</v>
      </c>
      <c r="N189">
        <v>564</v>
      </c>
      <c r="O189" s="45">
        <f t="shared" si="49"/>
        <v>2.9000000000000001E-2</v>
      </c>
      <c r="P189" s="45">
        <f t="shared" si="54"/>
        <v>2.8735632183908044</v>
      </c>
      <c r="Q189" s="45">
        <f t="shared" si="55"/>
        <v>0.87587271957778723</v>
      </c>
      <c r="R189" s="33">
        <f t="shared" si="52"/>
        <v>1.1696452668064767</v>
      </c>
      <c r="S189" s="36">
        <f t="shared" si="53"/>
        <v>1.6490770326041536E-3</v>
      </c>
      <c r="T189" s="10">
        <f t="shared" si="47"/>
        <v>0.39764434954308608</v>
      </c>
    </row>
    <row r="190" spans="1:20" x14ac:dyDescent="0.2">
      <c r="A190" s="33"/>
      <c r="B190" s="34">
        <v>29.44</v>
      </c>
      <c r="C190" s="35">
        <v>74.8</v>
      </c>
      <c r="D190" s="33">
        <v>87</v>
      </c>
      <c r="E190" s="33">
        <v>29</v>
      </c>
      <c r="F190" s="34">
        <v>5</v>
      </c>
      <c r="G190" s="34">
        <v>0.90200000000000002</v>
      </c>
      <c r="H190" s="33">
        <v>0.03</v>
      </c>
      <c r="I190" s="44">
        <v>1182</v>
      </c>
      <c r="J190" s="44">
        <v>1082</v>
      </c>
      <c r="K190" s="45">
        <f t="shared" si="48"/>
        <v>1800</v>
      </c>
      <c r="M190">
        <v>1160</v>
      </c>
      <c r="N190">
        <v>1058</v>
      </c>
      <c r="O190" s="45">
        <f t="shared" si="49"/>
        <v>3.4000000000000002E-2</v>
      </c>
      <c r="P190" s="45">
        <f t="shared" si="54"/>
        <v>2.4509803921568625</v>
      </c>
      <c r="Q190" s="45">
        <f t="shared" si="55"/>
        <v>0.74706790787517141</v>
      </c>
      <c r="R190" s="33">
        <f t="shared" si="52"/>
        <v>1.1696452668064767</v>
      </c>
      <c r="S190" s="36">
        <f t="shared" si="53"/>
        <v>1.6490770326041536E-3</v>
      </c>
      <c r="T190" s="10">
        <f t="shared" si="47"/>
        <v>0.54658367190464641</v>
      </c>
    </row>
    <row r="191" spans="1:20" x14ac:dyDescent="0.2">
      <c r="A191" s="18"/>
      <c r="B191" s="20">
        <v>29.41</v>
      </c>
      <c r="C191" s="21">
        <v>74.8</v>
      </c>
      <c r="D191" s="18">
        <v>88</v>
      </c>
      <c r="E191" s="18">
        <v>30</v>
      </c>
      <c r="F191" s="34">
        <v>5</v>
      </c>
      <c r="G191" s="20">
        <v>0.94799999999999995</v>
      </c>
      <c r="H191" s="18">
        <v>2.9000000000000001E-2</v>
      </c>
      <c r="I191" s="44">
        <v>1121</v>
      </c>
      <c r="J191" s="44">
        <v>999</v>
      </c>
      <c r="K191" s="45">
        <f t="shared" si="48"/>
        <v>1475.4098360655739</v>
      </c>
      <c r="M191">
        <v>1081</v>
      </c>
      <c r="N191">
        <v>992</v>
      </c>
      <c r="O191" s="45">
        <f t="shared" si="49"/>
        <v>2.9666666666666668E-2</v>
      </c>
      <c r="P191" s="45">
        <f t="shared" si="54"/>
        <v>2.8089887640449436</v>
      </c>
      <c r="Q191" s="45">
        <f t="shared" si="55"/>
        <v>0.85619018655356727</v>
      </c>
      <c r="R191" s="18">
        <f t="shared" si="52"/>
        <v>1.1684533728525299</v>
      </c>
      <c r="S191" s="31">
        <f t="shared" si="53"/>
        <v>1.8215644533575094E-3</v>
      </c>
      <c r="T191" s="10">
        <f t="shared" si="47"/>
        <v>0.36454592538009972</v>
      </c>
    </row>
    <row r="192" spans="1:20" x14ac:dyDescent="0.2">
      <c r="A192" s="18"/>
      <c r="B192" s="20">
        <v>29.41</v>
      </c>
      <c r="C192" s="21">
        <v>74.8</v>
      </c>
      <c r="D192" s="18">
        <v>89</v>
      </c>
      <c r="E192" s="18">
        <v>30</v>
      </c>
      <c r="F192" s="34">
        <v>5</v>
      </c>
      <c r="G192" s="20">
        <v>0.94799999999999995</v>
      </c>
      <c r="H192" s="18">
        <v>2.9000000000000001E-2</v>
      </c>
      <c r="I192" s="44">
        <v>1383</v>
      </c>
      <c r="J192" s="44">
        <v>1269</v>
      </c>
      <c r="K192" s="45">
        <f t="shared" si="48"/>
        <v>1578.9473684210527</v>
      </c>
      <c r="M192">
        <v>1378</v>
      </c>
      <c r="N192">
        <v>1290</v>
      </c>
      <c r="O192" s="45">
        <f t="shared" si="49"/>
        <v>2.9333333333333333E-2</v>
      </c>
      <c r="P192" s="45">
        <f t="shared" si="54"/>
        <v>2.8409090909090908</v>
      </c>
      <c r="Q192" s="45">
        <f t="shared" si="55"/>
        <v>0.86591962049167603</v>
      </c>
      <c r="R192" s="18">
        <f t="shared" si="52"/>
        <v>1.1684533728525299</v>
      </c>
      <c r="S192" s="31">
        <f t="shared" si="53"/>
        <v>1.8215644533575094E-3</v>
      </c>
      <c r="T192" s="10">
        <f t="shared" si="47"/>
        <v>0.35639990482811412</v>
      </c>
    </row>
    <row r="193" spans="1:33" x14ac:dyDescent="0.2">
      <c r="A193" s="18"/>
      <c r="B193" s="20">
        <v>29.41</v>
      </c>
      <c r="C193" s="21">
        <v>74.8</v>
      </c>
      <c r="D193" s="18">
        <v>90</v>
      </c>
      <c r="E193" s="18">
        <v>30</v>
      </c>
      <c r="F193" s="34">
        <v>5</v>
      </c>
      <c r="G193" s="20">
        <v>0.94799999999999995</v>
      </c>
      <c r="H193" s="18">
        <v>2.9000000000000001E-2</v>
      </c>
      <c r="I193" s="44">
        <v>1233</v>
      </c>
      <c r="J193" s="44">
        <v>1118</v>
      </c>
      <c r="K193" s="45">
        <f t="shared" si="48"/>
        <v>1565.217391304348</v>
      </c>
      <c r="M193">
        <v>1224</v>
      </c>
      <c r="N193">
        <v>1120</v>
      </c>
      <c r="O193" s="45">
        <f t="shared" si="49"/>
        <v>3.4666666666666665E-2</v>
      </c>
      <c r="P193" s="45">
        <f t="shared" si="54"/>
        <v>2.4038461538461537</v>
      </c>
      <c r="Q193" s="45">
        <f t="shared" si="55"/>
        <v>0.73270121733911042</v>
      </c>
      <c r="R193" s="18">
        <f t="shared" si="52"/>
        <v>1.1684533728525299</v>
      </c>
      <c r="S193" s="31">
        <f t="shared" si="53"/>
        <v>1.8215644533575094E-3</v>
      </c>
      <c r="T193" s="10">
        <f t="shared" si="47"/>
        <v>0.4977816852557958</v>
      </c>
      <c r="U193">
        <f>AVERAGE(T176:T193)</f>
        <v>0.4042223103037994</v>
      </c>
      <c r="AG193">
        <f>STDEV(Q176:Q193)</f>
        <v>9.6355544344140773E-2</v>
      </c>
    </row>
    <row r="194" spans="1:33" x14ac:dyDescent="0.2">
      <c r="F194" s="46">
        <v>6</v>
      </c>
      <c r="I194" s="44">
        <v>827</v>
      </c>
      <c r="J194" s="44">
        <v>755</v>
      </c>
      <c r="K194" s="45">
        <f>60/(1*((I194-J194)/1000))</f>
        <v>833.33333333333337</v>
      </c>
      <c r="M194">
        <v>767</v>
      </c>
      <c r="N194">
        <v>731</v>
      </c>
      <c r="O194" s="45">
        <f>(M194-N194)/1000</f>
        <v>3.5999999999999997E-2</v>
      </c>
      <c r="P194" s="45">
        <f t="shared" si="54"/>
        <v>2.3148148148148149</v>
      </c>
      <c r="Q194" s="45">
        <f t="shared" si="55"/>
        <v>0.70556413521543981</v>
      </c>
    </row>
    <row r="195" spans="1:33" x14ac:dyDescent="0.2">
      <c r="F195" s="46">
        <v>6</v>
      </c>
      <c r="I195" s="44">
        <v>536</v>
      </c>
      <c r="J195" s="44">
        <v>474</v>
      </c>
      <c r="K195" s="45">
        <f t="shared" ref="K195:K211" si="56">60/(1*((I195-J195)/1000))</f>
        <v>967.74193548387098</v>
      </c>
      <c r="M195">
        <v>487</v>
      </c>
      <c r="N195">
        <v>454</v>
      </c>
      <c r="O195" s="45">
        <f t="shared" ref="O195:O211" si="57">(M195-N195)/1000</f>
        <v>3.3000000000000002E-2</v>
      </c>
      <c r="P195" s="45">
        <f t="shared" si="54"/>
        <v>2.5252525252525251</v>
      </c>
      <c r="Q195" s="45">
        <f t="shared" si="55"/>
        <v>0.76970632932593419</v>
      </c>
    </row>
    <row r="196" spans="1:33" x14ac:dyDescent="0.2">
      <c r="F196" s="46">
        <v>6</v>
      </c>
      <c r="I196" s="44">
        <v>412</v>
      </c>
      <c r="J196" s="44">
        <v>344</v>
      </c>
      <c r="K196" s="45">
        <f t="shared" si="56"/>
        <v>882.35294117647049</v>
      </c>
      <c r="M196">
        <v>399</v>
      </c>
      <c r="N196">
        <v>363</v>
      </c>
      <c r="O196" s="45">
        <f t="shared" si="57"/>
        <v>3.5999999999999997E-2</v>
      </c>
      <c r="P196" s="45">
        <f t="shared" si="54"/>
        <v>2.3148148148148149</v>
      </c>
      <c r="Q196" s="45">
        <f t="shared" si="55"/>
        <v>0.70556413521543981</v>
      </c>
    </row>
    <row r="197" spans="1:33" x14ac:dyDescent="0.2">
      <c r="E197" s="47"/>
      <c r="F197" s="48">
        <v>6</v>
      </c>
      <c r="I197" s="44">
        <v>803</v>
      </c>
      <c r="J197" s="44">
        <v>741</v>
      </c>
      <c r="K197" s="45">
        <f t="shared" si="56"/>
        <v>967.74193548387098</v>
      </c>
      <c r="M197">
        <v>788</v>
      </c>
      <c r="N197">
        <v>748</v>
      </c>
      <c r="O197" s="45">
        <f t="shared" si="57"/>
        <v>0.04</v>
      </c>
      <c r="P197" s="45">
        <f t="shared" si="54"/>
        <v>2.083333333333333</v>
      </c>
      <c r="Q197" s="45">
        <f t="shared" si="55"/>
        <v>0.63500772169389563</v>
      </c>
    </row>
    <row r="198" spans="1:33" x14ac:dyDescent="0.2">
      <c r="E198" s="47"/>
      <c r="F198" s="48">
        <v>6</v>
      </c>
      <c r="I198" s="44">
        <v>365</v>
      </c>
      <c r="J198" s="44">
        <v>302</v>
      </c>
      <c r="K198" s="45">
        <f t="shared" si="56"/>
        <v>952.38095238095241</v>
      </c>
      <c r="M198">
        <v>343</v>
      </c>
      <c r="N198">
        <v>304</v>
      </c>
      <c r="O198" s="45">
        <f t="shared" si="57"/>
        <v>3.9E-2</v>
      </c>
      <c r="P198" s="45">
        <f t="shared" si="54"/>
        <v>2.1367521367521367</v>
      </c>
      <c r="Q198" s="45">
        <f t="shared" si="55"/>
        <v>0.65128997096809826</v>
      </c>
    </row>
    <row r="199" spans="1:33" x14ac:dyDescent="0.2">
      <c r="E199" s="47"/>
      <c r="F199" s="48">
        <v>6</v>
      </c>
      <c r="I199" s="44">
        <v>244</v>
      </c>
      <c r="J199" s="44">
        <v>183</v>
      </c>
      <c r="K199" s="45">
        <f t="shared" si="56"/>
        <v>983.60655737704917</v>
      </c>
      <c r="M199">
        <v>208</v>
      </c>
      <c r="N199">
        <v>170</v>
      </c>
      <c r="O199" s="45">
        <f t="shared" si="57"/>
        <v>3.7999999999999999E-2</v>
      </c>
      <c r="P199" s="45">
        <f t="shared" si="54"/>
        <v>2.1929824561403506</v>
      </c>
      <c r="Q199" s="45">
        <f t="shared" si="55"/>
        <v>0.66842918073041646</v>
      </c>
    </row>
    <row r="200" spans="1:33" x14ac:dyDescent="0.2">
      <c r="F200" s="46">
        <v>6</v>
      </c>
      <c r="I200" s="44">
        <v>694</v>
      </c>
      <c r="J200" s="44">
        <v>606</v>
      </c>
      <c r="K200" s="45">
        <f t="shared" si="56"/>
        <v>681.81818181818187</v>
      </c>
      <c r="M200">
        <v>657</v>
      </c>
      <c r="N200">
        <v>624</v>
      </c>
      <c r="O200" s="45">
        <f t="shared" si="57"/>
        <v>3.3000000000000002E-2</v>
      </c>
      <c r="P200" s="45">
        <f t="shared" si="54"/>
        <v>2.5252525252525251</v>
      </c>
      <c r="Q200" s="45">
        <f t="shared" si="55"/>
        <v>0.76970632932593419</v>
      </c>
    </row>
    <row r="201" spans="1:33" x14ac:dyDescent="0.2">
      <c r="F201" s="46">
        <v>6</v>
      </c>
      <c r="I201" s="44">
        <v>307</v>
      </c>
      <c r="J201" s="44">
        <v>217</v>
      </c>
      <c r="K201" s="45">
        <f t="shared" si="56"/>
        <v>666.66666666666674</v>
      </c>
      <c r="M201">
        <v>238</v>
      </c>
      <c r="N201">
        <v>212</v>
      </c>
      <c r="O201" s="45">
        <f t="shared" si="57"/>
        <v>2.5999999999999999E-2</v>
      </c>
      <c r="P201" s="45">
        <f t="shared" si="54"/>
        <v>3.2051282051282053</v>
      </c>
      <c r="Q201" s="45">
        <f t="shared" si="55"/>
        <v>0.97693495645214734</v>
      </c>
    </row>
    <row r="202" spans="1:33" x14ac:dyDescent="0.2">
      <c r="F202" s="46">
        <v>6</v>
      </c>
      <c r="I202" s="44">
        <v>268</v>
      </c>
      <c r="J202" s="44">
        <v>177</v>
      </c>
      <c r="K202" s="45">
        <f t="shared" si="56"/>
        <v>659.34065934065939</v>
      </c>
      <c r="M202">
        <v>212</v>
      </c>
      <c r="N202">
        <v>181</v>
      </c>
      <c r="O202" s="45">
        <f t="shared" si="57"/>
        <v>3.1E-2</v>
      </c>
      <c r="P202" s="45">
        <f t="shared" si="54"/>
        <v>2.6881720430107525</v>
      </c>
      <c r="Q202" s="45">
        <f t="shared" si="55"/>
        <v>0.81936480218567187</v>
      </c>
    </row>
    <row r="203" spans="1:33" x14ac:dyDescent="0.2">
      <c r="F203" s="48">
        <v>6</v>
      </c>
      <c r="I203" s="44">
        <v>546</v>
      </c>
      <c r="J203" s="44">
        <v>469</v>
      </c>
      <c r="K203" s="45">
        <f t="shared" si="56"/>
        <v>779.22077922077926</v>
      </c>
      <c r="M203">
        <v>511</v>
      </c>
      <c r="N203">
        <v>474</v>
      </c>
      <c r="O203" s="45">
        <f t="shared" si="57"/>
        <v>3.6999999999999998E-2</v>
      </c>
      <c r="P203" s="45">
        <f t="shared" si="54"/>
        <v>2.2522522522522523</v>
      </c>
      <c r="Q203" s="45">
        <f t="shared" si="55"/>
        <v>0.68649483426367108</v>
      </c>
    </row>
    <row r="204" spans="1:33" x14ac:dyDescent="0.2">
      <c r="F204" s="48">
        <v>6</v>
      </c>
      <c r="I204" s="44">
        <v>257</v>
      </c>
      <c r="J204" s="44">
        <v>177</v>
      </c>
      <c r="K204" s="45">
        <f t="shared" si="56"/>
        <v>750</v>
      </c>
      <c r="M204">
        <v>223</v>
      </c>
      <c r="N204">
        <v>187</v>
      </c>
      <c r="O204" s="45">
        <f t="shared" si="57"/>
        <v>3.5999999999999997E-2</v>
      </c>
      <c r="P204" s="45">
        <f t="shared" si="54"/>
        <v>2.3148148148148149</v>
      </c>
      <c r="Q204" s="45">
        <f t="shared" si="55"/>
        <v>0.70556413521543981</v>
      </c>
    </row>
    <row r="205" spans="1:33" x14ac:dyDescent="0.2">
      <c r="F205" s="48">
        <v>6</v>
      </c>
      <c r="J205" s="44"/>
      <c r="K205" s="45" t="e">
        <f t="shared" si="56"/>
        <v>#DIV/0!</v>
      </c>
      <c r="M205" t="s">
        <v>95</v>
      </c>
      <c r="O205" s="45" t="e">
        <f>(M205-N205)/1000</f>
        <v>#VALUE!</v>
      </c>
      <c r="P205" s="45" t="e">
        <f t="shared" si="54"/>
        <v>#VALUE!</v>
      </c>
      <c r="Q205" s="45" t="e">
        <f t="shared" si="55"/>
        <v>#VALUE!</v>
      </c>
    </row>
    <row r="206" spans="1:33" x14ac:dyDescent="0.2">
      <c r="F206" s="46">
        <v>6</v>
      </c>
      <c r="I206" s="44">
        <v>411</v>
      </c>
      <c r="J206" s="44">
        <v>348</v>
      </c>
      <c r="K206" s="45">
        <f t="shared" si="56"/>
        <v>952.38095238095241</v>
      </c>
      <c r="M206">
        <v>357</v>
      </c>
      <c r="N206">
        <v>324</v>
      </c>
      <c r="O206" s="45">
        <f t="shared" si="57"/>
        <v>3.3000000000000002E-2</v>
      </c>
      <c r="P206" s="45">
        <f t="shared" si="54"/>
        <v>2.5252525252525251</v>
      </c>
      <c r="Q206" s="45">
        <f t="shared" si="55"/>
        <v>0.76970632932593419</v>
      </c>
    </row>
    <row r="207" spans="1:33" x14ac:dyDescent="0.2">
      <c r="F207" s="46">
        <v>6</v>
      </c>
      <c r="I207" s="44">
        <v>275</v>
      </c>
      <c r="J207" s="44">
        <v>200</v>
      </c>
      <c r="K207" s="45">
        <f t="shared" si="56"/>
        <v>800</v>
      </c>
      <c r="M207">
        <v>251</v>
      </c>
      <c r="N207">
        <v>208</v>
      </c>
      <c r="O207" s="45">
        <f t="shared" si="57"/>
        <v>4.2999999999999997E-2</v>
      </c>
      <c r="P207" s="45">
        <f t="shared" si="54"/>
        <v>1.9379844961240311</v>
      </c>
      <c r="Q207" s="45">
        <f t="shared" si="55"/>
        <v>0.59070485738967049</v>
      </c>
    </row>
    <row r="208" spans="1:33" x14ac:dyDescent="0.2">
      <c r="F208" s="46">
        <v>6</v>
      </c>
      <c r="I208" s="44">
        <v>276</v>
      </c>
      <c r="J208" s="44">
        <v>212</v>
      </c>
      <c r="K208" s="45">
        <f t="shared" si="56"/>
        <v>937.5</v>
      </c>
      <c r="M208">
        <v>263</v>
      </c>
      <c r="N208">
        <v>227</v>
      </c>
      <c r="O208" s="45">
        <f t="shared" si="57"/>
        <v>3.5999999999999997E-2</v>
      </c>
      <c r="P208" s="45">
        <f t="shared" si="54"/>
        <v>2.3148148148148149</v>
      </c>
      <c r="Q208" s="45">
        <f t="shared" si="55"/>
        <v>0.70556413521543981</v>
      </c>
    </row>
    <row r="209" spans="6:17" x14ac:dyDescent="0.2">
      <c r="F209" s="48">
        <v>6</v>
      </c>
      <c r="I209" s="44">
        <v>561</v>
      </c>
      <c r="J209" s="44">
        <v>495</v>
      </c>
      <c r="K209" s="45">
        <f t="shared" si="56"/>
        <v>909.09090909090901</v>
      </c>
      <c r="M209">
        <v>542</v>
      </c>
      <c r="N209">
        <v>506</v>
      </c>
      <c r="O209" s="45">
        <f t="shared" si="57"/>
        <v>3.5999999999999997E-2</v>
      </c>
      <c r="P209" s="45">
        <f t="shared" si="54"/>
        <v>2.3148148148148149</v>
      </c>
      <c r="Q209" s="45">
        <f t="shared" si="55"/>
        <v>0.70556413521543981</v>
      </c>
    </row>
    <row r="210" spans="6:17" x14ac:dyDescent="0.2">
      <c r="F210" s="48">
        <v>6</v>
      </c>
      <c r="I210" s="44">
        <v>699</v>
      </c>
      <c r="J210" s="44">
        <v>619</v>
      </c>
      <c r="K210" s="45">
        <f t="shared" si="56"/>
        <v>750</v>
      </c>
      <c r="M210">
        <v>647</v>
      </c>
      <c r="N210">
        <v>611</v>
      </c>
      <c r="O210" s="45">
        <f t="shared" si="57"/>
        <v>3.5999999999999997E-2</v>
      </c>
      <c r="P210" s="45">
        <f t="shared" si="54"/>
        <v>2.3148148148148149</v>
      </c>
      <c r="Q210" s="45">
        <f t="shared" si="55"/>
        <v>0.70556413521543981</v>
      </c>
    </row>
    <row r="211" spans="6:17" x14ac:dyDescent="0.2">
      <c r="F211" s="48">
        <v>6</v>
      </c>
      <c r="I211" s="44">
        <v>594</v>
      </c>
      <c r="J211" s="44">
        <v>528</v>
      </c>
      <c r="K211" s="45">
        <f t="shared" si="56"/>
        <v>909.09090909090901</v>
      </c>
      <c r="M211">
        <v>581</v>
      </c>
      <c r="N211">
        <v>545</v>
      </c>
      <c r="O211" s="45">
        <f t="shared" si="57"/>
        <v>3.5999999999999997E-2</v>
      </c>
      <c r="P211" s="45">
        <f t="shared" si="54"/>
        <v>2.3148148148148149</v>
      </c>
      <c r="Q211" s="45">
        <f>P211/3.2808</f>
        <v>0.70556413521543981</v>
      </c>
    </row>
  </sheetData>
  <mergeCells count="6">
    <mergeCell ref="V1:Z1"/>
    <mergeCell ref="AA8:AD8"/>
    <mergeCell ref="I8:K8"/>
    <mergeCell ref="M8:Q8"/>
    <mergeCell ref="B8:C8"/>
    <mergeCell ref="G8:H8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0"/>
  <sheetViews>
    <sheetView workbookViewId="0">
      <selection activeCell="C5" sqref="C5:H10"/>
    </sheetView>
  </sheetViews>
  <sheetFormatPr baseColWidth="10" defaultColWidth="11" defaultRowHeight="16" x14ac:dyDescent="0.2"/>
  <cols>
    <col min="4" max="4" width="11.6640625" bestFit="1" customWidth="1"/>
    <col min="5" max="5" width="12" bestFit="1" customWidth="1"/>
    <col min="6" max="7" width="11.6640625" bestFit="1" customWidth="1"/>
    <col min="8" max="8" width="17.5" bestFit="1" customWidth="1"/>
  </cols>
  <sheetData>
    <row r="5" spans="3:8" x14ac:dyDescent="0.2">
      <c r="C5" s="1" t="s">
        <v>1</v>
      </c>
      <c r="D5" s="1" t="s">
        <v>96</v>
      </c>
      <c r="E5" s="1" t="s">
        <v>97</v>
      </c>
      <c r="F5" s="1" t="s">
        <v>76</v>
      </c>
      <c r="G5" s="1" t="s">
        <v>75</v>
      </c>
      <c r="H5" s="1" t="s">
        <v>98</v>
      </c>
    </row>
    <row r="6" spans="3:8" x14ac:dyDescent="0.2">
      <c r="C6" s="1">
        <v>1</v>
      </c>
      <c r="D6" s="49">
        <f>AVERAGE(Sheet1!AA10:AA27)</f>
        <v>1.2149196383353079E-2</v>
      </c>
      <c r="E6" s="49">
        <f>AVERAGE(Sheet1!AB10:AB27)</f>
        <v>2.5301744769703664E-4</v>
      </c>
      <c r="F6" s="49">
        <f>AVERAGE(Sheet1!AC10:AC27)</f>
        <v>7.8210157214200044E-4</v>
      </c>
      <c r="G6" s="49">
        <f>AVERAGE(Sheet1!AD10:AD27)</f>
        <v>2.0609414705201771E-2</v>
      </c>
      <c r="H6" s="50">
        <f>AVERAGE(Sheet1!AE10:AE27)</f>
        <v>5.2978753098973576E-2</v>
      </c>
    </row>
    <row r="7" spans="3:8" x14ac:dyDescent="0.2">
      <c r="C7" s="1">
        <v>2</v>
      </c>
      <c r="D7" s="49">
        <f>AVERAGE(Sheet1!AA28:AA45)</f>
        <v>1.2144103637759049E-2</v>
      </c>
      <c r="E7" s="49">
        <f>AVERAGE(Sheet1!AB28:AB45)</f>
        <v>4.6739210416306523E-4</v>
      </c>
      <c r="F7" s="49">
        <f>AVERAGE(Sheet1!AC28:AC45)</f>
        <v>1.6258676299966664E-3</v>
      </c>
      <c r="G7" s="49">
        <f>AVERAGE(Sheet1!AD28:AD45)</f>
        <v>1.4022040110214663E-2</v>
      </c>
      <c r="H7" s="50">
        <f>AVERAGE(Sheet1!AE28:AE45)</f>
        <v>2.4661311417854784E-2</v>
      </c>
    </row>
    <row r="8" spans="3:8" x14ac:dyDescent="0.2">
      <c r="C8" s="1">
        <v>3</v>
      </c>
      <c r="D8" s="49">
        <f>AVERAGE(Sheet1!AA46:AA63)</f>
        <v>1.2140189180388131E-2</v>
      </c>
      <c r="E8" s="49">
        <f>AVERAGE(Sheet1!AB46:AB63)</f>
        <v>1.8036809701917181E-4</v>
      </c>
      <c r="F8" s="49">
        <f>AVERAGE(Sheet1!AC46:AC63)</f>
        <v>7.5713821490167618E-4</v>
      </c>
      <c r="G8" s="49">
        <f>AVERAGE(Sheet1!AD46:AD63)</f>
        <v>2.699795171120473E-2</v>
      </c>
      <c r="H8" s="50">
        <f>AVERAGE(Sheet1!AE46:AE63)</f>
        <v>3.9331809277048678E-2</v>
      </c>
    </row>
    <row r="9" spans="3:8" x14ac:dyDescent="0.2">
      <c r="C9" s="1">
        <v>4</v>
      </c>
      <c r="D9" s="49">
        <f>AVERAGE(Sheet1!AA64:AA81)</f>
        <v>1.2130804639831757E-2</v>
      </c>
      <c r="E9" s="49">
        <f>AVERAGE(Sheet1!AB64:AB81)</f>
        <v>8.0501755195809955E-4</v>
      </c>
      <c r="F9" s="49">
        <f>AVERAGE(Sheet1!AC64:AC81)</f>
        <v>1.9773505135017608E-3</v>
      </c>
      <c r="G9" s="49">
        <f>AVERAGE(Sheet1!AD64:AD81)</f>
        <v>1.1108721859932882E-2</v>
      </c>
      <c r="H9" s="50">
        <f>AVERAGE(Sheet1!AE64:AE81)</f>
        <v>2.2137924756076802E-2</v>
      </c>
    </row>
    <row r="10" spans="3:8" x14ac:dyDescent="0.2">
      <c r="C10" s="1">
        <v>5</v>
      </c>
      <c r="D10" s="49">
        <f>AVERAGE(Sheet1!AA82:AA99)</f>
        <v>1.2126831437957692E-2</v>
      </c>
      <c r="E10" s="49">
        <f>AVERAGE(Sheet1!AB82:AB99)</f>
        <v>9.5389164475179113E-5</v>
      </c>
      <c r="F10" s="49">
        <f>AVERAGE(Sheet1!AC65:AC82)</f>
        <v>2.0061242012518452E-3</v>
      </c>
      <c r="G10" s="49">
        <f>AVERAGE(Sheet1!AD65:AD82)</f>
        <v>1.2020157636487089E-2</v>
      </c>
      <c r="H10" s="50">
        <f>AVERAGE(Sheet1!AE65:AE82)</f>
        <v>2.3147931482970313E-2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44"/>
  <sheetViews>
    <sheetView tabSelected="1" workbookViewId="0">
      <selection activeCell="L18" sqref="L18"/>
    </sheetView>
  </sheetViews>
  <sheetFormatPr baseColWidth="10" defaultColWidth="11" defaultRowHeight="16" x14ac:dyDescent="0.2"/>
  <cols>
    <col min="3" max="3" width="14.33203125" style="14" bestFit="1" customWidth="1"/>
    <col min="4" max="4" width="12.6640625" bestFit="1" customWidth="1"/>
    <col min="5" max="5" width="16.6640625" bestFit="1" customWidth="1"/>
    <col min="6" max="6" width="27.33203125" bestFit="1" customWidth="1"/>
    <col min="7" max="7" width="13.1640625" bestFit="1" customWidth="1"/>
    <col min="9" max="9" width="11" style="53"/>
    <col min="10" max="10" width="27.33203125" style="53" bestFit="1" customWidth="1"/>
    <col min="11" max="11" width="13.1640625" style="53" bestFit="1" customWidth="1"/>
  </cols>
  <sheetData>
    <row r="4" spans="2:11" x14ac:dyDescent="0.2">
      <c r="C4" s="15" t="s">
        <v>43</v>
      </c>
      <c r="D4" s="1" t="s">
        <v>44</v>
      </c>
      <c r="E4" s="1" t="s">
        <v>45</v>
      </c>
      <c r="F4" s="1" t="s">
        <v>46</v>
      </c>
      <c r="G4" s="1" t="s">
        <v>47</v>
      </c>
      <c r="I4" s="59" t="s">
        <v>106</v>
      </c>
      <c r="J4" s="59" t="s">
        <v>107</v>
      </c>
      <c r="K4" s="59" t="s">
        <v>47</v>
      </c>
    </row>
    <row r="5" spans="2:11" x14ac:dyDescent="0.2">
      <c r="B5" t="s">
        <v>87</v>
      </c>
      <c r="C5" s="4">
        <v>1</v>
      </c>
      <c r="D5" s="2" t="s">
        <v>104</v>
      </c>
      <c r="E5" s="2" t="s">
        <v>48</v>
      </c>
      <c r="F5" s="2" t="s">
        <v>49</v>
      </c>
      <c r="G5" s="3">
        <v>42129</v>
      </c>
      <c r="I5" s="53">
        <v>1</v>
      </c>
      <c r="J5" s="53" t="s">
        <v>108</v>
      </c>
      <c r="K5" s="60">
        <v>42129</v>
      </c>
    </row>
    <row r="6" spans="2:11" x14ac:dyDescent="0.2">
      <c r="C6" s="4">
        <v>2</v>
      </c>
      <c r="D6" s="2" t="s">
        <v>61</v>
      </c>
      <c r="E6" s="2" t="s">
        <v>50</v>
      </c>
      <c r="F6" s="2" t="s">
        <v>51</v>
      </c>
      <c r="G6" s="3">
        <v>42129</v>
      </c>
      <c r="I6" s="53">
        <v>2</v>
      </c>
      <c r="J6" s="53" t="s">
        <v>109</v>
      </c>
      <c r="K6" s="60">
        <v>42129</v>
      </c>
    </row>
    <row r="7" spans="2:11" x14ac:dyDescent="0.2">
      <c r="C7" s="4">
        <v>3</v>
      </c>
      <c r="D7" s="2" t="s">
        <v>61</v>
      </c>
      <c r="E7" s="2" t="s">
        <v>52</v>
      </c>
      <c r="F7" s="2" t="s">
        <v>53</v>
      </c>
      <c r="G7" s="3">
        <v>42129</v>
      </c>
      <c r="I7" s="53">
        <v>3</v>
      </c>
      <c r="J7" s="53" t="s">
        <v>109</v>
      </c>
      <c r="K7" s="60">
        <v>42129</v>
      </c>
    </row>
    <row r="8" spans="2:11" x14ac:dyDescent="0.2">
      <c r="C8" s="4">
        <v>4</v>
      </c>
      <c r="D8" s="2" t="s">
        <v>105</v>
      </c>
      <c r="E8" s="2" t="s">
        <v>54</v>
      </c>
      <c r="F8" s="2" t="s">
        <v>55</v>
      </c>
      <c r="G8" s="3">
        <v>42129</v>
      </c>
      <c r="I8" s="53">
        <v>4</v>
      </c>
      <c r="J8" s="53" t="s">
        <v>110</v>
      </c>
      <c r="K8" s="60">
        <v>42129</v>
      </c>
    </row>
    <row r="9" spans="2:11" x14ac:dyDescent="0.2">
      <c r="C9" s="4">
        <v>5</v>
      </c>
      <c r="D9" s="2" t="s">
        <v>61</v>
      </c>
      <c r="E9" s="2" t="s">
        <v>52</v>
      </c>
      <c r="F9" s="2" t="s">
        <v>56</v>
      </c>
      <c r="G9" s="3">
        <v>42129</v>
      </c>
      <c r="I9" s="53">
        <v>5</v>
      </c>
      <c r="J9" s="53" t="s">
        <v>109</v>
      </c>
      <c r="K9" s="60">
        <v>42129</v>
      </c>
    </row>
    <row r="10" spans="2:11" x14ac:dyDescent="0.2">
      <c r="G10" s="14"/>
    </row>
    <row r="14" spans="2:11" x14ac:dyDescent="0.2">
      <c r="C14" s="14" t="s">
        <v>59</v>
      </c>
      <c r="D14" s="14" t="s">
        <v>60</v>
      </c>
    </row>
    <row r="15" spans="2:11" x14ac:dyDescent="0.2">
      <c r="C15" s="14">
        <v>1</v>
      </c>
      <c r="D15">
        <v>249</v>
      </c>
    </row>
    <row r="16" spans="2:11" x14ac:dyDescent="0.2">
      <c r="C16" s="14">
        <v>2</v>
      </c>
      <c r="D16">
        <v>250</v>
      </c>
    </row>
    <row r="17" spans="3:4" x14ac:dyDescent="0.2">
      <c r="C17" s="14">
        <v>3</v>
      </c>
      <c r="D17">
        <v>251</v>
      </c>
    </row>
    <row r="18" spans="3:4" x14ac:dyDescent="0.2">
      <c r="C18" s="14">
        <v>4</v>
      </c>
      <c r="D18">
        <v>252</v>
      </c>
    </row>
    <row r="19" spans="3:4" x14ac:dyDescent="0.2">
      <c r="C19" s="14">
        <v>5</v>
      </c>
      <c r="D19">
        <v>253</v>
      </c>
    </row>
    <row r="20" spans="3:4" x14ac:dyDescent="0.2">
      <c r="C20" s="14">
        <v>6</v>
      </c>
      <c r="D20">
        <v>254</v>
      </c>
    </row>
    <row r="21" spans="3:4" x14ac:dyDescent="0.2">
      <c r="C21" s="14">
        <v>7</v>
      </c>
      <c r="D21">
        <v>255</v>
      </c>
    </row>
    <row r="22" spans="3:4" x14ac:dyDescent="0.2">
      <c r="C22" s="14">
        <v>8</v>
      </c>
      <c r="D22">
        <v>257</v>
      </c>
    </row>
    <row r="23" spans="3:4" x14ac:dyDescent="0.2">
      <c r="C23" s="14">
        <v>9</v>
      </c>
      <c r="D23">
        <v>258</v>
      </c>
    </row>
    <row r="24" spans="3:4" x14ac:dyDescent="0.2">
      <c r="C24" s="14">
        <v>10</v>
      </c>
      <c r="D24">
        <v>259</v>
      </c>
    </row>
    <row r="25" spans="3:4" x14ac:dyDescent="0.2">
      <c r="C25" s="14">
        <v>11</v>
      </c>
      <c r="D25">
        <v>260</v>
      </c>
    </row>
    <row r="26" spans="3:4" x14ac:dyDescent="0.2">
      <c r="C26" s="14">
        <v>12</v>
      </c>
      <c r="D26">
        <v>261</v>
      </c>
    </row>
    <row r="27" spans="3:4" x14ac:dyDescent="0.2">
      <c r="C27" s="14">
        <v>13</v>
      </c>
      <c r="D27">
        <v>263</v>
      </c>
    </row>
    <row r="28" spans="3:4" x14ac:dyDescent="0.2">
      <c r="C28" s="14">
        <v>14</v>
      </c>
      <c r="D28">
        <v>264</v>
      </c>
    </row>
    <row r="29" spans="3:4" x14ac:dyDescent="0.2">
      <c r="C29" s="14">
        <v>15</v>
      </c>
      <c r="D29">
        <v>265</v>
      </c>
    </row>
    <row r="30" spans="3:4" x14ac:dyDescent="0.2">
      <c r="C30" s="14">
        <v>16</v>
      </c>
      <c r="D30">
        <v>266</v>
      </c>
    </row>
    <row r="31" spans="3:4" x14ac:dyDescent="0.2">
      <c r="C31" s="14">
        <v>17</v>
      </c>
      <c r="D31">
        <v>267</v>
      </c>
    </row>
    <row r="32" spans="3:4" x14ac:dyDescent="0.2">
      <c r="C32" s="14">
        <v>18</v>
      </c>
      <c r="D32">
        <v>268</v>
      </c>
    </row>
    <row r="33" spans="3:4" x14ac:dyDescent="0.2">
      <c r="C33" s="14">
        <v>19</v>
      </c>
      <c r="D33">
        <v>269</v>
      </c>
    </row>
    <row r="34" spans="3:4" x14ac:dyDescent="0.2">
      <c r="C34" s="14">
        <v>20</v>
      </c>
      <c r="D34">
        <v>270</v>
      </c>
    </row>
    <row r="35" spans="3:4" x14ac:dyDescent="0.2">
      <c r="C35" s="14">
        <v>21</v>
      </c>
      <c r="D35">
        <v>271</v>
      </c>
    </row>
    <row r="36" spans="3:4" x14ac:dyDescent="0.2">
      <c r="C36" s="14">
        <v>22</v>
      </c>
      <c r="D36">
        <v>272</v>
      </c>
    </row>
    <row r="37" spans="3:4" x14ac:dyDescent="0.2">
      <c r="C37" s="14">
        <v>23</v>
      </c>
      <c r="D37">
        <v>273</v>
      </c>
    </row>
    <row r="38" spans="3:4" x14ac:dyDescent="0.2">
      <c r="C38" s="14">
        <v>24</v>
      </c>
      <c r="D38">
        <v>274</v>
      </c>
    </row>
    <row r="39" spans="3:4" x14ac:dyDescent="0.2">
      <c r="C39" s="14">
        <v>25</v>
      </c>
      <c r="D39">
        <v>275</v>
      </c>
    </row>
    <row r="40" spans="3:4" x14ac:dyDescent="0.2">
      <c r="C40" s="14">
        <v>26</v>
      </c>
      <c r="D40">
        <v>276</v>
      </c>
    </row>
    <row r="41" spans="3:4" x14ac:dyDescent="0.2">
      <c r="C41" s="14">
        <v>27</v>
      </c>
      <c r="D41">
        <v>277</v>
      </c>
    </row>
    <row r="42" spans="3:4" x14ac:dyDescent="0.2">
      <c r="C42" s="14">
        <v>28</v>
      </c>
      <c r="D42">
        <v>281</v>
      </c>
    </row>
    <row r="43" spans="3:4" x14ac:dyDescent="0.2">
      <c r="C43" s="14">
        <v>29</v>
      </c>
      <c r="D43">
        <v>279</v>
      </c>
    </row>
    <row r="44" spans="3:4" x14ac:dyDescent="0.2">
      <c r="C44" s="14">
        <v>30</v>
      </c>
      <c r="D44">
        <v>280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Sheet1</vt:lpstr>
      <vt:lpstr>Uncertainty summary</vt:lpstr>
      <vt:lpstr>Seed_Collection</vt:lpstr>
    </vt:vector>
  </TitlesOfParts>
  <Company>University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Holden</dc:creator>
  <cp:lastModifiedBy>Microsoft Office User</cp:lastModifiedBy>
  <cp:lastPrinted>2015-07-29T15:55:14Z</cp:lastPrinted>
  <dcterms:created xsi:type="dcterms:W3CDTF">2015-05-18T17:22:22Z</dcterms:created>
  <dcterms:modified xsi:type="dcterms:W3CDTF">2016-10-08T21:31:35Z</dcterms:modified>
</cp:coreProperties>
</file>